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trlProps/ctrlProp1.xml" ContentType="application/vnd.ms-excel.controlproperti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527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ssecom-my.sharepoint.com/personal/donald_preston_sse_com/Documents/2023-24 Tariffs - SSEN Website updates/Annual Review Packs/"/>
    </mc:Choice>
  </mc:AlternateContent>
  <xr:revisionPtr revIDLastSave="0" documentId="8_{88528921-E453-4FA7-9EDB-C7C0D3BFB3C8}" xr6:coauthVersionLast="47" xr6:coauthVersionMax="47" xr10:uidLastSave="{00000000-0000-0000-0000-000000000000}"/>
  <workbookProtection lockStructure="1"/>
  <bookViews>
    <workbookView xWindow="-120" yWindow="-120" windowWidth="29040" windowHeight="15840" tabRatio="933" xr2:uid="{00000000-000D-0000-FFFF-FFFF00000000}"/>
  </bookViews>
  <sheets>
    <sheet name="Cover" sheetId="27" r:id="rId1"/>
    <sheet name="Version control" sheetId="55" r:id="rId2"/>
    <sheet name="Model map" sheetId="28" r:id="rId3"/>
    <sheet name="Index" sheetId="85" r:id="rId4"/>
    <sheet name="Named ranges" sheetId="84" r:id="rId5"/>
    <sheet name="ARP_DNO commentary" sheetId="92" r:id="rId6"/>
    <sheet name="ARP_CDCM timebands" sheetId="93" r:id="rId7"/>
    <sheet name="ARP_Load characteristics" sheetId="94" r:id="rId8"/>
    <sheet name="ARP_Peaking probabilities" sheetId="95" r:id="rId9"/>
    <sheet name="ARP_User control" sheetId="96" r:id="rId10"/>
    <sheet name="ARP_Inputs by customer type" sheetId="97" r:id="rId11"/>
    <sheet name="ARP_Inputs by network level" sheetId="100" r:id="rId12"/>
    <sheet name="ARP_General inputs" sheetId="98" r:id="rId13"/>
    <sheet name="Fixed inputs" sheetId="177" r:id="rId14"/>
    <sheet name="Inputs by customer type" sheetId="178" r:id="rId15"/>
    <sheet name="Inputs by network level" sheetId="179" r:id="rId16"/>
    <sheet name="General inputs" sheetId="180" r:id="rId17"/>
    <sheet name="Standing charge factors" sheetId="181" r:id="rId18"/>
    <sheet name="Load &amp; loss characteristics" sheetId="182" r:id="rId19"/>
    <sheet name="Customer contributions" sheetId="183" r:id="rId20"/>
    <sheet name="Volume adjustments" sheetId="184" r:id="rId21"/>
    <sheet name="Pseudo-load coefficients" sheetId="185" r:id="rId22"/>
    <sheet name="System peak demand" sheetId="186" r:id="rId23"/>
    <sheet name="Service model assets" sheetId="187" r:id="rId24"/>
    <sheet name="Unit costs" sheetId="188" r:id="rId25"/>
    <sheet name="Initial unit rates" sheetId="189" r:id="rId26"/>
    <sheet name="Service model charges" sheetId="190" r:id="rId27"/>
    <sheet name="Unit rate charges" sheetId="191" r:id="rId28"/>
    <sheet name="Capacity charges" sheetId="192" r:id="rId29"/>
    <sheet name="Reactive power charges" sheetId="193" r:id="rId30"/>
    <sheet name="Fixed charges" sheetId="194" r:id="rId31"/>
    <sheet name="SoLR &amp; bad debt adders" sheetId="195" r:id="rId32"/>
    <sheet name="Revenue matching" sheetId="196" r:id="rId33"/>
    <sheet name="Rounding" sheetId="197" r:id="rId34"/>
    <sheet name="Net revenue summary" sheetId="198" r:id="rId35"/>
    <sheet name="Tariff summary" sheetId="106" r:id="rId36"/>
    <sheet name="Typical bills" sheetId="107" r:id="rId37"/>
  </sheets>
  <definedNames>
    <definedName name="charging_year" comment="Year for which charges are being calculated">Cover!$D$19</definedName>
    <definedName name="charging_year_selected" comment="Charging year currently selected for ARP">'ARP_User control'!$G$17</definedName>
    <definedName name="check_decimals" comment="Number of decimal places of precision for in-built model checks">'Fixed inputs'!$H$153</definedName>
    <definedName name="days_in_year" comment="Days in the charging year">'General inputs'!$H$96</definedName>
    <definedName name="DNO_name" comment="Name of DNO">Cover!$D$21</definedName>
    <definedName name="hours_in_day" comment="Hours per day">'Fixed inputs'!$H$15</definedName>
    <definedName name="hours_in_year" comment="Hours in the charging year">'General inputs'!$H$97</definedName>
    <definedName name="HTML_CodePage" hidden="1">1252</definedName>
    <definedName name="HTML_Control" localSheetId="9" hidden="1">{"'Sheet1'!$A$1:$G$85"}</definedName>
    <definedName name="HTML_Control" localSheetId="28" hidden="1">{"'Sheet1'!$A$1:$G$85"}</definedName>
    <definedName name="HTML_Control" localSheetId="0" hidden="1">{"'Sheet1'!$A$1:$G$85"}</definedName>
    <definedName name="HTML_Control" localSheetId="30" hidden="1">{"'Sheet1'!$A$1:$G$85"}</definedName>
    <definedName name="HTML_Control" localSheetId="2" hidden="1">{"'Sheet1'!$A$1:$G$85"}</definedName>
    <definedName name="HTML_Control" localSheetId="21" hidden="1">{"'Sheet1'!$A$1:$G$85"}</definedName>
    <definedName name="HTML_Control" localSheetId="29" hidden="1">{"'Sheet1'!$A$1:$G$85"}</definedName>
    <definedName name="HTML_Control" localSheetId="32" hidden="1">{"'Sheet1'!$A$1:$G$85"}</definedName>
    <definedName name="HTML_Control" localSheetId="33" hidden="1">{"'Sheet1'!$A$1:$G$85"}</definedName>
    <definedName name="HTML_Control" localSheetId="26" hidden="1">{"'Sheet1'!$A$1:$G$85"}</definedName>
    <definedName name="HTML_Control" localSheetId="31" hidden="1">{"'Sheet1'!$A$1:$G$85"}</definedName>
    <definedName name="HTML_Control" localSheetId="17" hidden="1">{"'Sheet1'!$A$1:$G$85"}</definedName>
    <definedName name="HTML_Control" localSheetId="35" hidden="1">{"'Sheet1'!$A$1:$G$85"}</definedName>
    <definedName name="HTML_Control" localSheetId="36" hidden="1">{"'Sheet1'!$A$1:$G$85"}</definedName>
    <definedName name="HTML_Control" localSheetId="27" hidden="1">{"'Sheet1'!$A$1:$G$85"}</definedName>
    <definedName name="HTML_Control" localSheetId="1" hidden="1">{"'Sheet1'!$A$1:$G$85"}</definedName>
    <definedName name="HTML_Control" hidden="1">{"'Sheet1'!$A$1:$G$85"}</definedName>
    <definedName name="HTML_Description" hidden="1">""</definedName>
    <definedName name="HTML_Email" hidden="1">""</definedName>
    <definedName name="HTML_Header" hidden="1">"Sheet1"</definedName>
    <definedName name="HTML_LastUpdate" hidden="1">"2/24/99"</definedName>
    <definedName name="HTML_LineAfter" hidden="1">TRUE</definedName>
    <definedName name="HTML_LineBefore" hidden="1">TRUE</definedName>
    <definedName name="HTML_Name" hidden="1">"Aswath Damodaran"</definedName>
    <definedName name="HTML_OBDlg2" hidden="1">TRUE</definedName>
    <definedName name="HTML_OBDlg4" hidden="1">TRUE</definedName>
    <definedName name="HTML_OS" hidden="1">1</definedName>
    <definedName name="HTML_PathFileMac" hidden="1">"Macintosh HD:HomePageStuff:New_Home_Page:datafile:histret.html"</definedName>
    <definedName name="HTML_Title" hidden="1">"Historical Returns on Stocks, Bonds and Bills"</definedName>
    <definedName name="HTML1_1" hidden="1">"[ReturnsHistorical]Sheet1!$A$1:$D$77"</definedName>
    <definedName name="HTML1_10" hidden="1">""</definedName>
    <definedName name="HTML1_11" hidden="1">1</definedName>
    <definedName name="HTML1_12" hidden="1">"Zip 100:New_Home_Page:datafile:histret.html"</definedName>
    <definedName name="HTML1_2" hidden="1">1</definedName>
    <definedName name="HTML1_3" hidden="1">"ReturnsHistorical"</definedName>
    <definedName name="HTML1_4" hidden="1">"Historical Returns on Stocks, Bonds and Bills"</definedName>
    <definedName name="HTML1_5" hidden="1">"Ibbotson Data"</definedName>
    <definedName name="HTML1_6" hidden="1">-4146</definedName>
    <definedName name="HTML1_7" hidden="1">-4146</definedName>
    <definedName name="HTML1_8" hidden="1">"3/17/97"</definedName>
    <definedName name="HTML1_9" hidden="1">"Aswath Damodaran"</definedName>
    <definedName name="HTML2_1" hidden="1">"[histret.xls]Sheet1!$A$1:$G$85"</definedName>
    <definedName name="HTML2_10" hidden="1">""</definedName>
    <definedName name="HTML2_11" hidden="1">1</definedName>
    <definedName name="HTML2_12" hidden="1">"Macintosh HD:New_Home_Page:datafile:histret.html"</definedName>
    <definedName name="HTML2_2" hidden="1">1</definedName>
    <definedName name="HTML2_3" hidden="1">"Historical Returns"</definedName>
    <definedName name="HTML2_4" hidden="1">"Historical Returns on Stocks, Bonds and Bills"</definedName>
    <definedName name="HTML2_5" hidden="1">""</definedName>
    <definedName name="HTML2_6" hidden="1">1</definedName>
    <definedName name="HTML2_7" hidden="1">1</definedName>
    <definedName name="HTML2_8" hidden="1">"2/3/98"</definedName>
    <definedName name="HTML2_9" hidden="1">"Aswath Damodaran"</definedName>
    <definedName name="HTMLCount" hidden="1">2</definedName>
    <definedName name="hundred" comment="Equal to 100">'Fixed inputs'!$H$17</definedName>
    <definedName name="live_results_bills" comment="Typical bills for selected charging year">'Typical bills'!$J$18:$J$117</definedName>
    <definedName name="live_results_tariffs" comment="Tariffs for selected charging year">'Tariff summary'!$J$18:$P$117</definedName>
    <definedName name="PowerFactor" comment="Power factor, equal to 0.95">'Fixed inputs'!$H$37</definedName>
    <definedName name="results_4_bills" comment="Typical bills for current charging year">'Typical bills'!$L$18:$L$117</definedName>
    <definedName name="results_4_tariffs" comment="Tariffs for current charging year">'Tariff summary'!$J$122:$P$221</definedName>
    <definedName name="results_5_bills" comment="Typical bills for current charging year + 1">'Typical bills'!$M$18:$M$117</definedName>
    <definedName name="results_5_tariffs" comment="Tariffs for current charging year + 1">'Tariff summary'!$J$226:$P$325</definedName>
    <definedName name="results_6_bills" comment="Typical bills for current charging year + 2">'Typical bills'!$N$18:$N$117</definedName>
    <definedName name="results_6_tariffs" comment="Tariffs for current charging year + 2">'Tariff summary'!$J$330:$P$429</definedName>
    <definedName name="results_7_bills" comment="Typical bills for current charging year + 3">'Typical bills'!$O$18:$O$117</definedName>
    <definedName name="results_7_tariffs" comment="Tariffs for current charging year + 3">'Tariff summary'!$J$434:$P$533</definedName>
    <definedName name="results_8_bills" comment="Typical bills for current charging year + 4">'Typical bills'!$P$18:$P$117</definedName>
    <definedName name="results_8_tariffs" comment="Tariffs for current charging year + 4">'Tariff summary'!$J$538:$P$637</definedName>
    <definedName name="ten" comment="Equal to 10">'Fixed inputs'!$H$16</definedName>
    <definedName name="thousand" comment="Equal to 1000">'Fixed inputs'!$H$18</definedName>
    <definedName name="year_selection" comment="Index for selected charging year">'ARP_User control'!$G$36</definedName>
  </definedNames>
  <calcPr calcId="191029"/>
  <fileRecoveryPr autoRecover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R43" i="98" l="1"/>
  <c r="S43" i="98"/>
  <c r="N86" i="98"/>
  <c r="M86" i="98"/>
  <c r="L86" i="98"/>
  <c r="N94" i="98" l="1"/>
  <c r="M94" i="98"/>
  <c r="L94" i="98"/>
  <c r="N75" i="98" l="1"/>
  <c r="M75" i="98"/>
  <c r="L75" i="98"/>
  <c r="Q43" i="98" l="1"/>
  <c r="P43" i="98"/>
  <c r="K27" i="195" l="1"/>
  <c r="K49" i="195" s="1"/>
  <c r="L27" i="195"/>
  <c r="M27" i="195"/>
  <c r="M49" i="195" s="1"/>
  <c r="N27" i="195"/>
  <c r="O27" i="195"/>
  <c r="P27" i="195"/>
  <c r="Q27" i="195"/>
  <c r="Q49" i="195" s="1"/>
  <c r="R27" i="195"/>
  <c r="R49" i="195" s="1"/>
  <c r="S27" i="195"/>
  <c r="S49" i="195" s="1"/>
  <c r="T27" i="195"/>
  <c r="T49" i="195" s="1"/>
  <c r="U27" i="195"/>
  <c r="U49" i="195" s="1"/>
  <c r="V27" i="195"/>
  <c r="V49" i="195" s="1"/>
  <c r="W27" i="195"/>
  <c r="W49" i="195" s="1"/>
  <c r="X27" i="195"/>
  <c r="X49" i="195" s="1"/>
  <c r="Y27" i="195"/>
  <c r="Y49" i="195" s="1"/>
  <c r="J27" i="195"/>
  <c r="G73" i="85"/>
  <c r="A2" i="177" l="1"/>
  <c r="A2" i="178"/>
  <c r="A2" i="179"/>
  <c r="A2" i="180"/>
  <c r="A2" i="181"/>
  <c r="A2" i="182"/>
  <c r="A2" i="183"/>
  <c r="A2" i="184"/>
  <c r="A2" i="185"/>
  <c r="A2" i="186"/>
  <c r="A2" i="187"/>
  <c r="A2" i="188"/>
  <c r="A2" i="189"/>
  <c r="A2" i="190"/>
  <c r="A2" i="191"/>
  <c r="A2" i="192"/>
  <c r="A2" i="193"/>
  <c r="A2" i="194"/>
  <c r="A2" i="195"/>
  <c r="A2" i="196"/>
  <c r="A2" i="197"/>
  <c r="A2" i="198"/>
  <c r="AO54" i="197" l="1"/>
  <c r="AN54" i="197"/>
  <c r="AM54" i="197"/>
  <c r="AL54" i="197"/>
  <c r="AK54" i="197"/>
  <c r="AJ54" i="197"/>
  <c r="AI54" i="197"/>
  <c r="AH54" i="197"/>
  <c r="AG54" i="197"/>
  <c r="AF54" i="197"/>
  <c r="AE54" i="197"/>
  <c r="AD54" i="197"/>
  <c r="AC54" i="197"/>
  <c r="AB54" i="197"/>
  <c r="AA54" i="197"/>
  <c r="Z54" i="197"/>
  <c r="Y54" i="197"/>
  <c r="X54" i="197"/>
  <c r="W54" i="197"/>
  <c r="V54" i="197"/>
  <c r="U54" i="197"/>
  <c r="T54" i="197"/>
  <c r="S54" i="197"/>
  <c r="R54" i="197"/>
  <c r="Q54" i="197"/>
  <c r="P54" i="197"/>
  <c r="O54" i="197"/>
  <c r="N54" i="197"/>
  <c r="M54" i="197"/>
  <c r="L54" i="197"/>
  <c r="K54" i="197"/>
  <c r="G93" i="85" l="1"/>
  <c r="G92" i="85"/>
  <c r="G91" i="85"/>
  <c r="G90" i="85"/>
  <c r="G83" i="85"/>
  <c r="G82" i="85"/>
  <c r="G81" i="85"/>
  <c r="G80" i="85"/>
  <c r="G79" i="85"/>
  <c r="G78" i="85"/>
  <c r="G77" i="85"/>
  <c r="G76" i="85"/>
  <c r="G75" i="85"/>
  <c r="G74" i="85"/>
  <c r="G72" i="85"/>
  <c r="G71" i="85"/>
  <c r="G70" i="85"/>
  <c r="G69" i="85"/>
  <c r="G68" i="85"/>
  <c r="G67" i="85"/>
  <c r="G66" i="85"/>
  <c r="G65" i="85"/>
  <c r="G64" i="85"/>
  <c r="G63" i="85"/>
  <c r="G62" i="85"/>
  <c r="G61" i="85"/>
  <c r="G60" i="85"/>
  <c r="G59" i="85"/>
  <c r="G58" i="85"/>
  <c r="G57" i="85"/>
  <c r="G56" i="85"/>
  <c r="G55" i="85"/>
  <c r="G54" i="85"/>
  <c r="G53" i="85"/>
  <c r="G52" i="85"/>
  <c r="G51" i="85"/>
  <c r="G50" i="85"/>
  <c r="G49" i="85"/>
  <c r="G48" i="85"/>
  <c r="G47" i="85"/>
  <c r="G46" i="85"/>
  <c r="G45" i="85"/>
  <c r="G44" i="85"/>
  <c r="G43" i="85"/>
  <c r="G42" i="85"/>
  <c r="G41" i="85"/>
  <c r="G40" i="85"/>
  <c r="G39" i="85"/>
  <c r="G38" i="85"/>
  <c r="G37" i="85"/>
  <c r="G36" i="85"/>
  <c r="G35" i="85"/>
  <c r="G34" i="85"/>
  <c r="G33" i="85"/>
  <c r="G32" i="85"/>
  <c r="G31" i="85"/>
  <c r="G30" i="85"/>
  <c r="G29" i="85"/>
  <c r="G28" i="85"/>
  <c r="G27" i="85"/>
  <c r="G26" i="85"/>
  <c r="G25" i="85"/>
  <c r="G24" i="85"/>
  <c r="G23" i="85"/>
  <c r="G22" i="85"/>
  <c r="G21" i="85"/>
  <c r="G20" i="85"/>
  <c r="G19" i="85"/>
  <c r="G18" i="85"/>
  <c r="G17" i="85"/>
  <c r="G16" i="85"/>
  <c r="H11" i="178" l="1"/>
  <c r="H11" i="179" l="1"/>
  <c r="H11" i="180"/>
  <c r="AO17" i="198"/>
  <c r="AN17" i="198"/>
  <c r="AM17" i="198"/>
  <c r="AL17" i="198"/>
  <c r="AK17" i="198"/>
  <c r="AJ17" i="198"/>
  <c r="AI17" i="198"/>
  <c r="AH17" i="198"/>
  <c r="AG17" i="198"/>
  <c r="AF17" i="198"/>
  <c r="AE17" i="198"/>
  <c r="AD17" i="198"/>
  <c r="AC17" i="198"/>
  <c r="AB17" i="198"/>
  <c r="AA17" i="198"/>
  <c r="Z17" i="198"/>
  <c r="Y17" i="198"/>
  <c r="X17" i="198"/>
  <c r="W17" i="198"/>
  <c r="V17" i="198"/>
  <c r="U17" i="198"/>
  <c r="T17" i="198"/>
  <c r="S17" i="198"/>
  <c r="R17" i="198"/>
  <c r="Q17" i="198"/>
  <c r="P17" i="198"/>
  <c r="O17" i="198"/>
  <c r="N17" i="198"/>
  <c r="M17" i="198"/>
  <c r="L17" i="198"/>
  <c r="K17" i="198"/>
  <c r="J17" i="198"/>
  <c r="AO15" i="198"/>
  <c r="AN15" i="198"/>
  <c r="AM15" i="198"/>
  <c r="AL15" i="198"/>
  <c r="AK15" i="198"/>
  <c r="AJ15" i="198"/>
  <c r="AI15" i="198"/>
  <c r="AH15" i="198"/>
  <c r="AG15" i="198"/>
  <c r="AF15" i="198"/>
  <c r="AE15" i="198"/>
  <c r="AD15" i="198"/>
  <c r="AC15" i="198"/>
  <c r="AB15" i="198"/>
  <c r="AA15" i="198"/>
  <c r="Z15" i="198"/>
  <c r="Y15" i="198"/>
  <c r="X15" i="198"/>
  <c r="W15" i="198"/>
  <c r="V15" i="198"/>
  <c r="U15" i="198"/>
  <c r="T15" i="198"/>
  <c r="S15" i="198"/>
  <c r="R15" i="198"/>
  <c r="Q15" i="198"/>
  <c r="P15" i="198"/>
  <c r="O15" i="198"/>
  <c r="N15" i="198"/>
  <c r="M15" i="198"/>
  <c r="L15" i="198"/>
  <c r="K15" i="198"/>
  <c r="J15" i="198"/>
  <c r="A1" i="198"/>
  <c r="H101" i="197"/>
  <c r="AK165" i="197" s="1"/>
  <c r="AK70" i="198" s="1"/>
  <c r="H100" i="197"/>
  <c r="H99" i="197"/>
  <c r="AK163" i="197" s="1"/>
  <c r="AK68" i="198" s="1"/>
  <c r="H98" i="197"/>
  <c r="AB162" i="197" s="1"/>
  <c r="AB67" i="198" s="1"/>
  <c r="H97" i="197"/>
  <c r="Z161" i="197" s="1"/>
  <c r="Z66" i="198" s="1"/>
  <c r="H96" i="197"/>
  <c r="AO169" i="197" s="1"/>
  <c r="AO74" i="198" s="1"/>
  <c r="H95" i="197"/>
  <c r="AK159" i="197" s="1"/>
  <c r="AK64" i="198" s="1"/>
  <c r="J54" i="197"/>
  <c r="A1" i="197"/>
  <c r="AO206" i="196"/>
  <c r="AO208" i="196" s="1"/>
  <c r="AN206" i="196"/>
  <c r="AN208" i="196" s="1"/>
  <c r="AM206" i="196"/>
  <c r="AM208" i="196" s="1"/>
  <c r="AL206" i="196"/>
  <c r="AL208" i="196" s="1"/>
  <c r="AK206" i="196"/>
  <c r="AK208" i="196" s="1"/>
  <c r="AJ206" i="196"/>
  <c r="AJ208" i="196" s="1"/>
  <c r="AI206" i="196"/>
  <c r="AI208" i="196" s="1"/>
  <c r="AH206" i="196"/>
  <c r="AH208" i="196" s="1"/>
  <c r="AB206" i="196"/>
  <c r="AB208" i="196" s="1"/>
  <c r="W206" i="196"/>
  <c r="W208" i="196" s="1"/>
  <c r="R206" i="196"/>
  <c r="R208" i="196" s="1"/>
  <c r="Q206" i="196"/>
  <c r="Q208" i="196" s="1"/>
  <c r="L206" i="196"/>
  <c r="L208" i="196" s="1"/>
  <c r="K206" i="196"/>
  <c r="K208" i="196" s="1"/>
  <c r="AO197" i="196"/>
  <c r="AN197" i="196"/>
  <c r="AM197" i="196"/>
  <c r="AL197" i="196"/>
  <c r="AK197" i="196"/>
  <c r="AJ197" i="196"/>
  <c r="AI197" i="196"/>
  <c r="AH197" i="196"/>
  <c r="AB197" i="196"/>
  <c r="W197" i="196"/>
  <c r="R197" i="196"/>
  <c r="Q197" i="196"/>
  <c r="L197" i="196"/>
  <c r="K197" i="196"/>
  <c r="AO148" i="196" a="1"/>
  <c r="AO148" i="196" s="1"/>
  <c r="AO150" i="196" s="1"/>
  <c r="AN148" i="196" a="1"/>
  <c r="AN148" i="196" s="1"/>
  <c r="AN150" i="196" s="1"/>
  <c r="AM148" i="196" a="1"/>
  <c r="AM148" i="196" s="1"/>
  <c r="AM150" i="196" s="1"/>
  <c r="AL148" i="196" a="1"/>
  <c r="AL148" i="196" s="1"/>
  <c r="AL150" i="196" s="1"/>
  <c r="AK148" i="196" a="1"/>
  <c r="AK148" i="196" s="1"/>
  <c r="AK150" i="196" s="1"/>
  <c r="AJ148" i="196" a="1"/>
  <c r="AJ148" i="196" s="1"/>
  <c r="AJ150" i="196" s="1"/>
  <c r="AI148" i="196" a="1"/>
  <c r="AI148" i="196" s="1"/>
  <c r="AI150" i="196" s="1"/>
  <c r="AH148" i="196" a="1"/>
  <c r="AH148" i="196" s="1"/>
  <c r="AH150" i="196" s="1"/>
  <c r="AB148" i="196" a="1"/>
  <c r="AB148" i="196" s="1"/>
  <c r="AB150" i="196" s="1"/>
  <c r="W148" i="196" a="1"/>
  <c r="W148" i="196" s="1"/>
  <c r="W150" i="196" s="1"/>
  <c r="R148" i="196" a="1"/>
  <c r="R148" i="196" s="1"/>
  <c r="R150" i="196" s="1"/>
  <c r="Q148" i="196" a="1"/>
  <c r="Q148" i="196" s="1"/>
  <c r="Q150" i="196" s="1"/>
  <c r="L148" i="196" a="1"/>
  <c r="L148" i="196" s="1"/>
  <c r="L150" i="196" s="1"/>
  <c r="K148" i="196" a="1"/>
  <c r="K148" i="196" s="1"/>
  <c r="K150" i="196" s="1"/>
  <c r="H124" i="196"/>
  <c r="AG102" i="196"/>
  <c r="AF102" i="196"/>
  <c r="AE102" i="196"/>
  <c r="AD102" i="196"/>
  <c r="AC102" i="196"/>
  <c r="AA102" i="196"/>
  <c r="Z102" i="196"/>
  <c r="Y102" i="196"/>
  <c r="X102" i="196"/>
  <c r="V102" i="196"/>
  <c r="U102" i="196"/>
  <c r="T102" i="196"/>
  <c r="S102" i="196"/>
  <c r="P102" i="196"/>
  <c r="O102" i="196"/>
  <c r="N102" i="196"/>
  <c r="M102" i="196"/>
  <c r="J102" i="196"/>
  <c r="AG101" i="196"/>
  <c r="AF101" i="196"/>
  <c r="AE101" i="196"/>
  <c r="AD101" i="196"/>
  <c r="AC101" i="196"/>
  <c r="AA101" i="196"/>
  <c r="Z101" i="196"/>
  <c r="Y101" i="196"/>
  <c r="X101" i="196"/>
  <c r="V101" i="196"/>
  <c r="U101" i="196"/>
  <c r="T101" i="196"/>
  <c r="S101" i="196"/>
  <c r="P101" i="196"/>
  <c r="O101" i="196"/>
  <c r="N101" i="196"/>
  <c r="M101" i="196"/>
  <c r="J101" i="196"/>
  <c r="AG100" i="196"/>
  <c r="AF100" i="196"/>
  <c r="AE100" i="196"/>
  <c r="AD100" i="196"/>
  <c r="AC100" i="196"/>
  <c r="AA100" i="196"/>
  <c r="Z100" i="196"/>
  <c r="Y100" i="196"/>
  <c r="X100" i="196"/>
  <c r="V100" i="196"/>
  <c r="U100" i="196"/>
  <c r="T100" i="196"/>
  <c r="S100" i="196"/>
  <c r="P100" i="196"/>
  <c r="O100" i="196"/>
  <c r="N100" i="196"/>
  <c r="M100" i="196"/>
  <c r="J100" i="196"/>
  <c r="AG99" i="196"/>
  <c r="AF99" i="196"/>
  <c r="AE99" i="196"/>
  <c r="AD99" i="196"/>
  <c r="AC99" i="196"/>
  <c r="AA99" i="196"/>
  <c r="Z99" i="196"/>
  <c r="Y99" i="196"/>
  <c r="X99" i="196"/>
  <c r="V99" i="196"/>
  <c r="U99" i="196"/>
  <c r="T99" i="196"/>
  <c r="S99" i="196"/>
  <c r="P99" i="196"/>
  <c r="O99" i="196"/>
  <c r="N99" i="196"/>
  <c r="M99" i="196"/>
  <c r="J99" i="196"/>
  <c r="AG98" i="196"/>
  <c r="AF98" i="196"/>
  <c r="AE98" i="196"/>
  <c r="AD98" i="196"/>
  <c r="AC98" i="196"/>
  <c r="AA98" i="196"/>
  <c r="Z98" i="196"/>
  <c r="Y98" i="196"/>
  <c r="X98" i="196"/>
  <c r="V98" i="196"/>
  <c r="U98" i="196"/>
  <c r="T98" i="196"/>
  <c r="S98" i="196"/>
  <c r="P98" i="196"/>
  <c r="O98" i="196"/>
  <c r="N98" i="196"/>
  <c r="M98" i="196"/>
  <c r="J98" i="196"/>
  <c r="AG97" i="196"/>
  <c r="AF97" i="196"/>
  <c r="AE97" i="196"/>
  <c r="AD97" i="196"/>
  <c r="AC97" i="196"/>
  <c r="AA97" i="196"/>
  <c r="Z97" i="196"/>
  <c r="Y97" i="196"/>
  <c r="X97" i="196"/>
  <c r="V97" i="196"/>
  <c r="U97" i="196"/>
  <c r="T97" i="196"/>
  <c r="S97" i="196"/>
  <c r="P97" i="196"/>
  <c r="O97" i="196"/>
  <c r="N97" i="196"/>
  <c r="M97" i="196"/>
  <c r="J97" i="196"/>
  <c r="AG96" i="196"/>
  <c r="AF96" i="196"/>
  <c r="AE96" i="196"/>
  <c r="AD96" i="196"/>
  <c r="AC96" i="196"/>
  <c r="AA96" i="196"/>
  <c r="Z96" i="196"/>
  <c r="Y96" i="196"/>
  <c r="X96" i="196"/>
  <c r="V96" i="196"/>
  <c r="U96" i="196"/>
  <c r="T96" i="196"/>
  <c r="S96" i="196"/>
  <c r="P96" i="196"/>
  <c r="O96" i="196"/>
  <c r="N96" i="196"/>
  <c r="M96" i="196"/>
  <c r="J96" i="196"/>
  <c r="AG95" i="196"/>
  <c r="AF95" i="196"/>
  <c r="AE95" i="196"/>
  <c r="AD95" i="196"/>
  <c r="AC95" i="196"/>
  <c r="AA95" i="196"/>
  <c r="Z95" i="196"/>
  <c r="Y95" i="196"/>
  <c r="X95" i="196"/>
  <c r="V95" i="196"/>
  <c r="U95" i="196"/>
  <c r="T95" i="196"/>
  <c r="S95" i="196"/>
  <c r="P95" i="196"/>
  <c r="O95" i="196"/>
  <c r="N95" i="196"/>
  <c r="M95" i="196"/>
  <c r="J95" i="196"/>
  <c r="AO37" i="196"/>
  <c r="AN37" i="196"/>
  <c r="AM37" i="196"/>
  <c r="AL37" i="196"/>
  <c r="AK37" i="196"/>
  <c r="AJ37" i="196"/>
  <c r="AI37" i="196"/>
  <c r="AH37" i="196"/>
  <c r="AG37" i="196"/>
  <c r="AF37" i="196"/>
  <c r="AE37" i="196"/>
  <c r="AD37" i="196"/>
  <c r="AC37" i="196"/>
  <c r="AB37" i="196"/>
  <c r="AA37" i="196"/>
  <c r="Z37" i="196"/>
  <c r="Y37" i="196"/>
  <c r="X37" i="196"/>
  <c r="W37" i="196"/>
  <c r="V37" i="196"/>
  <c r="U37" i="196"/>
  <c r="T37" i="196"/>
  <c r="S37" i="196"/>
  <c r="R37" i="196"/>
  <c r="Q37" i="196"/>
  <c r="P37" i="196"/>
  <c r="O37" i="196"/>
  <c r="N37" i="196"/>
  <c r="M37" i="196"/>
  <c r="L37" i="196"/>
  <c r="K37" i="196"/>
  <c r="J37" i="196"/>
  <c r="AG36" i="196"/>
  <c r="AF36" i="196"/>
  <c r="AE36" i="196"/>
  <c r="AD36" i="196"/>
  <c r="AC36" i="196"/>
  <c r="AA36" i="196"/>
  <c r="Z36" i="196"/>
  <c r="Y36" i="196"/>
  <c r="X36" i="196"/>
  <c r="V36" i="196"/>
  <c r="U36" i="196"/>
  <c r="T36" i="196"/>
  <c r="S36" i="196"/>
  <c r="P36" i="196"/>
  <c r="O36" i="196"/>
  <c r="N36" i="196"/>
  <c r="M36" i="196"/>
  <c r="J36" i="196"/>
  <c r="AG35" i="196"/>
  <c r="AF35" i="196"/>
  <c r="AE35" i="196"/>
  <c r="AD35" i="196"/>
  <c r="AC35" i="196"/>
  <c r="AA35" i="196"/>
  <c r="Z35" i="196"/>
  <c r="Y35" i="196"/>
  <c r="X35" i="196"/>
  <c r="V35" i="196"/>
  <c r="U35" i="196"/>
  <c r="T35" i="196"/>
  <c r="S35" i="196"/>
  <c r="P35" i="196"/>
  <c r="O35" i="196"/>
  <c r="N35" i="196"/>
  <c r="M35" i="196"/>
  <c r="J35" i="196"/>
  <c r="AG34" i="196"/>
  <c r="AF34" i="196"/>
  <c r="AF206" i="196" s="1"/>
  <c r="AF208" i="196" s="1"/>
  <c r="AE34" i="196"/>
  <c r="AE206" i="196" s="1"/>
  <c r="AE208" i="196" s="1"/>
  <c r="AD34" i="196"/>
  <c r="AD206" i="196" s="1"/>
  <c r="AD208" i="196" s="1"/>
  <c r="AC34" i="196"/>
  <c r="AC206" i="196" s="1"/>
  <c r="AC208" i="196" s="1"/>
  <c r="AA34" i="196"/>
  <c r="AA206" i="196" s="1"/>
  <c r="AA208" i="196" s="1"/>
  <c r="Z34" i="196"/>
  <c r="Z206" i="196" s="1"/>
  <c r="Z208" i="196" s="1"/>
  <c r="Y34" i="196"/>
  <c r="Y206" i="196" s="1"/>
  <c r="Y208" i="196" s="1"/>
  <c r="X34" i="196"/>
  <c r="X206" i="196" s="1"/>
  <c r="X208" i="196" s="1"/>
  <c r="V34" i="196"/>
  <c r="V206" i="196" s="1"/>
  <c r="V208" i="196" s="1"/>
  <c r="U34" i="196"/>
  <c r="U206" i="196" s="1"/>
  <c r="U208" i="196" s="1"/>
  <c r="T34" i="196"/>
  <c r="T206" i="196" s="1"/>
  <c r="T208" i="196" s="1"/>
  <c r="S34" i="196"/>
  <c r="S206" i="196" s="1"/>
  <c r="S208" i="196" s="1"/>
  <c r="P34" i="196"/>
  <c r="P206" i="196" s="1"/>
  <c r="P208" i="196" s="1"/>
  <c r="O34" i="196"/>
  <c r="O206" i="196" s="1"/>
  <c r="O208" i="196" s="1"/>
  <c r="N34" i="196"/>
  <c r="N206" i="196" s="1"/>
  <c r="N208" i="196" s="1"/>
  <c r="M34" i="196"/>
  <c r="M206" i="196" s="1"/>
  <c r="M208" i="196" s="1"/>
  <c r="J34" i="196"/>
  <c r="J206" i="196" s="1"/>
  <c r="J208" i="196" s="1"/>
  <c r="AG33" i="196"/>
  <c r="AG197" i="196" s="1"/>
  <c r="AF33" i="196"/>
  <c r="AE33" i="196"/>
  <c r="AD33" i="196"/>
  <c r="AC33" i="196"/>
  <c r="AA33" i="196"/>
  <c r="Z33" i="196"/>
  <c r="Y33" i="196"/>
  <c r="X33" i="196"/>
  <c r="V33" i="196"/>
  <c r="U33" i="196"/>
  <c r="T33" i="196"/>
  <c r="S33" i="196"/>
  <c r="P33" i="196"/>
  <c r="O33" i="196"/>
  <c r="N33" i="196"/>
  <c r="M33" i="196"/>
  <c r="J33" i="196"/>
  <c r="AO32" i="196"/>
  <c r="AO374" i="196" s="1"/>
  <c r="AO376" i="196" s="1"/>
  <c r="AO387" i="196" s="1"/>
  <c r="AN32" i="196"/>
  <c r="AN167" i="196" s="1"/>
  <c r="AN175" i="196" s="1"/>
  <c r="AM32" i="196"/>
  <c r="AL32" i="196"/>
  <c r="AK32" i="196"/>
  <c r="AJ32" i="196"/>
  <c r="AI32" i="196"/>
  <c r="AI154" i="196" s="1"/>
  <c r="AH32" i="196"/>
  <c r="AH167" i="196" s="1"/>
  <c r="AH175" i="196" s="1"/>
  <c r="AG32" i="196"/>
  <c r="AF32" i="196"/>
  <c r="AE32" i="196"/>
  <c r="AD32" i="196"/>
  <c r="AC32" i="196"/>
  <c r="AB32" i="196"/>
  <c r="AA32" i="196"/>
  <c r="Z32" i="196"/>
  <c r="Y32" i="196"/>
  <c r="X32" i="196"/>
  <c r="W32" i="196"/>
  <c r="V32" i="196"/>
  <c r="U32" i="196"/>
  <c r="T32" i="196"/>
  <c r="S32" i="196"/>
  <c r="R32" i="196"/>
  <c r="R341" i="196" s="1"/>
  <c r="Q32" i="196"/>
  <c r="Q374" i="196" s="1"/>
  <c r="Q376" i="196" s="1"/>
  <c r="Q387" i="196" s="1"/>
  <c r="P32" i="196"/>
  <c r="O32" i="196"/>
  <c r="N32" i="196"/>
  <c r="M32" i="196"/>
  <c r="L32" i="196"/>
  <c r="K32" i="196"/>
  <c r="J32" i="196"/>
  <c r="E31" i="196"/>
  <c r="Y25" i="196"/>
  <c r="X25" i="196"/>
  <c r="W25" i="196"/>
  <c r="V25" i="196"/>
  <c r="U25" i="196"/>
  <c r="T25" i="196"/>
  <c r="S25" i="196"/>
  <c r="R25" i="196"/>
  <c r="Y24" i="196"/>
  <c r="X24" i="196"/>
  <c r="W24" i="196"/>
  <c r="V24" i="196"/>
  <c r="U24" i="196"/>
  <c r="T24" i="196"/>
  <c r="S24" i="196"/>
  <c r="R24" i="196"/>
  <c r="A1" i="196"/>
  <c r="Y28" i="195"/>
  <c r="Y50" i="195" s="1"/>
  <c r="X28" i="195"/>
  <c r="X50" i="195" s="1"/>
  <c r="W28" i="195"/>
  <c r="W50" i="195" s="1"/>
  <c r="V28" i="195"/>
  <c r="U28" i="195"/>
  <c r="U50" i="195" s="1"/>
  <c r="T28" i="195"/>
  <c r="T50" i="195" s="1"/>
  <c r="S28" i="195"/>
  <c r="S50" i="195" s="1"/>
  <c r="R28" i="195"/>
  <c r="R50" i="195" s="1"/>
  <c r="Q28" i="195"/>
  <c r="Q50" i="195" s="1"/>
  <c r="P28" i="195"/>
  <c r="O28" i="195"/>
  <c r="N28" i="195"/>
  <c r="M28" i="195"/>
  <c r="M50" i="195" s="1"/>
  <c r="L28" i="195"/>
  <c r="K28" i="195"/>
  <c r="K50" i="195" s="1"/>
  <c r="J28" i="195"/>
  <c r="Y26" i="195"/>
  <c r="Y48" i="195" s="1"/>
  <c r="Y51" i="195" s="1"/>
  <c r="X26" i="195"/>
  <c r="X48" i="195" s="1"/>
  <c r="W26" i="195"/>
  <c r="W48" i="195" s="1"/>
  <c r="W51" i="195" s="1"/>
  <c r="V26" i="195"/>
  <c r="U26" i="195"/>
  <c r="U48" i="195" s="1"/>
  <c r="U51" i="195" s="1"/>
  <c r="T26" i="195"/>
  <c r="T48" i="195" s="1"/>
  <c r="S26" i="195"/>
  <c r="S48" i="195" s="1"/>
  <c r="R26" i="195"/>
  <c r="R48" i="195" s="1"/>
  <c r="R51" i="195" s="1"/>
  <c r="Q26" i="195"/>
  <c r="Q48" i="195" s="1"/>
  <c r="P26" i="195"/>
  <c r="P48" i="195" s="1"/>
  <c r="O26" i="195"/>
  <c r="O48" i="195" s="1"/>
  <c r="N26" i="195"/>
  <c r="M26" i="195"/>
  <c r="M48" i="195" s="1"/>
  <c r="M51" i="195" s="1"/>
  <c r="L26" i="195"/>
  <c r="L48" i="195" s="1"/>
  <c r="K26" i="195"/>
  <c r="K48" i="195" s="1"/>
  <c r="K51" i="195" s="1"/>
  <c r="J26" i="195"/>
  <c r="Y22" i="195"/>
  <c r="W22" i="195"/>
  <c r="U22" i="195"/>
  <c r="Y21" i="195"/>
  <c r="X21" i="195"/>
  <c r="W21" i="195"/>
  <c r="V21" i="195"/>
  <c r="U21" i="195"/>
  <c r="S21" i="195"/>
  <c r="P21" i="195"/>
  <c r="O21" i="195"/>
  <c r="A1" i="195"/>
  <c r="Q157" i="194"/>
  <c r="Q156" i="194"/>
  <c r="Y93" i="194"/>
  <c r="Y63" i="194"/>
  <c r="X63" i="194"/>
  <c r="W63" i="194"/>
  <c r="V63" i="194"/>
  <c r="U63" i="194"/>
  <c r="T63" i="194"/>
  <c r="S63" i="194"/>
  <c r="R63" i="194"/>
  <c r="Q63" i="194"/>
  <c r="P63" i="194"/>
  <c r="O63" i="194"/>
  <c r="N63" i="194"/>
  <c r="M63" i="194"/>
  <c r="L63" i="194"/>
  <c r="K63" i="194"/>
  <c r="J63" i="194"/>
  <c r="Y48" i="194"/>
  <c r="X48" i="194"/>
  <c r="W48" i="194"/>
  <c r="V48" i="194"/>
  <c r="U48" i="194"/>
  <c r="T48" i="194"/>
  <c r="S48" i="194"/>
  <c r="R48" i="194"/>
  <c r="Y47" i="194"/>
  <c r="X47" i="194"/>
  <c r="W47" i="194"/>
  <c r="V47" i="194"/>
  <c r="U47" i="194"/>
  <c r="T47" i="194"/>
  <c r="S47" i="194"/>
  <c r="R47" i="194"/>
  <c r="Y46" i="194"/>
  <c r="X46" i="194"/>
  <c r="W46" i="194"/>
  <c r="V46" i="194"/>
  <c r="U46" i="194"/>
  <c r="T46" i="194"/>
  <c r="S46" i="194"/>
  <c r="R46" i="194"/>
  <c r="Y45" i="194"/>
  <c r="X45" i="194"/>
  <c r="W45" i="194"/>
  <c r="V45" i="194"/>
  <c r="U45" i="194"/>
  <c r="T45" i="194"/>
  <c r="S45" i="194"/>
  <c r="R45" i="194"/>
  <c r="Y44" i="194"/>
  <c r="X44" i="194"/>
  <c r="W44" i="194"/>
  <c r="V44" i="194"/>
  <c r="U44" i="194"/>
  <c r="T44" i="194"/>
  <c r="S44" i="194"/>
  <c r="R44" i="194"/>
  <c r="Y43" i="194"/>
  <c r="X43" i="194"/>
  <c r="W43" i="194"/>
  <c r="V43" i="194"/>
  <c r="U43" i="194"/>
  <c r="T43" i="194"/>
  <c r="S43" i="194"/>
  <c r="R43" i="194"/>
  <c r="Y42" i="194"/>
  <c r="X42" i="194"/>
  <c r="W42" i="194"/>
  <c r="V42" i="194"/>
  <c r="U42" i="194"/>
  <c r="T42" i="194"/>
  <c r="S42" i="194"/>
  <c r="R42" i="194"/>
  <c r="Y41" i="194"/>
  <c r="X41" i="194"/>
  <c r="W41" i="194"/>
  <c r="V41" i="194"/>
  <c r="U41" i="194"/>
  <c r="T41" i="194"/>
  <c r="S41" i="194"/>
  <c r="R41" i="194"/>
  <c r="Y40" i="194"/>
  <c r="X40" i="194"/>
  <c r="W40" i="194"/>
  <c r="V40" i="194"/>
  <c r="U40" i="194"/>
  <c r="T40" i="194"/>
  <c r="S40" i="194"/>
  <c r="R40" i="194"/>
  <c r="Y39" i="194"/>
  <c r="X39" i="194"/>
  <c r="W39" i="194"/>
  <c r="V39" i="194"/>
  <c r="U39" i="194"/>
  <c r="T39" i="194"/>
  <c r="S39" i="194"/>
  <c r="R39" i="194"/>
  <c r="Y34" i="194"/>
  <c r="X34" i="194"/>
  <c r="W34" i="194"/>
  <c r="V34" i="194"/>
  <c r="U34" i="194"/>
  <c r="T34" i="194"/>
  <c r="S34" i="194"/>
  <c r="R34" i="194"/>
  <c r="Y33" i="194"/>
  <c r="X33" i="194"/>
  <c r="W33" i="194"/>
  <c r="V33" i="194"/>
  <c r="U33" i="194"/>
  <c r="T33" i="194"/>
  <c r="S33" i="194"/>
  <c r="R33" i="194"/>
  <c r="Y32" i="194"/>
  <c r="X32" i="194"/>
  <c r="W32" i="194"/>
  <c r="V32" i="194"/>
  <c r="U32" i="194"/>
  <c r="T32" i="194"/>
  <c r="S32" i="194"/>
  <c r="R32" i="194"/>
  <c r="Y31" i="194"/>
  <c r="X31" i="194"/>
  <c r="W31" i="194"/>
  <c r="V31" i="194"/>
  <c r="U31" i="194"/>
  <c r="T31" i="194"/>
  <c r="S31" i="194"/>
  <c r="R31" i="194"/>
  <c r="Y30" i="194"/>
  <c r="X30" i="194"/>
  <c r="W30" i="194"/>
  <c r="V30" i="194"/>
  <c r="U30" i="194"/>
  <c r="T30" i="194"/>
  <c r="S30" i="194"/>
  <c r="R30" i="194"/>
  <c r="Y29" i="194"/>
  <c r="X29" i="194"/>
  <c r="W29" i="194"/>
  <c r="V29" i="194"/>
  <c r="U29" i="194"/>
  <c r="T29" i="194"/>
  <c r="S29" i="194"/>
  <c r="R29" i="194"/>
  <c r="Y28" i="194"/>
  <c r="X28" i="194"/>
  <c r="W28" i="194"/>
  <c r="V28" i="194"/>
  <c r="U28" i="194"/>
  <c r="T28" i="194"/>
  <c r="S28" i="194"/>
  <c r="R28" i="194"/>
  <c r="Y27" i="194"/>
  <c r="X27" i="194"/>
  <c r="W27" i="194"/>
  <c r="V27" i="194"/>
  <c r="U27" i="194"/>
  <c r="T27" i="194"/>
  <c r="S27" i="194"/>
  <c r="R27" i="194"/>
  <c r="Y20" i="194"/>
  <c r="Y91" i="194" s="1"/>
  <c r="X20" i="194"/>
  <c r="X93" i="194" s="1"/>
  <c r="W20" i="194"/>
  <c r="W93" i="194" s="1"/>
  <c r="V20" i="194"/>
  <c r="U20" i="194"/>
  <c r="U93" i="194" s="1"/>
  <c r="T20" i="194"/>
  <c r="T93" i="194" s="1"/>
  <c r="S20" i="194"/>
  <c r="S93" i="194" s="1"/>
  <c r="R20" i="194"/>
  <c r="R93" i="194" s="1"/>
  <c r="A1" i="194"/>
  <c r="Y89" i="193"/>
  <c r="X89" i="193"/>
  <c r="W89" i="193"/>
  <c r="V89" i="193"/>
  <c r="U89" i="193"/>
  <c r="T89" i="193"/>
  <c r="S89" i="193"/>
  <c r="R89" i="193"/>
  <c r="Y88" i="193"/>
  <c r="X88" i="193"/>
  <c r="W88" i="193"/>
  <c r="V88" i="193"/>
  <c r="U88" i="193"/>
  <c r="T88" i="193"/>
  <c r="S88" i="193"/>
  <c r="R88" i="193"/>
  <c r="Y87" i="193"/>
  <c r="X87" i="193"/>
  <c r="W87" i="193"/>
  <c r="V87" i="193"/>
  <c r="U87" i="193"/>
  <c r="T87" i="193"/>
  <c r="S87" i="193"/>
  <c r="R87" i="193"/>
  <c r="Y86" i="193"/>
  <c r="X86" i="193"/>
  <c r="W86" i="193"/>
  <c r="V86" i="193"/>
  <c r="U86" i="193"/>
  <c r="T86" i="193"/>
  <c r="S86" i="193"/>
  <c r="R86" i="193"/>
  <c r="Y85" i="193"/>
  <c r="X85" i="193"/>
  <c r="W85" i="193"/>
  <c r="V85" i="193"/>
  <c r="U85" i="193"/>
  <c r="T85" i="193"/>
  <c r="S85" i="193"/>
  <c r="R85" i="193"/>
  <c r="Y84" i="193"/>
  <c r="X84" i="193"/>
  <c r="W84" i="193"/>
  <c r="V84" i="193"/>
  <c r="U84" i="193"/>
  <c r="T84" i="193"/>
  <c r="S84" i="193"/>
  <c r="R84" i="193"/>
  <c r="Y83" i="193"/>
  <c r="X83" i="193"/>
  <c r="W83" i="193"/>
  <c r="V83" i="193"/>
  <c r="U83" i="193"/>
  <c r="T83" i="193"/>
  <c r="S83" i="193"/>
  <c r="R83" i="193"/>
  <c r="Y82" i="193"/>
  <c r="X82" i="193"/>
  <c r="W82" i="193"/>
  <c r="V82" i="193"/>
  <c r="U82" i="193"/>
  <c r="T82" i="193"/>
  <c r="S82" i="193"/>
  <c r="R82" i="193"/>
  <c r="Y81" i="193"/>
  <c r="X81" i="193"/>
  <c r="W81" i="193"/>
  <c r="V81" i="193"/>
  <c r="U81" i="193"/>
  <c r="T81" i="193"/>
  <c r="S81" i="193"/>
  <c r="R81" i="193"/>
  <c r="Q81" i="193"/>
  <c r="P81" i="193"/>
  <c r="O81" i="193"/>
  <c r="N81" i="193"/>
  <c r="M81" i="193"/>
  <c r="L81" i="193"/>
  <c r="K81" i="193"/>
  <c r="J81" i="193"/>
  <c r="Y78" i="193"/>
  <c r="X78" i="193"/>
  <c r="W78" i="193"/>
  <c r="V78" i="193"/>
  <c r="U78" i="193"/>
  <c r="T78" i="193"/>
  <c r="S78" i="193"/>
  <c r="R78" i="193"/>
  <c r="Q78" i="193"/>
  <c r="P78" i="193"/>
  <c r="O78" i="193"/>
  <c r="N78" i="193"/>
  <c r="M78" i="193"/>
  <c r="L78" i="193"/>
  <c r="K78" i="193"/>
  <c r="J78" i="193"/>
  <c r="A1" i="193"/>
  <c r="Y123" i="192"/>
  <c r="X123" i="192"/>
  <c r="W123" i="192"/>
  <c r="V123" i="192"/>
  <c r="U123" i="192"/>
  <c r="T123" i="192"/>
  <c r="S123" i="192"/>
  <c r="R123" i="192"/>
  <c r="Q123" i="192"/>
  <c r="P123" i="192"/>
  <c r="O123" i="192"/>
  <c r="N123" i="192"/>
  <c r="M123" i="192"/>
  <c r="L123" i="192"/>
  <c r="K123" i="192"/>
  <c r="J123" i="192"/>
  <c r="Y122" i="192"/>
  <c r="X122" i="192"/>
  <c r="W122" i="192"/>
  <c r="V122" i="192"/>
  <c r="U122" i="192"/>
  <c r="T122" i="192"/>
  <c r="S122" i="192"/>
  <c r="R122" i="192"/>
  <c r="Q122" i="192"/>
  <c r="P122" i="192"/>
  <c r="O122" i="192"/>
  <c r="N122" i="192"/>
  <c r="M122" i="192"/>
  <c r="L122" i="192"/>
  <c r="K122" i="192"/>
  <c r="J122" i="192"/>
  <c r="Y121" i="192"/>
  <c r="Y293" i="192" s="1"/>
  <c r="X121" i="192"/>
  <c r="X293" i="192" s="1"/>
  <c r="W121" i="192"/>
  <c r="W293" i="192" s="1"/>
  <c r="V121" i="192"/>
  <c r="V293" i="192" s="1"/>
  <c r="U121" i="192"/>
  <c r="U293" i="192" s="1"/>
  <c r="T121" i="192"/>
  <c r="T293" i="192" s="1"/>
  <c r="S121" i="192"/>
  <c r="S293" i="192" s="1"/>
  <c r="R121" i="192"/>
  <c r="R293" i="192" s="1"/>
  <c r="Q121" i="192"/>
  <c r="Q293" i="192" s="1"/>
  <c r="P121" i="192"/>
  <c r="O121" i="192"/>
  <c r="O293" i="192" s="1"/>
  <c r="N121" i="192"/>
  <c r="M121" i="192"/>
  <c r="M293" i="192" s="1"/>
  <c r="L121" i="192"/>
  <c r="L293" i="192" s="1"/>
  <c r="K121" i="192"/>
  <c r="K293" i="192" s="1"/>
  <c r="J121" i="192"/>
  <c r="Y102" i="192"/>
  <c r="X102" i="192"/>
  <c r="W102" i="192"/>
  <c r="V102" i="192"/>
  <c r="U102" i="192"/>
  <c r="T102" i="192"/>
  <c r="S102" i="192"/>
  <c r="R102" i="192"/>
  <c r="Y101" i="192"/>
  <c r="X101" i="192"/>
  <c r="W101" i="192"/>
  <c r="V101" i="192"/>
  <c r="U101" i="192"/>
  <c r="T101" i="192"/>
  <c r="S101" i="192"/>
  <c r="R101" i="192"/>
  <c r="Y100" i="192"/>
  <c r="X100" i="192"/>
  <c r="W100" i="192"/>
  <c r="V100" i="192"/>
  <c r="U100" i="192"/>
  <c r="T100" i="192"/>
  <c r="S100" i="192"/>
  <c r="R100" i="192"/>
  <c r="Y99" i="192"/>
  <c r="X99" i="192"/>
  <c r="W99" i="192"/>
  <c r="V99" i="192"/>
  <c r="U99" i="192"/>
  <c r="T99" i="192"/>
  <c r="S99" i="192"/>
  <c r="R99" i="192"/>
  <c r="Y98" i="192"/>
  <c r="X98" i="192"/>
  <c r="W98" i="192"/>
  <c r="V98" i="192"/>
  <c r="U98" i="192"/>
  <c r="T98" i="192"/>
  <c r="S98" i="192"/>
  <c r="R98" i="192"/>
  <c r="Y97" i="192"/>
  <c r="X97" i="192"/>
  <c r="W97" i="192"/>
  <c r="V97" i="192"/>
  <c r="U97" i="192"/>
  <c r="T97" i="192"/>
  <c r="S97" i="192"/>
  <c r="R97" i="192"/>
  <c r="Y96" i="192"/>
  <c r="X96" i="192"/>
  <c r="W96" i="192"/>
  <c r="V96" i="192"/>
  <c r="U96" i="192"/>
  <c r="T96" i="192"/>
  <c r="S96" i="192"/>
  <c r="R96" i="192"/>
  <c r="Y95" i="192"/>
  <c r="X95" i="192"/>
  <c r="W95" i="192"/>
  <c r="V95" i="192"/>
  <c r="U95" i="192"/>
  <c r="T95" i="192"/>
  <c r="S95" i="192"/>
  <c r="R95" i="192"/>
  <c r="Y94" i="192"/>
  <c r="X94" i="192"/>
  <c r="W94" i="192"/>
  <c r="V94" i="192"/>
  <c r="U94" i="192"/>
  <c r="T94" i="192"/>
  <c r="S94" i="192"/>
  <c r="R94" i="192"/>
  <c r="Q94" i="192"/>
  <c r="P94" i="192"/>
  <c r="O94" i="192"/>
  <c r="N94" i="192"/>
  <c r="M94" i="192"/>
  <c r="L94" i="192"/>
  <c r="K94" i="192"/>
  <c r="J94" i="192"/>
  <c r="A1" i="192"/>
  <c r="Y120" i="191"/>
  <c r="X120" i="191"/>
  <c r="W120" i="191"/>
  <c r="V120" i="191"/>
  <c r="U120" i="191"/>
  <c r="T120" i="191"/>
  <c r="S120" i="191"/>
  <c r="R120" i="191"/>
  <c r="Y119" i="191"/>
  <c r="X119" i="191"/>
  <c r="W119" i="191"/>
  <c r="V119" i="191"/>
  <c r="U119" i="191"/>
  <c r="T119" i="191"/>
  <c r="S119" i="191"/>
  <c r="R119" i="191"/>
  <c r="Y118" i="191"/>
  <c r="X118" i="191"/>
  <c r="W118" i="191"/>
  <c r="V118" i="191"/>
  <c r="U118" i="191"/>
  <c r="T118" i="191"/>
  <c r="S118" i="191"/>
  <c r="R118" i="191"/>
  <c r="Y117" i="191"/>
  <c r="X117" i="191"/>
  <c r="W117" i="191"/>
  <c r="V117" i="191"/>
  <c r="U117" i="191"/>
  <c r="T117" i="191"/>
  <c r="S117" i="191"/>
  <c r="R117" i="191"/>
  <c r="Y116" i="191"/>
  <c r="X116" i="191"/>
  <c r="W116" i="191"/>
  <c r="V116" i="191"/>
  <c r="U116" i="191"/>
  <c r="T116" i="191"/>
  <c r="S116" i="191"/>
  <c r="R116" i="191"/>
  <c r="Y115" i="191"/>
  <c r="X115" i="191"/>
  <c r="W115" i="191"/>
  <c r="V115" i="191"/>
  <c r="U115" i="191"/>
  <c r="T115" i="191"/>
  <c r="S115" i="191"/>
  <c r="R115" i="191"/>
  <c r="Y114" i="191"/>
  <c r="X114" i="191"/>
  <c r="W114" i="191"/>
  <c r="V114" i="191"/>
  <c r="U114" i="191"/>
  <c r="T114" i="191"/>
  <c r="S114" i="191"/>
  <c r="R114" i="191"/>
  <c r="Y113" i="191"/>
  <c r="X113" i="191"/>
  <c r="W113" i="191"/>
  <c r="V113" i="191"/>
  <c r="U113" i="191"/>
  <c r="T113" i="191"/>
  <c r="S113" i="191"/>
  <c r="R113" i="191"/>
  <c r="Y112" i="191"/>
  <c r="X112" i="191"/>
  <c r="W112" i="191"/>
  <c r="V112" i="191"/>
  <c r="U112" i="191"/>
  <c r="T112" i="191"/>
  <c r="S112" i="191"/>
  <c r="R112" i="191"/>
  <c r="Q112" i="191"/>
  <c r="P112" i="191"/>
  <c r="O112" i="191"/>
  <c r="N112" i="191"/>
  <c r="M112" i="191"/>
  <c r="L112" i="191"/>
  <c r="K112" i="191"/>
  <c r="J112" i="191"/>
  <c r="A1" i="191"/>
  <c r="A1" i="190"/>
  <c r="A1" i="189"/>
  <c r="U129" i="188"/>
  <c r="T129" i="188"/>
  <c r="H84" i="188"/>
  <c r="K76" i="188"/>
  <c r="H39" i="188"/>
  <c r="H24" i="188"/>
  <c r="A1" i="188"/>
  <c r="A1" i="187"/>
  <c r="Y198" i="186"/>
  <c r="X198" i="186"/>
  <c r="W198" i="186"/>
  <c r="V198" i="186"/>
  <c r="U198" i="186"/>
  <c r="T198" i="186"/>
  <c r="S198" i="186"/>
  <c r="R198" i="186"/>
  <c r="Q198" i="186"/>
  <c r="P198" i="186"/>
  <c r="O198" i="186"/>
  <c r="N198" i="186"/>
  <c r="M198" i="186"/>
  <c r="M204" i="186" s="1"/>
  <c r="L198" i="186"/>
  <c r="K198" i="186"/>
  <c r="K204" i="186" s="1"/>
  <c r="J198" i="186"/>
  <c r="Y31" i="186"/>
  <c r="X31" i="186"/>
  <c r="W31" i="186"/>
  <c r="V31" i="186"/>
  <c r="U31" i="186"/>
  <c r="T31" i="186"/>
  <c r="S31" i="186"/>
  <c r="R31" i="186"/>
  <c r="Y30" i="186"/>
  <c r="X30" i="186"/>
  <c r="W30" i="186"/>
  <c r="V30" i="186"/>
  <c r="U30" i="186"/>
  <c r="T30" i="186"/>
  <c r="S30" i="186"/>
  <c r="R30" i="186"/>
  <c r="Y29" i="186"/>
  <c r="X29" i="186"/>
  <c r="W29" i="186"/>
  <c r="V29" i="186"/>
  <c r="U29" i="186"/>
  <c r="T29" i="186"/>
  <c r="S29" i="186"/>
  <c r="R29" i="186"/>
  <c r="Y28" i="186"/>
  <c r="X28" i="186"/>
  <c r="W28" i="186"/>
  <c r="V28" i="186"/>
  <c r="U28" i="186"/>
  <c r="T28" i="186"/>
  <c r="S28" i="186"/>
  <c r="R28" i="186"/>
  <c r="Y27" i="186"/>
  <c r="X27" i="186"/>
  <c r="W27" i="186"/>
  <c r="V27" i="186"/>
  <c r="U27" i="186"/>
  <c r="T27" i="186"/>
  <c r="S27" i="186"/>
  <c r="R27" i="186"/>
  <c r="Y26" i="186"/>
  <c r="X26" i="186"/>
  <c r="W26" i="186"/>
  <c r="V26" i="186"/>
  <c r="U26" i="186"/>
  <c r="T26" i="186"/>
  <c r="S26" i="186"/>
  <c r="R26" i="186"/>
  <c r="Y25" i="186"/>
  <c r="X25" i="186"/>
  <c r="W25" i="186"/>
  <c r="V25" i="186"/>
  <c r="U25" i="186"/>
  <c r="T25" i="186"/>
  <c r="S25" i="186"/>
  <c r="R25" i="186"/>
  <c r="Y24" i="186"/>
  <c r="X24" i="186"/>
  <c r="W24" i="186"/>
  <c r="V24" i="186"/>
  <c r="U24" i="186"/>
  <c r="T24" i="186"/>
  <c r="S24" i="186"/>
  <c r="R24" i="186"/>
  <c r="Y23" i="186"/>
  <c r="X23" i="186"/>
  <c r="W23" i="186"/>
  <c r="V23" i="186"/>
  <c r="U23" i="186"/>
  <c r="T23" i="186"/>
  <c r="S23" i="186"/>
  <c r="R23" i="186"/>
  <c r="Q23" i="186"/>
  <c r="P23" i="186"/>
  <c r="O23" i="186"/>
  <c r="N23" i="186"/>
  <c r="M23" i="186"/>
  <c r="L23" i="186"/>
  <c r="K23" i="186"/>
  <c r="J23" i="186"/>
  <c r="A1" i="186"/>
  <c r="P38" i="185"/>
  <c r="O38" i="185"/>
  <c r="N38" i="185"/>
  <c r="M38" i="185"/>
  <c r="L38" i="185"/>
  <c r="K38" i="185"/>
  <c r="J38" i="185"/>
  <c r="Y20" i="185"/>
  <c r="X20" i="185"/>
  <c r="W20" i="185"/>
  <c r="V20" i="185"/>
  <c r="U20" i="185"/>
  <c r="T20" i="185"/>
  <c r="S20" i="185"/>
  <c r="R20" i="185"/>
  <c r="Q20" i="185"/>
  <c r="P20" i="185"/>
  <c r="O20" i="185"/>
  <c r="N20" i="185"/>
  <c r="M20" i="185"/>
  <c r="L20" i="185"/>
  <c r="K20" i="185"/>
  <c r="J20" i="185"/>
  <c r="A1" i="185"/>
  <c r="Y655" i="184"/>
  <c r="X655" i="184"/>
  <c r="W655" i="184"/>
  <c r="V655" i="184"/>
  <c r="U655" i="184"/>
  <c r="T655" i="184"/>
  <c r="S655" i="184"/>
  <c r="R655" i="184"/>
  <c r="Q655" i="184"/>
  <c r="M655" i="184"/>
  <c r="K655" i="184"/>
  <c r="J655" i="184"/>
  <c r="Y654" i="184"/>
  <c r="X654" i="184"/>
  <c r="W654" i="184"/>
  <c r="V654" i="184"/>
  <c r="U654" i="184"/>
  <c r="T654" i="184"/>
  <c r="S654" i="184"/>
  <c r="R654" i="184"/>
  <c r="Q654" i="184"/>
  <c r="M654" i="184"/>
  <c r="K654" i="184"/>
  <c r="J654" i="184"/>
  <c r="Y653" i="184"/>
  <c r="X653" i="184"/>
  <c r="W653" i="184"/>
  <c r="V653" i="184"/>
  <c r="U653" i="184"/>
  <c r="T653" i="184"/>
  <c r="S653" i="184"/>
  <c r="R653" i="184"/>
  <c r="Q653" i="184"/>
  <c r="M653" i="184"/>
  <c r="K653" i="184"/>
  <c r="J653" i="184"/>
  <c r="Y652" i="184"/>
  <c r="X652" i="184"/>
  <c r="W652" i="184"/>
  <c r="V652" i="184"/>
  <c r="U652" i="184"/>
  <c r="T652" i="184"/>
  <c r="S652" i="184"/>
  <c r="R652" i="184"/>
  <c r="M652" i="184"/>
  <c r="K652" i="184"/>
  <c r="Q651" i="184"/>
  <c r="J651" i="184"/>
  <c r="Y649" i="184"/>
  <c r="X649" i="184"/>
  <c r="W649" i="184"/>
  <c r="V649" i="184"/>
  <c r="U649" i="184"/>
  <c r="T649" i="184"/>
  <c r="S649" i="184"/>
  <c r="R649" i="184"/>
  <c r="Q649" i="184"/>
  <c r="M649" i="184"/>
  <c r="K649" i="184"/>
  <c r="J649" i="184"/>
  <c r="Y648" i="184"/>
  <c r="X648" i="184"/>
  <c r="W648" i="184"/>
  <c r="V648" i="184"/>
  <c r="U648" i="184"/>
  <c r="T648" i="184"/>
  <c r="S648" i="184"/>
  <c r="R648" i="184"/>
  <c r="Q648" i="184"/>
  <c r="M648" i="184"/>
  <c r="K648" i="184"/>
  <c r="J648" i="184"/>
  <c r="Y647" i="184"/>
  <c r="X647" i="184"/>
  <c r="W647" i="184"/>
  <c r="V647" i="184"/>
  <c r="U647" i="184"/>
  <c r="T647" i="184"/>
  <c r="S647" i="184"/>
  <c r="R647" i="184"/>
  <c r="Q647" i="184"/>
  <c r="M647" i="184"/>
  <c r="K647" i="184"/>
  <c r="J647" i="184"/>
  <c r="Y646" i="184"/>
  <c r="X646" i="184"/>
  <c r="W646" i="184"/>
  <c r="V646" i="184"/>
  <c r="U646" i="184"/>
  <c r="T646" i="184"/>
  <c r="S646" i="184"/>
  <c r="R646" i="184"/>
  <c r="M646" i="184"/>
  <c r="K646" i="184"/>
  <c r="Q645" i="184"/>
  <c r="J645" i="184"/>
  <c r="Y643" i="184"/>
  <c r="X643" i="184"/>
  <c r="W643" i="184"/>
  <c r="V643" i="184"/>
  <c r="U643" i="184"/>
  <c r="T643" i="184"/>
  <c r="S643" i="184"/>
  <c r="R643" i="184"/>
  <c r="Q643" i="184"/>
  <c r="M643" i="184"/>
  <c r="K643" i="184"/>
  <c r="J643" i="184"/>
  <c r="Y642" i="184"/>
  <c r="X642" i="184"/>
  <c r="W642" i="184"/>
  <c r="V642" i="184"/>
  <c r="U642" i="184"/>
  <c r="T642" i="184"/>
  <c r="S642" i="184"/>
  <c r="R642" i="184"/>
  <c r="Q642" i="184"/>
  <c r="M642" i="184"/>
  <c r="K642" i="184"/>
  <c r="J642" i="184"/>
  <c r="Y641" i="184"/>
  <c r="X641" i="184"/>
  <c r="W641" i="184"/>
  <c r="V641" i="184"/>
  <c r="U641" i="184"/>
  <c r="T641" i="184"/>
  <c r="S641" i="184"/>
  <c r="R641" i="184"/>
  <c r="Q641" i="184"/>
  <c r="M641" i="184"/>
  <c r="K641" i="184"/>
  <c r="J641" i="184"/>
  <c r="Y640" i="184"/>
  <c r="X640" i="184"/>
  <c r="W640" i="184"/>
  <c r="V640" i="184"/>
  <c r="U640" i="184"/>
  <c r="T640" i="184"/>
  <c r="S640" i="184"/>
  <c r="R640" i="184"/>
  <c r="M640" i="184"/>
  <c r="K640" i="184"/>
  <c r="Q639" i="184"/>
  <c r="J639" i="184"/>
  <c r="Y637" i="184"/>
  <c r="X637" i="184"/>
  <c r="W637" i="184"/>
  <c r="V637" i="184"/>
  <c r="U637" i="184"/>
  <c r="T637" i="184"/>
  <c r="S637" i="184"/>
  <c r="R637" i="184"/>
  <c r="Q637" i="184"/>
  <c r="M637" i="184"/>
  <c r="K637" i="184"/>
  <c r="J637" i="184"/>
  <c r="Y636" i="184"/>
  <c r="X636" i="184"/>
  <c r="W636" i="184"/>
  <c r="V636" i="184"/>
  <c r="U636" i="184"/>
  <c r="T636" i="184"/>
  <c r="S636" i="184"/>
  <c r="R636" i="184"/>
  <c r="Q636" i="184"/>
  <c r="M636" i="184"/>
  <c r="K636" i="184"/>
  <c r="J636" i="184"/>
  <c r="Y635" i="184"/>
  <c r="X635" i="184"/>
  <c r="W635" i="184"/>
  <c r="V635" i="184"/>
  <c r="U635" i="184"/>
  <c r="T635" i="184"/>
  <c r="S635" i="184"/>
  <c r="R635" i="184"/>
  <c r="Q635" i="184"/>
  <c r="M635" i="184"/>
  <c r="K635" i="184"/>
  <c r="J635" i="184"/>
  <c r="Y634" i="184"/>
  <c r="X634" i="184"/>
  <c r="W634" i="184"/>
  <c r="V634" i="184"/>
  <c r="U634" i="184"/>
  <c r="T634" i="184"/>
  <c r="S634" i="184"/>
  <c r="R634" i="184"/>
  <c r="M634" i="184"/>
  <c r="K634" i="184"/>
  <c r="Q633" i="184"/>
  <c r="J633" i="184"/>
  <c r="Y631" i="184"/>
  <c r="X631" i="184"/>
  <c r="W631" i="184"/>
  <c r="V631" i="184"/>
  <c r="U631" i="184"/>
  <c r="T631" i="184"/>
  <c r="S631" i="184"/>
  <c r="R631" i="184"/>
  <c r="Q631" i="184"/>
  <c r="M631" i="184"/>
  <c r="K631" i="184"/>
  <c r="J631" i="184"/>
  <c r="Y630" i="184"/>
  <c r="X630" i="184"/>
  <c r="W630" i="184"/>
  <c r="V630" i="184"/>
  <c r="U630" i="184"/>
  <c r="T630" i="184"/>
  <c r="S630" i="184"/>
  <c r="R630" i="184"/>
  <c r="Q630" i="184"/>
  <c r="M630" i="184"/>
  <c r="K630" i="184"/>
  <c r="J630" i="184"/>
  <c r="Y629" i="184"/>
  <c r="X629" i="184"/>
  <c r="W629" i="184"/>
  <c r="V629" i="184"/>
  <c r="U629" i="184"/>
  <c r="T629" i="184"/>
  <c r="S629" i="184"/>
  <c r="R629" i="184"/>
  <c r="Q629" i="184"/>
  <c r="M629" i="184"/>
  <c r="K629" i="184"/>
  <c r="J629" i="184"/>
  <c r="Y628" i="184"/>
  <c r="X628" i="184"/>
  <c r="W628" i="184"/>
  <c r="V628" i="184"/>
  <c r="U628" i="184"/>
  <c r="T628" i="184"/>
  <c r="S628" i="184"/>
  <c r="R628" i="184"/>
  <c r="M628" i="184"/>
  <c r="K628" i="184"/>
  <c r="Q627" i="184"/>
  <c r="J627" i="184"/>
  <c r="Y625" i="184"/>
  <c r="X625" i="184"/>
  <c r="W625" i="184"/>
  <c r="V625" i="184"/>
  <c r="U625" i="184"/>
  <c r="T625" i="184"/>
  <c r="S625" i="184"/>
  <c r="R625" i="184"/>
  <c r="Q625" i="184"/>
  <c r="M625" i="184"/>
  <c r="K625" i="184"/>
  <c r="J625" i="184"/>
  <c r="Y624" i="184"/>
  <c r="X624" i="184"/>
  <c r="W624" i="184"/>
  <c r="V624" i="184"/>
  <c r="U624" i="184"/>
  <c r="T624" i="184"/>
  <c r="S624" i="184"/>
  <c r="R624" i="184"/>
  <c r="Q624" i="184"/>
  <c r="M624" i="184"/>
  <c r="K624" i="184"/>
  <c r="J624" i="184"/>
  <c r="Y623" i="184"/>
  <c r="X623" i="184"/>
  <c r="W623" i="184"/>
  <c r="V623" i="184"/>
  <c r="U623" i="184"/>
  <c r="T623" i="184"/>
  <c r="S623" i="184"/>
  <c r="R623" i="184"/>
  <c r="Q623" i="184"/>
  <c r="M623" i="184"/>
  <c r="K623" i="184"/>
  <c r="J623" i="184"/>
  <c r="Y622" i="184"/>
  <c r="X622" i="184"/>
  <c r="W622" i="184"/>
  <c r="V622" i="184"/>
  <c r="U622" i="184"/>
  <c r="T622" i="184"/>
  <c r="S622" i="184"/>
  <c r="R622" i="184"/>
  <c r="M622" i="184"/>
  <c r="K622" i="184"/>
  <c r="Q621" i="184"/>
  <c r="J621" i="184"/>
  <c r="Y619" i="184"/>
  <c r="X619" i="184"/>
  <c r="W619" i="184"/>
  <c r="V619" i="184"/>
  <c r="U619" i="184"/>
  <c r="T619" i="184"/>
  <c r="S619" i="184"/>
  <c r="R619" i="184"/>
  <c r="Q619" i="184"/>
  <c r="M619" i="184"/>
  <c r="K619" i="184"/>
  <c r="J619" i="184"/>
  <c r="Y618" i="184"/>
  <c r="X618" i="184"/>
  <c r="W618" i="184"/>
  <c r="V618" i="184"/>
  <c r="U618" i="184"/>
  <c r="T618" i="184"/>
  <c r="S618" i="184"/>
  <c r="R618" i="184"/>
  <c r="Q618" i="184"/>
  <c r="M618" i="184"/>
  <c r="K618" i="184"/>
  <c r="J618" i="184"/>
  <c r="Y617" i="184"/>
  <c r="X617" i="184"/>
  <c r="W617" i="184"/>
  <c r="V617" i="184"/>
  <c r="U617" i="184"/>
  <c r="T617" i="184"/>
  <c r="S617" i="184"/>
  <c r="R617" i="184"/>
  <c r="Q617" i="184"/>
  <c r="M617" i="184"/>
  <c r="K617" i="184"/>
  <c r="J617" i="184"/>
  <c r="Y616" i="184"/>
  <c r="X616" i="184"/>
  <c r="W616" i="184"/>
  <c r="V616" i="184"/>
  <c r="U616" i="184"/>
  <c r="T616" i="184"/>
  <c r="S616" i="184"/>
  <c r="R616" i="184"/>
  <c r="M616" i="184"/>
  <c r="K616" i="184"/>
  <c r="Q615" i="184"/>
  <c r="J615" i="184"/>
  <c r="Y611" i="184"/>
  <c r="X611" i="184"/>
  <c r="W611" i="184"/>
  <c r="V611" i="184"/>
  <c r="U611" i="184"/>
  <c r="T611" i="184"/>
  <c r="S611" i="184"/>
  <c r="R611" i="184"/>
  <c r="Q611" i="184"/>
  <c r="M611" i="184"/>
  <c r="K611" i="184"/>
  <c r="J611" i="184"/>
  <c r="Y610" i="184"/>
  <c r="X610" i="184"/>
  <c r="W610" i="184"/>
  <c r="V610" i="184"/>
  <c r="U610" i="184"/>
  <c r="T610" i="184"/>
  <c r="S610" i="184"/>
  <c r="R610" i="184"/>
  <c r="Q610" i="184"/>
  <c r="M610" i="184"/>
  <c r="K610" i="184"/>
  <c r="J610" i="184"/>
  <c r="Y609" i="184"/>
  <c r="X609" i="184"/>
  <c r="W609" i="184"/>
  <c r="V609" i="184"/>
  <c r="U609" i="184"/>
  <c r="T609" i="184"/>
  <c r="S609" i="184"/>
  <c r="R609" i="184"/>
  <c r="Q609" i="184"/>
  <c r="M609" i="184"/>
  <c r="K609" i="184"/>
  <c r="J609" i="184"/>
  <c r="Y608" i="184"/>
  <c r="X608" i="184"/>
  <c r="W608" i="184"/>
  <c r="V608" i="184"/>
  <c r="U608" i="184"/>
  <c r="T608" i="184"/>
  <c r="S608" i="184"/>
  <c r="R608" i="184"/>
  <c r="M608" i="184"/>
  <c r="K608" i="184"/>
  <c r="Y607" i="184"/>
  <c r="X607" i="184"/>
  <c r="W607" i="184"/>
  <c r="V607" i="184"/>
  <c r="S607" i="184"/>
  <c r="Q607" i="184"/>
  <c r="J607" i="184"/>
  <c r="Y605" i="184"/>
  <c r="X605" i="184"/>
  <c r="W605" i="184"/>
  <c r="V605" i="184"/>
  <c r="U605" i="184"/>
  <c r="T605" i="184"/>
  <c r="S605" i="184"/>
  <c r="R605" i="184"/>
  <c r="Q605" i="184"/>
  <c r="M605" i="184"/>
  <c r="K605" i="184"/>
  <c r="J605" i="184"/>
  <c r="Y604" i="184"/>
  <c r="X604" i="184"/>
  <c r="W604" i="184"/>
  <c r="V604" i="184"/>
  <c r="U604" i="184"/>
  <c r="T604" i="184"/>
  <c r="S604" i="184"/>
  <c r="R604" i="184"/>
  <c r="Q604" i="184"/>
  <c r="M604" i="184"/>
  <c r="K604" i="184"/>
  <c r="J604" i="184"/>
  <c r="Y603" i="184"/>
  <c r="X603" i="184"/>
  <c r="W603" i="184"/>
  <c r="V603" i="184"/>
  <c r="U603" i="184"/>
  <c r="T603" i="184"/>
  <c r="S603" i="184"/>
  <c r="R603" i="184"/>
  <c r="Q603" i="184"/>
  <c r="M603" i="184"/>
  <c r="K603" i="184"/>
  <c r="J603" i="184"/>
  <c r="Y602" i="184"/>
  <c r="X602" i="184"/>
  <c r="W602" i="184"/>
  <c r="V602" i="184"/>
  <c r="U602" i="184"/>
  <c r="T602" i="184"/>
  <c r="S602" i="184"/>
  <c r="R602" i="184"/>
  <c r="M602" i="184"/>
  <c r="K602" i="184"/>
  <c r="Y601" i="184"/>
  <c r="X601" i="184"/>
  <c r="W601" i="184"/>
  <c r="V601" i="184"/>
  <c r="S601" i="184"/>
  <c r="AI38" i="198" s="1"/>
  <c r="Q601" i="184"/>
  <c r="J601" i="184"/>
  <c r="Y599" i="184"/>
  <c r="X599" i="184"/>
  <c r="W599" i="184"/>
  <c r="V599" i="184"/>
  <c r="U599" i="184"/>
  <c r="T599" i="184"/>
  <c r="S599" i="184"/>
  <c r="R599" i="184"/>
  <c r="Q599" i="184"/>
  <c r="M599" i="184"/>
  <c r="K599" i="184"/>
  <c r="J599" i="184"/>
  <c r="Y598" i="184"/>
  <c r="X598" i="184"/>
  <c r="W598" i="184"/>
  <c r="V598" i="184"/>
  <c r="U598" i="184"/>
  <c r="T598" i="184"/>
  <c r="S598" i="184"/>
  <c r="R598" i="184"/>
  <c r="Q598" i="184"/>
  <c r="M598" i="184"/>
  <c r="K598" i="184"/>
  <c r="J598" i="184"/>
  <c r="Y597" i="184"/>
  <c r="X597" i="184"/>
  <c r="W597" i="184"/>
  <c r="V597" i="184"/>
  <c r="U597" i="184"/>
  <c r="T597" i="184"/>
  <c r="S597" i="184"/>
  <c r="R597" i="184"/>
  <c r="Q597" i="184"/>
  <c r="M597" i="184"/>
  <c r="K597" i="184"/>
  <c r="J597" i="184"/>
  <c r="Y596" i="184"/>
  <c r="X596" i="184"/>
  <c r="W596" i="184"/>
  <c r="V596" i="184"/>
  <c r="U596" i="184"/>
  <c r="T596" i="184"/>
  <c r="S596" i="184"/>
  <c r="R596" i="184"/>
  <c r="M596" i="184"/>
  <c r="K596" i="184"/>
  <c r="Y595" i="184"/>
  <c r="X595" i="184"/>
  <c r="W595" i="184"/>
  <c r="V595" i="184"/>
  <c r="S595" i="184"/>
  <c r="AI37" i="198" s="1"/>
  <c r="Q595" i="184"/>
  <c r="J595" i="184"/>
  <c r="Y593" i="184"/>
  <c r="X593" i="184"/>
  <c r="W593" i="184"/>
  <c r="V593" i="184"/>
  <c r="U593" i="184"/>
  <c r="T593" i="184"/>
  <c r="S593" i="184"/>
  <c r="R593" i="184"/>
  <c r="Q593" i="184"/>
  <c r="M593" i="184"/>
  <c r="K593" i="184"/>
  <c r="J593" i="184"/>
  <c r="Y592" i="184"/>
  <c r="X592" i="184"/>
  <c r="W592" i="184"/>
  <c r="V592" i="184"/>
  <c r="U592" i="184"/>
  <c r="T592" i="184"/>
  <c r="S592" i="184"/>
  <c r="R592" i="184"/>
  <c r="Q592" i="184"/>
  <c r="M592" i="184"/>
  <c r="K592" i="184"/>
  <c r="J592" i="184"/>
  <c r="Y591" i="184"/>
  <c r="X591" i="184"/>
  <c r="W591" i="184"/>
  <c r="V591" i="184"/>
  <c r="U591" i="184"/>
  <c r="T591" i="184"/>
  <c r="S591" i="184"/>
  <c r="R591" i="184"/>
  <c r="Q591" i="184"/>
  <c r="M591" i="184"/>
  <c r="K591" i="184"/>
  <c r="J591" i="184"/>
  <c r="Y590" i="184"/>
  <c r="X590" i="184"/>
  <c r="W590" i="184"/>
  <c r="V590" i="184"/>
  <c r="U590" i="184"/>
  <c r="T590" i="184"/>
  <c r="S590" i="184"/>
  <c r="R590" i="184"/>
  <c r="M590" i="184"/>
  <c r="K590" i="184"/>
  <c r="Y589" i="184"/>
  <c r="X589" i="184"/>
  <c r="W589" i="184"/>
  <c r="V589" i="184"/>
  <c r="S589" i="184"/>
  <c r="AI36" i="198" s="1"/>
  <c r="Q589" i="184"/>
  <c r="J589" i="184"/>
  <c r="Y587" i="184"/>
  <c r="X587" i="184"/>
  <c r="W587" i="184"/>
  <c r="V587" i="184"/>
  <c r="U587" i="184"/>
  <c r="T587" i="184"/>
  <c r="S587" i="184"/>
  <c r="R587" i="184"/>
  <c r="Q587" i="184"/>
  <c r="M587" i="184"/>
  <c r="K587" i="184"/>
  <c r="J587" i="184"/>
  <c r="Y586" i="184"/>
  <c r="X586" i="184"/>
  <c r="W586" i="184"/>
  <c r="V586" i="184"/>
  <c r="U586" i="184"/>
  <c r="T586" i="184"/>
  <c r="S586" i="184"/>
  <c r="R586" i="184"/>
  <c r="Q586" i="184"/>
  <c r="M586" i="184"/>
  <c r="K586" i="184"/>
  <c r="J586" i="184"/>
  <c r="Y585" i="184"/>
  <c r="X585" i="184"/>
  <c r="W585" i="184"/>
  <c r="V585" i="184"/>
  <c r="U585" i="184"/>
  <c r="T585" i="184"/>
  <c r="S585" i="184"/>
  <c r="R585" i="184"/>
  <c r="Q585" i="184"/>
  <c r="M585" i="184"/>
  <c r="K585" i="184"/>
  <c r="J585" i="184"/>
  <c r="Y584" i="184"/>
  <c r="X584" i="184"/>
  <c r="W584" i="184"/>
  <c r="V584" i="184"/>
  <c r="U584" i="184"/>
  <c r="T584" i="184"/>
  <c r="S584" i="184"/>
  <c r="R584" i="184"/>
  <c r="M584" i="184"/>
  <c r="K584" i="184"/>
  <c r="Y583" i="184"/>
  <c r="X583" i="184"/>
  <c r="W583" i="184"/>
  <c r="V583" i="184"/>
  <c r="S583" i="184"/>
  <c r="AI35" i="198" s="1"/>
  <c r="Q583" i="184"/>
  <c r="J583" i="184"/>
  <c r="Y581" i="184"/>
  <c r="X581" i="184"/>
  <c r="W581" i="184"/>
  <c r="V581" i="184"/>
  <c r="U581" i="184"/>
  <c r="T581" i="184"/>
  <c r="S581" i="184"/>
  <c r="R581" i="184"/>
  <c r="Q581" i="184"/>
  <c r="M581" i="184"/>
  <c r="K581" i="184"/>
  <c r="J581" i="184"/>
  <c r="Y580" i="184"/>
  <c r="X580" i="184"/>
  <c r="W580" i="184"/>
  <c r="V580" i="184"/>
  <c r="U580" i="184"/>
  <c r="T580" i="184"/>
  <c r="S580" i="184"/>
  <c r="R580" i="184"/>
  <c r="Q580" i="184"/>
  <c r="M580" i="184"/>
  <c r="K580" i="184"/>
  <c r="J580" i="184"/>
  <c r="Y579" i="184"/>
  <c r="X579" i="184"/>
  <c r="W579" i="184"/>
  <c r="V579" i="184"/>
  <c r="U579" i="184"/>
  <c r="T579" i="184"/>
  <c r="S579" i="184"/>
  <c r="R579" i="184"/>
  <c r="Q579" i="184"/>
  <c r="M579" i="184"/>
  <c r="K579" i="184"/>
  <c r="J579" i="184"/>
  <c r="Y578" i="184"/>
  <c r="X578" i="184"/>
  <c r="W578" i="184"/>
  <c r="V578" i="184"/>
  <c r="U578" i="184"/>
  <c r="T578" i="184"/>
  <c r="S578" i="184"/>
  <c r="R578" i="184"/>
  <c r="M578" i="184"/>
  <c r="K578" i="184"/>
  <c r="Y577" i="184"/>
  <c r="X577" i="184"/>
  <c r="W577" i="184"/>
  <c r="V577" i="184"/>
  <c r="S577" i="184"/>
  <c r="AI34" i="198" s="1"/>
  <c r="Q577" i="184"/>
  <c r="J577" i="184"/>
  <c r="Y575" i="184"/>
  <c r="X575" i="184"/>
  <c r="W575" i="184"/>
  <c r="V575" i="184"/>
  <c r="U575" i="184"/>
  <c r="T575" i="184"/>
  <c r="S575" i="184"/>
  <c r="R575" i="184"/>
  <c r="Q575" i="184"/>
  <c r="M575" i="184"/>
  <c r="K575" i="184"/>
  <c r="J575" i="184"/>
  <c r="Y574" i="184"/>
  <c r="X574" i="184"/>
  <c r="W574" i="184"/>
  <c r="V574" i="184"/>
  <c r="U574" i="184"/>
  <c r="T574" i="184"/>
  <c r="S574" i="184"/>
  <c r="R574" i="184"/>
  <c r="Q574" i="184"/>
  <c r="M574" i="184"/>
  <c r="K574" i="184"/>
  <c r="J574" i="184"/>
  <c r="Y573" i="184"/>
  <c r="X573" i="184"/>
  <c r="W573" i="184"/>
  <c r="V573" i="184"/>
  <c r="U573" i="184"/>
  <c r="T573" i="184"/>
  <c r="S573" i="184"/>
  <c r="R573" i="184"/>
  <c r="Q573" i="184"/>
  <c r="M573" i="184"/>
  <c r="K573" i="184"/>
  <c r="J573" i="184"/>
  <c r="Y572" i="184"/>
  <c r="X572" i="184"/>
  <c r="W572" i="184"/>
  <c r="V572" i="184"/>
  <c r="U572" i="184"/>
  <c r="T572" i="184"/>
  <c r="S572" i="184"/>
  <c r="R572" i="184"/>
  <c r="M572" i="184"/>
  <c r="K572" i="184"/>
  <c r="Y571" i="184"/>
  <c r="X571" i="184"/>
  <c r="W571" i="184"/>
  <c r="V571" i="184"/>
  <c r="S571" i="184"/>
  <c r="AI33" i="198" s="1"/>
  <c r="Q571" i="184"/>
  <c r="J571" i="184"/>
  <c r="Y567" i="184"/>
  <c r="X567" i="184"/>
  <c r="W567" i="184"/>
  <c r="V567" i="184"/>
  <c r="U567" i="184"/>
  <c r="T567" i="184"/>
  <c r="S567" i="184"/>
  <c r="R567" i="184"/>
  <c r="Q567" i="184"/>
  <c r="M567" i="184"/>
  <c r="K567" i="184"/>
  <c r="J567" i="184"/>
  <c r="Y566" i="184"/>
  <c r="X566" i="184"/>
  <c r="W566" i="184"/>
  <c r="V566" i="184"/>
  <c r="U566" i="184"/>
  <c r="T566" i="184"/>
  <c r="S566" i="184"/>
  <c r="R566" i="184"/>
  <c r="Q566" i="184"/>
  <c r="M566" i="184"/>
  <c r="K566" i="184"/>
  <c r="J566" i="184"/>
  <c r="Y565" i="184"/>
  <c r="X565" i="184"/>
  <c r="W565" i="184"/>
  <c r="V565" i="184"/>
  <c r="U565" i="184"/>
  <c r="T565" i="184"/>
  <c r="S565" i="184"/>
  <c r="R565" i="184"/>
  <c r="Q565" i="184"/>
  <c r="M565" i="184"/>
  <c r="K565" i="184"/>
  <c r="J565" i="184"/>
  <c r="Y564" i="184"/>
  <c r="X564" i="184"/>
  <c r="W564" i="184"/>
  <c r="V564" i="184"/>
  <c r="U564" i="184"/>
  <c r="T564" i="184"/>
  <c r="S564" i="184"/>
  <c r="R564" i="184"/>
  <c r="M564" i="184"/>
  <c r="K564" i="184"/>
  <c r="Q563" i="184"/>
  <c r="J563" i="184"/>
  <c r="Y561" i="184"/>
  <c r="X561" i="184"/>
  <c r="W561" i="184"/>
  <c r="V561" i="184"/>
  <c r="U561" i="184"/>
  <c r="T561" i="184"/>
  <c r="S561" i="184"/>
  <c r="R561" i="184"/>
  <c r="Q561" i="184"/>
  <c r="M561" i="184"/>
  <c r="K561" i="184"/>
  <c r="J561" i="184"/>
  <c r="Y560" i="184"/>
  <c r="X560" i="184"/>
  <c r="W560" i="184"/>
  <c r="V560" i="184"/>
  <c r="U560" i="184"/>
  <c r="T560" i="184"/>
  <c r="S560" i="184"/>
  <c r="R560" i="184"/>
  <c r="Q560" i="184"/>
  <c r="M560" i="184"/>
  <c r="K560" i="184"/>
  <c r="J560" i="184"/>
  <c r="Y559" i="184"/>
  <c r="X559" i="184"/>
  <c r="W559" i="184"/>
  <c r="V559" i="184"/>
  <c r="U559" i="184"/>
  <c r="T559" i="184"/>
  <c r="S559" i="184"/>
  <c r="R559" i="184"/>
  <c r="Q559" i="184"/>
  <c r="M559" i="184"/>
  <c r="K559" i="184"/>
  <c r="J559" i="184"/>
  <c r="Y558" i="184"/>
  <c r="X558" i="184"/>
  <c r="W558" i="184"/>
  <c r="V558" i="184"/>
  <c r="U558" i="184"/>
  <c r="T558" i="184"/>
  <c r="S558" i="184"/>
  <c r="R558" i="184"/>
  <c r="M558" i="184"/>
  <c r="K558" i="184"/>
  <c r="Q557" i="184"/>
  <c r="J557" i="184"/>
  <c r="Y555" i="184"/>
  <c r="X555" i="184"/>
  <c r="W555" i="184"/>
  <c r="V555" i="184"/>
  <c r="U555" i="184"/>
  <c r="T555" i="184"/>
  <c r="S555" i="184"/>
  <c r="R555" i="184"/>
  <c r="Q555" i="184"/>
  <c r="M555" i="184"/>
  <c r="K555" i="184"/>
  <c r="J555" i="184"/>
  <c r="Y554" i="184"/>
  <c r="X554" i="184"/>
  <c r="W554" i="184"/>
  <c r="V554" i="184"/>
  <c r="U554" i="184"/>
  <c r="T554" i="184"/>
  <c r="S554" i="184"/>
  <c r="R554" i="184"/>
  <c r="Q554" i="184"/>
  <c r="M554" i="184"/>
  <c r="K554" i="184"/>
  <c r="J554" i="184"/>
  <c r="Y553" i="184"/>
  <c r="X553" i="184"/>
  <c r="W553" i="184"/>
  <c r="V553" i="184"/>
  <c r="U553" i="184"/>
  <c r="T553" i="184"/>
  <c r="S553" i="184"/>
  <c r="R553" i="184"/>
  <c r="Q553" i="184"/>
  <c r="M553" i="184"/>
  <c r="K553" i="184"/>
  <c r="J553" i="184"/>
  <c r="Y552" i="184"/>
  <c r="X552" i="184"/>
  <c r="W552" i="184"/>
  <c r="V552" i="184"/>
  <c r="U552" i="184"/>
  <c r="T552" i="184"/>
  <c r="S552" i="184"/>
  <c r="R552" i="184"/>
  <c r="M552" i="184"/>
  <c r="K552" i="184"/>
  <c r="Q551" i="184"/>
  <c r="J551" i="184"/>
  <c r="Y549" i="184"/>
  <c r="X549" i="184"/>
  <c r="W549" i="184"/>
  <c r="V549" i="184"/>
  <c r="U549" i="184"/>
  <c r="T549" i="184"/>
  <c r="S549" i="184"/>
  <c r="R549" i="184"/>
  <c r="Q549" i="184"/>
  <c r="M549" i="184"/>
  <c r="K549" i="184"/>
  <c r="J549" i="184"/>
  <c r="Y548" i="184"/>
  <c r="X548" i="184"/>
  <c r="W548" i="184"/>
  <c r="V548" i="184"/>
  <c r="U548" i="184"/>
  <c r="T548" i="184"/>
  <c r="S548" i="184"/>
  <c r="R548" i="184"/>
  <c r="Q548" i="184"/>
  <c r="M548" i="184"/>
  <c r="K548" i="184"/>
  <c r="J548" i="184"/>
  <c r="Y547" i="184"/>
  <c r="X547" i="184"/>
  <c r="W547" i="184"/>
  <c r="V547" i="184"/>
  <c r="U547" i="184"/>
  <c r="T547" i="184"/>
  <c r="S547" i="184"/>
  <c r="R547" i="184"/>
  <c r="Q547" i="184"/>
  <c r="M547" i="184"/>
  <c r="K547" i="184"/>
  <c r="J547" i="184"/>
  <c r="Y546" i="184"/>
  <c r="X546" i="184"/>
  <c r="W546" i="184"/>
  <c r="V546" i="184"/>
  <c r="U546" i="184"/>
  <c r="T546" i="184"/>
  <c r="S546" i="184"/>
  <c r="R546" i="184"/>
  <c r="M546" i="184"/>
  <c r="K546" i="184"/>
  <c r="Q545" i="184"/>
  <c r="J545" i="184"/>
  <c r="Y543" i="184"/>
  <c r="X543" i="184"/>
  <c r="W543" i="184"/>
  <c r="V543" i="184"/>
  <c r="U543" i="184"/>
  <c r="T543" i="184"/>
  <c r="S543" i="184"/>
  <c r="R543" i="184"/>
  <c r="Q543" i="184"/>
  <c r="M543" i="184"/>
  <c r="K543" i="184"/>
  <c r="J543" i="184"/>
  <c r="Y542" i="184"/>
  <c r="X542" i="184"/>
  <c r="W542" i="184"/>
  <c r="V542" i="184"/>
  <c r="U542" i="184"/>
  <c r="T542" i="184"/>
  <c r="S542" i="184"/>
  <c r="R542" i="184"/>
  <c r="Q542" i="184"/>
  <c r="M542" i="184"/>
  <c r="K542" i="184"/>
  <c r="J542" i="184"/>
  <c r="Y541" i="184"/>
  <c r="X541" i="184"/>
  <c r="W541" i="184"/>
  <c r="V541" i="184"/>
  <c r="U541" i="184"/>
  <c r="T541" i="184"/>
  <c r="S541" i="184"/>
  <c r="R541" i="184"/>
  <c r="Q541" i="184"/>
  <c r="M541" i="184"/>
  <c r="K541" i="184"/>
  <c r="J541" i="184"/>
  <c r="Y540" i="184"/>
  <c r="X540" i="184"/>
  <c r="W540" i="184"/>
  <c r="V540" i="184"/>
  <c r="U540" i="184"/>
  <c r="T540" i="184"/>
  <c r="S540" i="184"/>
  <c r="R540" i="184"/>
  <c r="M540" i="184"/>
  <c r="K540" i="184"/>
  <c r="Q539" i="184"/>
  <c r="J539" i="184"/>
  <c r="Y537" i="184"/>
  <c r="X537" i="184"/>
  <c r="W537" i="184"/>
  <c r="V537" i="184"/>
  <c r="U537" i="184"/>
  <c r="T537" i="184"/>
  <c r="S537" i="184"/>
  <c r="R537" i="184"/>
  <c r="Q537" i="184"/>
  <c r="M537" i="184"/>
  <c r="K537" i="184"/>
  <c r="J537" i="184"/>
  <c r="Y536" i="184"/>
  <c r="X536" i="184"/>
  <c r="W536" i="184"/>
  <c r="V536" i="184"/>
  <c r="U536" i="184"/>
  <c r="T536" i="184"/>
  <c r="S536" i="184"/>
  <c r="R536" i="184"/>
  <c r="Q536" i="184"/>
  <c r="M536" i="184"/>
  <c r="K536" i="184"/>
  <c r="J536" i="184"/>
  <c r="Y535" i="184"/>
  <c r="X535" i="184"/>
  <c r="W535" i="184"/>
  <c r="V535" i="184"/>
  <c r="U535" i="184"/>
  <c r="T535" i="184"/>
  <c r="S535" i="184"/>
  <c r="R535" i="184"/>
  <c r="Q535" i="184"/>
  <c r="M535" i="184"/>
  <c r="K535" i="184"/>
  <c r="J535" i="184"/>
  <c r="Y534" i="184"/>
  <c r="X534" i="184"/>
  <c r="W534" i="184"/>
  <c r="V534" i="184"/>
  <c r="U534" i="184"/>
  <c r="T534" i="184"/>
  <c r="S534" i="184"/>
  <c r="R534" i="184"/>
  <c r="M534" i="184"/>
  <c r="K534" i="184"/>
  <c r="Q533" i="184"/>
  <c r="J533" i="184"/>
  <c r="Y531" i="184"/>
  <c r="X531" i="184"/>
  <c r="W531" i="184"/>
  <c r="V531" i="184"/>
  <c r="U531" i="184"/>
  <c r="T531" i="184"/>
  <c r="S531" i="184"/>
  <c r="R531" i="184"/>
  <c r="Q531" i="184"/>
  <c r="M531" i="184"/>
  <c r="K531" i="184"/>
  <c r="J531" i="184"/>
  <c r="Y530" i="184"/>
  <c r="X530" i="184"/>
  <c r="W530" i="184"/>
  <c r="V530" i="184"/>
  <c r="U530" i="184"/>
  <c r="T530" i="184"/>
  <c r="S530" i="184"/>
  <c r="R530" i="184"/>
  <c r="Q530" i="184"/>
  <c r="M530" i="184"/>
  <c r="K530" i="184"/>
  <c r="J530" i="184"/>
  <c r="Y529" i="184"/>
  <c r="X529" i="184"/>
  <c r="W529" i="184"/>
  <c r="V529" i="184"/>
  <c r="U529" i="184"/>
  <c r="T529" i="184"/>
  <c r="S529" i="184"/>
  <c r="R529" i="184"/>
  <c r="Q529" i="184"/>
  <c r="M529" i="184"/>
  <c r="K529" i="184"/>
  <c r="J529" i="184"/>
  <c r="Y528" i="184"/>
  <c r="X528" i="184"/>
  <c r="W528" i="184"/>
  <c r="V528" i="184"/>
  <c r="U528" i="184"/>
  <c r="T528" i="184"/>
  <c r="S528" i="184"/>
  <c r="R528" i="184"/>
  <c r="M528" i="184"/>
  <c r="K528" i="184"/>
  <c r="Q527" i="184"/>
  <c r="J527" i="184"/>
  <c r="Y521" i="184"/>
  <c r="X521" i="184"/>
  <c r="W521" i="184"/>
  <c r="V521" i="184"/>
  <c r="U521" i="184"/>
  <c r="T521" i="184"/>
  <c r="S521" i="184"/>
  <c r="R521" i="184"/>
  <c r="Q521" i="184"/>
  <c r="M521" i="184"/>
  <c r="K521" i="184"/>
  <c r="J521" i="184"/>
  <c r="Y520" i="184"/>
  <c r="X520" i="184"/>
  <c r="W520" i="184"/>
  <c r="V520" i="184"/>
  <c r="U520" i="184"/>
  <c r="T520" i="184"/>
  <c r="S520" i="184"/>
  <c r="R520" i="184"/>
  <c r="Q520" i="184"/>
  <c r="M520" i="184"/>
  <c r="K520" i="184"/>
  <c r="J520" i="184"/>
  <c r="Y519" i="184"/>
  <c r="X519" i="184"/>
  <c r="W519" i="184"/>
  <c r="V519" i="184"/>
  <c r="U519" i="184"/>
  <c r="T519" i="184"/>
  <c r="S519" i="184"/>
  <c r="R519" i="184"/>
  <c r="Q519" i="184"/>
  <c r="M519" i="184"/>
  <c r="K519" i="184"/>
  <c r="J519" i="184"/>
  <c r="Y518" i="184"/>
  <c r="X518" i="184"/>
  <c r="W518" i="184"/>
  <c r="V518" i="184"/>
  <c r="U518" i="184"/>
  <c r="T518" i="184"/>
  <c r="S518" i="184"/>
  <c r="R518" i="184"/>
  <c r="M518" i="184"/>
  <c r="K518" i="184"/>
  <c r="Q517" i="184"/>
  <c r="J517" i="184"/>
  <c r="Y515" i="184"/>
  <c r="X515" i="184"/>
  <c r="W515" i="184"/>
  <c r="V515" i="184"/>
  <c r="U515" i="184"/>
  <c r="T515" i="184"/>
  <c r="S515" i="184"/>
  <c r="R515" i="184"/>
  <c r="Q515" i="184"/>
  <c r="M515" i="184"/>
  <c r="K515" i="184"/>
  <c r="J515" i="184"/>
  <c r="Y514" i="184"/>
  <c r="X514" i="184"/>
  <c r="W514" i="184"/>
  <c r="V514" i="184"/>
  <c r="U514" i="184"/>
  <c r="T514" i="184"/>
  <c r="S514" i="184"/>
  <c r="R514" i="184"/>
  <c r="Q514" i="184"/>
  <c r="M514" i="184"/>
  <c r="K514" i="184"/>
  <c r="J514" i="184"/>
  <c r="Y513" i="184"/>
  <c r="X513" i="184"/>
  <c r="W513" i="184"/>
  <c r="V513" i="184"/>
  <c r="U513" i="184"/>
  <c r="T513" i="184"/>
  <c r="S513" i="184"/>
  <c r="R513" i="184"/>
  <c r="Q513" i="184"/>
  <c r="M513" i="184"/>
  <c r="K513" i="184"/>
  <c r="J513" i="184"/>
  <c r="Y512" i="184"/>
  <c r="X512" i="184"/>
  <c r="W512" i="184"/>
  <c r="V512" i="184"/>
  <c r="U512" i="184"/>
  <c r="T512" i="184"/>
  <c r="S512" i="184"/>
  <c r="R512" i="184"/>
  <c r="M512" i="184"/>
  <c r="K512" i="184"/>
  <c r="Q511" i="184"/>
  <c r="J511" i="184"/>
  <c r="Y509" i="184"/>
  <c r="X509" i="184"/>
  <c r="W509" i="184"/>
  <c r="V509" i="184"/>
  <c r="U509" i="184"/>
  <c r="T509" i="184"/>
  <c r="S509" i="184"/>
  <c r="R509" i="184"/>
  <c r="Q509" i="184"/>
  <c r="M509" i="184"/>
  <c r="K509" i="184"/>
  <c r="J509" i="184"/>
  <c r="Y508" i="184"/>
  <c r="X508" i="184"/>
  <c r="W508" i="184"/>
  <c r="V508" i="184"/>
  <c r="U508" i="184"/>
  <c r="T508" i="184"/>
  <c r="S508" i="184"/>
  <c r="R508" i="184"/>
  <c r="Q508" i="184"/>
  <c r="M508" i="184"/>
  <c r="K508" i="184"/>
  <c r="J508" i="184"/>
  <c r="Y507" i="184"/>
  <c r="X507" i="184"/>
  <c r="W507" i="184"/>
  <c r="V507" i="184"/>
  <c r="U507" i="184"/>
  <c r="T507" i="184"/>
  <c r="S507" i="184"/>
  <c r="R507" i="184"/>
  <c r="Q507" i="184"/>
  <c r="M507" i="184"/>
  <c r="K507" i="184"/>
  <c r="J507" i="184"/>
  <c r="Y506" i="184"/>
  <c r="X506" i="184"/>
  <c r="W506" i="184"/>
  <c r="V506" i="184"/>
  <c r="U506" i="184"/>
  <c r="T506" i="184"/>
  <c r="S506" i="184"/>
  <c r="R506" i="184"/>
  <c r="M506" i="184"/>
  <c r="K506" i="184"/>
  <c r="Q505" i="184"/>
  <c r="J505" i="184"/>
  <c r="Y503" i="184"/>
  <c r="X503" i="184"/>
  <c r="W503" i="184"/>
  <c r="V503" i="184"/>
  <c r="U503" i="184"/>
  <c r="T503" i="184"/>
  <c r="S503" i="184"/>
  <c r="R503" i="184"/>
  <c r="Q503" i="184"/>
  <c r="M503" i="184"/>
  <c r="K503" i="184"/>
  <c r="J503" i="184"/>
  <c r="Y502" i="184"/>
  <c r="X502" i="184"/>
  <c r="W502" i="184"/>
  <c r="V502" i="184"/>
  <c r="U502" i="184"/>
  <c r="T502" i="184"/>
  <c r="S502" i="184"/>
  <c r="R502" i="184"/>
  <c r="Q502" i="184"/>
  <c r="M502" i="184"/>
  <c r="K502" i="184"/>
  <c r="J502" i="184"/>
  <c r="Y501" i="184"/>
  <c r="X501" i="184"/>
  <c r="W501" i="184"/>
  <c r="V501" i="184"/>
  <c r="U501" i="184"/>
  <c r="T501" i="184"/>
  <c r="S501" i="184"/>
  <c r="R501" i="184"/>
  <c r="Q501" i="184"/>
  <c r="M501" i="184"/>
  <c r="K501" i="184"/>
  <c r="J501" i="184"/>
  <c r="Y500" i="184"/>
  <c r="X500" i="184"/>
  <c r="W500" i="184"/>
  <c r="V500" i="184"/>
  <c r="U500" i="184"/>
  <c r="T500" i="184"/>
  <c r="S500" i="184"/>
  <c r="R500" i="184"/>
  <c r="M500" i="184"/>
  <c r="K500" i="184"/>
  <c r="Q499" i="184"/>
  <c r="J499" i="184"/>
  <c r="Y497" i="184"/>
  <c r="X497" i="184"/>
  <c r="W497" i="184"/>
  <c r="V497" i="184"/>
  <c r="U497" i="184"/>
  <c r="T497" i="184"/>
  <c r="S497" i="184"/>
  <c r="R497" i="184"/>
  <c r="Q497" i="184"/>
  <c r="M497" i="184"/>
  <c r="K497" i="184"/>
  <c r="J497" i="184"/>
  <c r="Y496" i="184"/>
  <c r="X496" i="184"/>
  <c r="W496" i="184"/>
  <c r="V496" i="184"/>
  <c r="U496" i="184"/>
  <c r="T496" i="184"/>
  <c r="S496" i="184"/>
  <c r="R496" i="184"/>
  <c r="Q496" i="184"/>
  <c r="M496" i="184"/>
  <c r="K496" i="184"/>
  <c r="J496" i="184"/>
  <c r="Y495" i="184"/>
  <c r="X495" i="184"/>
  <c r="W495" i="184"/>
  <c r="V495" i="184"/>
  <c r="U495" i="184"/>
  <c r="T495" i="184"/>
  <c r="S495" i="184"/>
  <c r="R495" i="184"/>
  <c r="Q495" i="184"/>
  <c r="M495" i="184"/>
  <c r="K495" i="184"/>
  <c r="J495" i="184"/>
  <c r="Y494" i="184"/>
  <c r="X494" i="184"/>
  <c r="W494" i="184"/>
  <c r="V494" i="184"/>
  <c r="U494" i="184"/>
  <c r="T494" i="184"/>
  <c r="S494" i="184"/>
  <c r="R494" i="184"/>
  <c r="M494" i="184"/>
  <c r="K494" i="184"/>
  <c r="Q493" i="184"/>
  <c r="J493" i="184"/>
  <c r="Y491" i="184"/>
  <c r="X491" i="184"/>
  <c r="W491" i="184"/>
  <c r="V491" i="184"/>
  <c r="U491" i="184"/>
  <c r="T491" i="184"/>
  <c r="S491" i="184"/>
  <c r="R491" i="184"/>
  <c r="Q491" i="184"/>
  <c r="M491" i="184"/>
  <c r="K491" i="184"/>
  <c r="J491" i="184"/>
  <c r="Y490" i="184"/>
  <c r="X490" i="184"/>
  <c r="W490" i="184"/>
  <c r="V490" i="184"/>
  <c r="U490" i="184"/>
  <c r="T490" i="184"/>
  <c r="S490" i="184"/>
  <c r="R490" i="184"/>
  <c r="Q490" i="184"/>
  <c r="M490" i="184"/>
  <c r="K490" i="184"/>
  <c r="J490" i="184"/>
  <c r="Y489" i="184"/>
  <c r="X489" i="184"/>
  <c r="W489" i="184"/>
  <c r="V489" i="184"/>
  <c r="U489" i="184"/>
  <c r="T489" i="184"/>
  <c r="S489" i="184"/>
  <c r="R489" i="184"/>
  <c r="Q489" i="184"/>
  <c r="M489" i="184"/>
  <c r="K489" i="184"/>
  <c r="J489" i="184"/>
  <c r="Y488" i="184"/>
  <c r="X488" i="184"/>
  <c r="W488" i="184"/>
  <c r="V488" i="184"/>
  <c r="U488" i="184"/>
  <c r="T488" i="184"/>
  <c r="S488" i="184"/>
  <c r="R488" i="184"/>
  <c r="M488" i="184"/>
  <c r="K488" i="184"/>
  <c r="Q487" i="184"/>
  <c r="J487" i="184"/>
  <c r="Y485" i="184"/>
  <c r="X485" i="184"/>
  <c r="W485" i="184"/>
  <c r="V485" i="184"/>
  <c r="U485" i="184"/>
  <c r="T485" i="184"/>
  <c r="S485" i="184"/>
  <c r="R485" i="184"/>
  <c r="Q485" i="184"/>
  <c r="M485" i="184"/>
  <c r="K485" i="184"/>
  <c r="J485" i="184"/>
  <c r="Y484" i="184"/>
  <c r="X484" i="184"/>
  <c r="W484" i="184"/>
  <c r="V484" i="184"/>
  <c r="U484" i="184"/>
  <c r="T484" i="184"/>
  <c r="S484" i="184"/>
  <c r="R484" i="184"/>
  <c r="Q484" i="184"/>
  <c r="M484" i="184"/>
  <c r="K484" i="184"/>
  <c r="J484" i="184"/>
  <c r="Y483" i="184"/>
  <c r="X483" i="184"/>
  <c r="W483" i="184"/>
  <c r="V483" i="184"/>
  <c r="U483" i="184"/>
  <c r="T483" i="184"/>
  <c r="S483" i="184"/>
  <c r="R483" i="184"/>
  <c r="Q483" i="184"/>
  <c r="M483" i="184"/>
  <c r="K483" i="184"/>
  <c r="J483" i="184"/>
  <c r="Y482" i="184"/>
  <c r="X482" i="184"/>
  <c r="W482" i="184"/>
  <c r="V482" i="184"/>
  <c r="U482" i="184"/>
  <c r="T482" i="184"/>
  <c r="S482" i="184"/>
  <c r="R482" i="184"/>
  <c r="M482" i="184"/>
  <c r="K482" i="184"/>
  <c r="Q481" i="184"/>
  <c r="J481" i="184"/>
  <c r="Y303" i="184"/>
  <c r="W303" i="184"/>
  <c r="U303" i="184"/>
  <c r="S303" i="184"/>
  <c r="R303" i="184"/>
  <c r="Q303" i="184"/>
  <c r="M303" i="184"/>
  <c r="L303" i="184"/>
  <c r="K303" i="184"/>
  <c r="J303" i="184"/>
  <c r="Y302" i="184"/>
  <c r="X302" i="184"/>
  <c r="W302" i="184"/>
  <c r="V302" i="184"/>
  <c r="U302" i="184"/>
  <c r="S302" i="184"/>
  <c r="R302" i="184"/>
  <c r="Q302" i="184"/>
  <c r="P302" i="184"/>
  <c r="O302" i="184"/>
  <c r="M302" i="184"/>
  <c r="L302" i="184"/>
  <c r="K302" i="184"/>
  <c r="J302" i="184"/>
  <c r="Y301" i="184"/>
  <c r="W301" i="184"/>
  <c r="U301" i="184"/>
  <c r="S301" i="184"/>
  <c r="R301" i="184"/>
  <c r="Q301" i="184"/>
  <c r="M301" i="184"/>
  <c r="L301" i="184"/>
  <c r="K301" i="184"/>
  <c r="J301" i="184"/>
  <c r="Y292" i="184"/>
  <c r="X292" i="184"/>
  <c r="W292" i="184"/>
  <c r="V292" i="184"/>
  <c r="U292" i="184"/>
  <c r="T292" i="184"/>
  <c r="S292" i="184"/>
  <c r="R292" i="184"/>
  <c r="Q292" i="184"/>
  <c r="M292" i="184"/>
  <c r="L292" i="184"/>
  <c r="K292" i="184"/>
  <c r="J292" i="184"/>
  <c r="Y291" i="184"/>
  <c r="X291" i="184"/>
  <c r="W291" i="184"/>
  <c r="V291" i="184"/>
  <c r="U291" i="184"/>
  <c r="T291" i="184"/>
  <c r="S291" i="184"/>
  <c r="R291" i="184"/>
  <c r="Q291" i="184"/>
  <c r="P291" i="184"/>
  <c r="O291" i="184"/>
  <c r="M291" i="184"/>
  <c r="L291" i="184"/>
  <c r="K291" i="184"/>
  <c r="J291" i="184"/>
  <c r="Y290" i="184"/>
  <c r="X290" i="184"/>
  <c r="W290" i="184"/>
  <c r="V290" i="184"/>
  <c r="U290" i="184"/>
  <c r="T290" i="184"/>
  <c r="S290" i="184"/>
  <c r="R290" i="184"/>
  <c r="Q290" i="184"/>
  <c r="M290" i="184"/>
  <c r="L290" i="184"/>
  <c r="K290" i="184"/>
  <c r="J290" i="184"/>
  <c r="Y281" i="184"/>
  <c r="X281" i="184"/>
  <c r="W281" i="184"/>
  <c r="V281" i="184"/>
  <c r="U281" i="184"/>
  <c r="T281" i="184"/>
  <c r="S281" i="184"/>
  <c r="R281" i="184"/>
  <c r="Q281" i="184"/>
  <c r="M281" i="184"/>
  <c r="L281" i="184"/>
  <c r="K281" i="184"/>
  <c r="J281" i="184"/>
  <c r="Y280" i="184"/>
  <c r="X280" i="184"/>
  <c r="W280" i="184"/>
  <c r="V280" i="184"/>
  <c r="U280" i="184"/>
  <c r="T280" i="184"/>
  <c r="S280" i="184"/>
  <c r="R280" i="184"/>
  <c r="Q280" i="184"/>
  <c r="P280" i="184"/>
  <c r="O280" i="184"/>
  <c r="M280" i="184"/>
  <c r="L280" i="184"/>
  <c r="K280" i="184"/>
  <c r="J280" i="184"/>
  <c r="Y279" i="184"/>
  <c r="X279" i="184"/>
  <c r="W279" i="184"/>
  <c r="V279" i="184"/>
  <c r="U279" i="184"/>
  <c r="T279" i="184"/>
  <c r="S279" i="184"/>
  <c r="R279" i="184"/>
  <c r="Q279" i="184"/>
  <c r="M279" i="184"/>
  <c r="L279" i="184"/>
  <c r="K279" i="184"/>
  <c r="J279" i="184"/>
  <c r="Y270" i="184"/>
  <c r="W270" i="184"/>
  <c r="U270" i="184"/>
  <c r="Y269" i="184"/>
  <c r="X269" i="184"/>
  <c r="W269" i="184"/>
  <c r="V269" i="184"/>
  <c r="U269" i="184"/>
  <c r="S269" i="184"/>
  <c r="P269" i="184"/>
  <c r="O269" i="184"/>
  <c r="Y255" i="184"/>
  <c r="W255" i="184"/>
  <c r="U255" i="184"/>
  <c r="Y254" i="184"/>
  <c r="X254" i="184"/>
  <c r="W254" i="184"/>
  <c r="V254" i="184"/>
  <c r="U254" i="184"/>
  <c r="S254" i="184"/>
  <c r="P254" i="184"/>
  <c r="O254" i="184"/>
  <c r="Y244" i="184"/>
  <c r="W244" i="184"/>
  <c r="U244" i="184"/>
  <c r="Y243" i="184"/>
  <c r="X243" i="184"/>
  <c r="W243" i="184"/>
  <c r="V243" i="184"/>
  <c r="U243" i="184"/>
  <c r="S243" i="184"/>
  <c r="P243" i="184"/>
  <c r="O243" i="184"/>
  <c r="Y233" i="184"/>
  <c r="W233" i="184"/>
  <c r="U233" i="184"/>
  <c r="Y232" i="184"/>
  <c r="X232" i="184"/>
  <c r="W232" i="184"/>
  <c r="V232" i="184"/>
  <c r="U232" i="184"/>
  <c r="S232" i="184"/>
  <c r="P232" i="184"/>
  <c r="O232" i="184"/>
  <c r="U607" i="184"/>
  <c r="U601" i="184"/>
  <c r="U595" i="184"/>
  <c r="U589" i="184"/>
  <c r="U583" i="184"/>
  <c r="U577" i="184"/>
  <c r="U571" i="184"/>
  <c r="Y49" i="184"/>
  <c r="X49" i="184"/>
  <c r="W49" i="184"/>
  <c r="V49" i="184"/>
  <c r="U49" i="184"/>
  <c r="T49" i="184"/>
  <c r="S49" i="184"/>
  <c r="R49" i="184"/>
  <c r="Q49" i="184"/>
  <c r="P49" i="184"/>
  <c r="O49" i="184"/>
  <c r="N49" i="184"/>
  <c r="M49" i="184"/>
  <c r="L49" i="184"/>
  <c r="K49" i="184"/>
  <c r="J49" i="184"/>
  <c r="Y48" i="184"/>
  <c r="X48" i="184"/>
  <c r="W48" i="184"/>
  <c r="V48" i="184"/>
  <c r="U48" i="184"/>
  <c r="T48" i="184"/>
  <c r="S48" i="184"/>
  <c r="R48" i="184"/>
  <c r="Q48" i="184"/>
  <c r="P48" i="184"/>
  <c r="O48" i="184"/>
  <c r="N48" i="184"/>
  <c r="M48" i="184"/>
  <c r="L48" i="184"/>
  <c r="K48" i="184"/>
  <c r="J48" i="184"/>
  <c r="Y47" i="184"/>
  <c r="X47" i="184"/>
  <c r="W47" i="184"/>
  <c r="V47" i="184"/>
  <c r="U47" i="184"/>
  <c r="T47" i="184"/>
  <c r="S47" i="184"/>
  <c r="R47" i="184"/>
  <c r="Q47" i="184"/>
  <c r="P47" i="184"/>
  <c r="O47" i="184"/>
  <c r="N47" i="184"/>
  <c r="M47" i="184"/>
  <c r="L47" i="184"/>
  <c r="K47" i="184"/>
  <c r="J47" i="184"/>
  <c r="Y46" i="184"/>
  <c r="X46" i="184"/>
  <c r="W46" i="184"/>
  <c r="V46" i="184"/>
  <c r="U46" i="184"/>
  <c r="T46" i="184"/>
  <c r="S46" i="184"/>
  <c r="R46" i="184"/>
  <c r="Q46" i="184"/>
  <c r="P46" i="184"/>
  <c r="O46" i="184"/>
  <c r="N46" i="184"/>
  <c r="M46" i="184"/>
  <c r="L46" i="184"/>
  <c r="K46" i="184"/>
  <c r="J46" i="184"/>
  <c r="Y45" i="184"/>
  <c r="X45" i="184"/>
  <c r="W45" i="184"/>
  <c r="V45" i="184"/>
  <c r="U45" i="184"/>
  <c r="T45" i="184"/>
  <c r="S45" i="184"/>
  <c r="R45" i="184"/>
  <c r="Q45" i="184"/>
  <c r="P45" i="184"/>
  <c r="O45" i="184"/>
  <c r="N45" i="184"/>
  <c r="M45" i="184"/>
  <c r="L45" i="184"/>
  <c r="K45" i="184"/>
  <c r="J45" i="184"/>
  <c r="Y43" i="184"/>
  <c r="Y305" i="184" s="1"/>
  <c r="X43" i="184"/>
  <c r="X305" i="184" s="1"/>
  <c r="W43" i="184"/>
  <c r="W305" i="184" s="1"/>
  <c r="V43" i="184"/>
  <c r="V305" i="184" s="1"/>
  <c r="U43" i="184"/>
  <c r="U305" i="184" s="1"/>
  <c r="T43" i="184"/>
  <c r="T305" i="184" s="1"/>
  <c r="S43" i="184"/>
  <c r="S305" i="184" s="1"/>
  <c r="R43" i="184"/>
  <c r="Q43" i="184"/>
  <c r="P43" i="184"/>
  <c r="O43" i="184"/>
  <c r="N43" i="184"/>
  <c r="M43" i="184"/>
  <c r="L43" i="184"/>
  <c r="K43" i="184"/>
  <c r="J43" i="184"/>
  <c r="Y42" i="184"/>
  <c r="Y294" i="184" s="1"/>
  <c r="X42" i="184"/>
  <c r="X294" i="184" s="1"/>
  <c r="W42" i="184"/>
  <c r="W294" i="184" s="1"/>
  <c r="V42" i="184"/>
  <c r="V294" i="184" s="1"/>
  <c r="U42" i="184"/>
  <c r="U294" i="184" s="1"/>
  <c r="T42" i="184"/>
  <c r="T294" i="184" s="1"/>
  <c r="S42" i="184"/>
  <c r="S293" i="184" s="1"/>
  <c r="S295" i="184" s="1"/>
  <c r="R42" i="184"/>
  <c r="Q42" i="184"/>
  <c r="P42" i="184"/>
  <c r="O42" i="184"/>
  <c r="N42" i="184"/>
  <c r="M42" i="184"/>
  <c r="L42" i="184"/>
  <c r="K42" i="184"/>
  <c r="J42" i="184"/>
  <c r="Y41" i="184"/>
  <c r="Y283" i="184" s="1"/>
  <c r="X41" i="184"/>
  <c r="X283" i="184" s="1"/>
  <c r="W41" i="184"/>
  <c r="W283" i="184" s="1"/>
  <c r="V41" i="184"/>
  <c r="V283" i="184" s="1"/>
  <c r="U41" i="184"/>
  <c r="U283" i="184" s="1"/>
  <c r="T41" i="184"/>
  <c r="T283" i="184" s="1"/>
  <c r="S41" i="184"/>
  <c r="S282" i="184" s="1"/>
  <c r="S284" i="184" s="1"/>
  <c r="R41" i="184"/>
  <c r="Q41" i="184"/>
  <c r="P41" i="184"/>
  <c r="O41" i="184"/>
  <c r="N41" i="184"/>
  <c r="M41" i="184"/>
  <c r="L41" i="184"/>
  <c r="K41" i="184"/>
  <c r="J41" i="184"/>
  <c r="Y40" i="184"/>
  <c r="Y272" i="184" s="1"/>
  <c r="X40" i="184"/>
  <c r="X272" i="184" s="1"/>
  <c r="W40" i="184"/>
  <c r="W272" i="184" s="1"/>
  <c r="V40" i="184"/>
  <c r="V272" i="184" s="1"/>
  <c r="U40" i="184"/>
  <c r="U272" i="184" s="1"/>
  <c r="T40" i="184"/>
  <c r="T272" i="184" s="1"/>
  <c r="S40" i="184"/>
  <c r="S271" i="184" s="1"/>
  <c r="R40" i="184"/>
  <c r="Q40" i="184"/>
  <c r="P40" i="184"/>
  <c r="O40" i="184"/>
  <c r="N40" i="184"/>
  <c r="M40" i="184"/>
  <c r="L40" i="184"/>
  <c r="K40" i="184"/>
  <c r="J40" i="184"/>
  <c r="Y39" i="184"/>
  <c r="Y330" i="184" s="1"/>
  <c r="X39" i="184"/>
  <c r="X330" i="184" s="1"/>
  <c r="W39" i="184"/>
  <c r="W330" i="184" s="1"/>
  <c r="V39" i="184"/>
  <c r="V330" i="184" s="1"/>
  <c r="V72" i="197" s="1"/>
  <c r="U39" i="184"/>
  <c r="U330" i="184" s="1"/>
  <c r="T39" i="184"/>
  <c r="T330" i="184" s="1"/>
  <c r="S39" i="184"/>
  <c r="S327" i="184" s="1"/>
  <c r="R39" i="184"/>
  <c r="Q39" i="184"/>
  <c r="P39" i="184"/>
  <c r="O39" i="184"/>
  <c r="N39" i="184"/>
  <c r="M39" i="184"/>
  <c r="L39" i="184"/>
  <c r="K39" i="184"/>
  <c r="J39" i="184"/>
  <c r="Y33" i="184"/>
  <c r="X33" i="184"/>
  <c r="W33" i="184"/>
  <c r="V33" i="184"/>
  <c r="U33" i="184"/>
  <c r="T33" i="184"/>
  <c r="S33" i="184"/>
  <c r="R33" i="184"/>
  <c r="Q33" i="184"/>
  <c r="P33" i="184"/>
  <c r="O33" i="184"/>
  <c r="N33" i="184"/>
  <c r="M33" i="184"/>
  <c r="L33" i="184"/>
  <c r="K33" i="184"/>
  <c r="J33" i="184"/>
  <c r="Y32" i="184"/>
  <c r="X32" i="184"/>
  <c r="W32" i="184"/>
  <c r="V32" i="184"/>
  <c r="U32" i="184"/>
  <c r="T32" i="184"/>
  <c r="S32" i="184"/>
  <c r="R32" i="184"/>
  <c r="Q32" i="184"/>
  <c r="P32" i="184"/>
  <c r="O32" i="184"/>
  <c r="N32" i="184"/>
  <c r="M32" i="184"/>
  <c r="L32" i="184"/>
  <c r="K32" i="184"/>
  <c r="J32" i="184"/>
  <c r="Y31" i="184"/>
  <c r="X31" i="184"/>
  <c r="W31" i="184"/>
  <c r="V31" i="184"/>
  <c r="U31" i="184"/>
  <c r="T31" i="184"/>
  <c r="S31" i="184"/>
  <c r="R31" i="184"/>
  <c r="Q31" i="184"/>
  <c r="P31" i="184"/>
  <c r="O31" i="184"/>
  <c r="N31" i="184"/>
  <c r="M31" i="184"/>
  <c r="L31" i="184"/>
  <c r="K31" i="184"/>
  <c r="J31" i="184"/>
  <c r="Y30" i="184"/>
  <c r="X30" i="184"/>
  <c r="W30" i="184"/>
  <c r="V30" i="184"/>
  <c r="U30" i="184"/>
  <c r="T30" i="184"/>
  <c r="S30" i="184"/>
  <c r="R30" i="184"/>
  <c r="Q30" i="184"/>
  <c r="P30" i="184"/>
  <c r="O30" i="184"/>
  <c r="N30" i="184"/>
  <c r="M30" i="184"/>
  <c r="L30" i="184"/>
  <c r="K30" i="184"/>
  <c r="J30" i="184"/>
  <c r="A1" i="184"/>
  <c r="S46" i="183"/>
  <c r="R46" i="183"/>
  <c r="Q46" i="183"/>
  <c r="P46" i="183"/>
  <c r="S45" i="183"/>
  <c r="R45" i="183"/>
  <c r="S44" i="183"/>
  <c r="J21" i="183" a="1"/>
  <c r="M36" i="183" s="1"/>
  <c r="A1" i="183"/>
  <c r="J84" i="182" a="1"/>
  <c r="N99" i="182" s="1"/>
  <c r="J46" i="182" a="1"/>
  <c r="O61" i="182" s="1"/>
  <c r="J20" i="182"/>
  <c r="J21" i="182" s="1"/>
  <c r="J23" i="182" s="1"/>
  <c r="A1" i="182"/>
  <c r="Q34" i="181"/>
  <c r="Q52" i="181" s="1"/>
  <c r="P34" i="181"/>
  <c r="P52" i="181" s="1"/>
  <c r="O34" i="181"/>
  <c r="O52" i="181" s="1"/>
  <c r="N34" i="181"/>
  <c r="N52" i="181" s="1"/>
  <c r="M34" i="181"/>
  <c r="M52" i="181" s="1"/>
  <c r="L34" i="181"/>
  <c r="L52" i="181" s="1"/>
  <c r="K34" i="181"/>
  <c r="K52" i="181" s="1"/>
  <c r="J34" i="181"/>
  <c r="J52" i="181" s="1"/>
  <c r="Q33" i="181"/>
  <c r="Q51" i="181" s="1"/>
  <c r="P33" i="181"/>
  <c r="P51" i="181" s="1"/>
  <c r="O33" i="181"/>
  <c r="O51" i="181" s="1"/>
  <c r="N33" i="181"/>
  <c r="N51" i="181" s="1"/>
  <c r="M33" i="181"/>
  <c r="M51" i="181" s="1"/>
  <c r="L33" i="181"/>
  <c r="L51" i="181" s="1"/>
  <c r="K33" i="181"/>
  <c r="K51" i="181" s="1"/>
  <c r="J33" i="181"/>
  <c r="J51" i="181" s="1"/>
  <c r="Q32" i="181"/>
  <c r="Q50" i="181" s="1"/>
  <c r="P32" i="181"/>
  <c r="P50" i="181" s="1"/>
  <c r="O32" i="181"/>
  <c r="O50" i="181" s="1"/>
  <c r="N32" i="181"/>
  <c r="N50" i="181" s="1"/>
  <c r="M32" i="181"/>
  <c r="M50" i="181" s="1"/>
  <c r="L32" i="181"/>
  <c r="L50" i="181" s="1"/>
  <c r="K32" i="181"/>
  <c r="K50" i="181" s="1"/>
  <c r="J32" i="181"/>
  <c r="J50" i="181" s="1"/>
  <c r="Q31" i="181"/>
  <c r="P31" i="181"/>
  <c r="O31" i="181"/>
  <c r="N31" i="181"/>
  <c r="M31" i="181"/>
  <c r="L31" i="181"/>
  <c r="K31" i="181"/>
  <c r="J31" i="181"/>
  <c r="Q30" i="181"/>
  <c r="Q49" i="181" s="1"/>
  <c r="P30" i="181"/>
  <c r="P49" i="181" s="1"/>
  <c r="O30" i="181"/>
  <c r="O48" i="181" s="1"/>
  <c r="N30" i="181"/>
  <c r="N49" i="181" s="1"/>
  <c r="M30" i="181"/>
  <c r="M48" i="181" s="1"/>
  <c r="L30" i="181"/>
  <c r="L48" i="181" s="1"/>
  <c r="K30" i="181"/>
  <c r="K49" i="181" s="1"/>
  <c r="J30" i="181"/>
  <c r="J49" i="181" s="1"/>
  <c r="Q29" i="181"/>
  <c r="Q47" i="181" s="1"/>
  <c r="P29" i="181"/>
  <c r="P47" i="181" s="1"/>
  <c r="O29" i="181"/>
  <c r="O47" i="181" s="1"/>
  <c r="N29" i="181"/>
  <c r="N47" i="181" s="1"/>
  <c r="M29" i="181"/>
  <c r="M47" i="181" s="1"/>
  <c r="L29" i="181"/>
  <c r="L47" i="181" s="1"/>
  <c r="K29" i="181"/>
  <c r="K47" i="181" s="1"/>
  <c r="J29" i="181"/>
  <c r="J47" i="181" s="1"/>
  <c r="Q28" i="181"/>
  <c r="Q46" i="181" s="1"/>
  <c r="P28" i="181"/>
  <c r="P46" i="181" s="1"/>
  <c r="O28" i="181"/>
  <c r="O46" i="181" s="1"/>
  <c r="N28" i="181"/>
  <c r="N46" i="181" s="1"/>
  <c r="M28" i="181"/>
  <c r="M46" i="181" s="1"/>
  <c r="L28" i="181"/>
  <c r="L46" i="181" s="1"/>
  <c r="K28" i="181"/>
  <c r="K46" i="181" s="1"/>
  <c r="J28" i="181"/>
  <c r="J46" i="181" s="1"/>
  <c r="Q27" i="181"/>
  <c r="P27" i="181"/>
  <c r="O27" i="181"/>
  <c r="N27" i="181"/>
  <c r="M27" i="181"/>
  <c r="L27" i="181"/>
  <c r="K27" i="181"/>
  <c r="J27" i="181"/>
  <c r="Q26" i="181"/>
  <c r="P26" i="181"/>
  <c r="O26" i="181"/>
  <c r="N26" i="181"/>
  <c r="M26" i="181"/>
  <c r="L26" i="181"/>
  <c r="K26" i="181"/>
  <c r="J26" i="181"/>
  <c r="Q25" i="181"/>
  <c r="P25" i="181"/>
  <c r="O25" i="181"/>
  <c r="N25" i="181"/>
  <c r="M25" i="181"/>
  <c r="L25" i="181"/>
  <c r="K25" i="181"/>
  <c r="J25" i="181"/>
  <c r="A1" i="181"/>
  <c r="A1" i="180"/>
  <c r="A1" i="179"/>
  <c r="A1" i="178"/>
  <c r="Y195" i="177"/>
  <c r="X195" i="177"/>
  <c r="W195" i="177"/>
  <c r="V195" i="177"/>
  <c r="U195" i="177"/>
  <c r="T195" i="177"/>
  <c r="S195" i="177"/>
  <c r="R195" i="177"/>
  <c r="Q195" i="177"/>
  <c r="P195" i="177"/>
  <c r="O195" i="177"/>
  <c r="N195" i="177"/>
  <c r="M195" i="177"/>
  <c r="L195" i="177"/>
  <c r="K195" i="177"/>
  <c r="J195" i="177"/>
  <c r="Y194" i="177"/>
  <c r="X194" i="177"/>
  <c r="W194" i="177"/>
  <c r="V194" i="177"/>
  <c r="U194" i="177"/>
  <c r="T194" i="177"/>
  <c r="S194" i="177"/>
  <c r="R194" i="177"/>
  <c r="Q194" i="177"/>
  <c r="P194" i="177"/>
  <c r="O194" i="177"/>
  <c r="N194" i="177"/>
  <c r="M194" i="177"/>
  <c r="L194" i="177"/>
  <c r="K194" i="177"/>
  <c r="J194" i="177"/>
  <c r="Y193" i="177"/>
  <c r="X193" i="177"/>
  <c r="W193" i="177"/>
  <c r="V193" i="177"/>
  <c r="U193" i="177"/>
  <c r="T193" i="177"/>
  <c r="S193" i="177"/>
  <c r="R193" i="177"/>
  <c r="Q193" i="177"/>
  <c r="P193" i="177"/>
  <c r="O193" i="177"/>
  <c r="N193" i="177"/>
  <c r="M193" i="177"/>
  <c r="L193" i="177"/>
  <c r="K193" i="177"/>
  <c r="J193" i="177"/>
  <c r="Y192" i="177"/>
  <c r="X192" i="177"/>
  <c r="W192" i="177"/>
  <c r="V192" i="177"/>
  <c r="U192" i="177"/>
  <c r="T192" i="177"/>
  <c r="S192" i="177"/>
  <c r="R192" i="177"/>
  <c r="Q192" i="177"/>
  <c r="P192" i="177"/>
  <c r="O192" i="177"/>
  <c r="N192" i="177"/>
  <c r="M192" i="177"/>
  <c r="L192" i="177"/>
  <c r="K192" i="177"/>
  <c r="J192" i="177"/>
  <c r="Y191" i="177"/>
  <c r="X191" i="177"/>
  <c r="W191" i="177"/>
  <c r="V191" i="177"/>
  <c r="U191" i="177"/>
  <c r="T191" i="177"/>
  <c r="S191" i="177"/>
  <c r="R191" i="177"/>
  <c r="Q191" i="177"/>
  <c r="P191" i="177"/>
  <c r="O191" i="177"/>
  <c r="N191" i="177"/>
  <c r="M191" i="177"/>
  <c r="L191" i="177"/>
  <c r="K191" i="177"/>
  <c r="J191" i="177"/>
  <c r="H188" i="177" a="1"/>
  <c r="H188" i="177" s="1"/>
  <c r="A1" i="177"/>
  <c r="X51" i="195" l="1"/>
  <c r="K31" i="183"/>
  <c r="AK168" i="197"/>
  <c r="AK73" i="198" s="1"/>
  <c r="J35" i="183"/>
  <c r="M21" i="183"/>
  <c r="K23" i="183"/>
  <c r="J48" i="181"/>
  <c r="J27" i="183"/>
  <c r="M29" i="183"/>
  <c r="T75" i="194"/>
  <c r="T51" i="195"/>
  <c r="T29" i="196" s="1"/>
  <c r="AJ48" i="196" s="1"/>
  <c r="AJ47" i="197" s="1"/>
  <c r="Q51" i="195"/>
  <c r="Q29" i="196" s="1"/>
  <c r="AG48" i="196" s="1"/>
  <c r="AG47" i="197" s="1"/>
  <c r="K27" i="183"/>
  <c r="K21" i="183"/>
  <c r="K29" i="183"/>
  <c r="J23" i="183"/>
  <c r="J31" i="183"/>
  <c r="AK171" i="197"/>
  <c r="AK76" i="198" s="1"/>
  <c r="Q48" i="181"/>
  <c r="Q85" i="193" s="1"/>
  <c r="S51" i="195"/>
  <c r="S29" i="196" s="1"/>
  <c r="AI48" i="196" s="1"/>
  <c r="AI47" i="197" s="1"/>
  <c r="O49" i="181"/>
  <c r="K25" i="183"/>
  <c r="K33" i="183"/>
  <c r="M25" i="183"/>
  <c r="M33" i="183"/>
  <c r="T85" i="194"/>
  <c r="T87" i="194"/>
  <c r="T88" i="194"/>
  <c r="T76" i="194"/>
  <c r="T73" i="194"/>
  <c r="S234" i="184"/>
  <c r="S272" i="184"/>
  <c r="S320" i="184"/>
  <c r="S62" i="197" s="1"/>
  <c r="AI80" i="197" s="1"/>
  <c r="S330" i="184"/>
  <c r="S72" i="197" s="1"/>
  <c r="AI90" i="197" s="1"/>
  <c r="S324" i="184"/>
  <c r="S66" i="197" s="1"/>
  <c r="AI84" i="197" s="1"/>
  <c r="L49" i="181"/>
  <c r="L86" i="193" s="1"/>
  <c r="M49" i="181"/>
  <c r="M86" i="193" s="1"/>
  <c r="J21" i="183"/>
  <c r="J25" i="183"/>
  <c r="J29" i="183"/>
  <c r="J33" i="183"/>
  <c r="S246" i="184"/>
  <c r="S294" i="184"/>
  <c r="S296" i="184" s="1"/>
  <c r="S297" i="184" s="1"/>
  <c r="S189" i="186" s="1"/>
  <c r="S318" i="184"/>
  <c r="S338" i="184" s="1"/>
  <c r="S328" i="184"/>
  <c r="S70" i="197" s="1"/>
  <c r="AI88" i="197" s="1"/>
  <c r="H192" i="177"/>
  <c r="H195" i="177"/>
  <c r="J22" i="183"/>
  <c r="J26" i="183"/>
  <c r="J30" i="183"/>
  <c r="J34" i="183"/>
  <c r="S235" i="184"/>
  <c r="S304" i="184"/>
  <c r="S306" i="184" s="1"/>
  <c r="S321" i="184"/>
  <c r="S63" i="197" s="1"/>
  <c r="AI81" i="197" s="1"/>
  <c r="AK170" i="197"/>
  <c r="AK75" i="198" s="1"/>
  <c r="H193" i="177"/>
  <c r="K35" i="183"/>
  <c r="S257" i="184"/>
  <c r="S283" i="184"/>
  <c r="S285" i="184" s="1"/>
  <c r="S286" i="184" s="1"/>
  <c r="S188" i="186" s="1"/>
  <c r="S315" i="184"/>
  <c r="S57" i="197" s="1"/>
  <c r="AI75" i="197" s="1"/>
  <c r="S325" i="184"/>
  <c r="S67" i="197" s="1"/>
  <c r="AI85" i="197" s="1"/>
  <c r="S329" i="184"/>
  <c r="S71" i="197" s="1"/>
  <c r="AI89" i="197" s="1"/>
  <c r="H194" i="177"/>
  <c r="S256" i="184"/>
  <c r="S258" i="184" s="1"/>
  <c r="M23" i="183"/>
  <c r="M27" i="183"/>
  <c r="M31" i="183"/>
  <c r="M35" i="183"/>
  <c r="S316" i="184"/>
  <c r="S336" i="184" s="1"/>
  <c r="S326" i="184"/>
  <c r="S68" i="197" s="1"/>
  <c r="AI86" i="197" s="1"/>
  <c r="S108" i="196"/>
  <c r="AC112" i="196"/>
  <c r="Y110" i="196"/>
  <c r="S319" i="184"/>
  <c r="S61" i="197" s="1"/>
  <c r="AI79" i="197" s="1"/>
  <c r="O105" i="196"/>
  <c r="H191" i="177"/>
  <c r="J24" i="183"/>
  <c r="J28" i="183"/>
  <c r="J32" i="183"/>
  <c r="J36" i="183"/>
  <c r="S245" i="184"/>
  <c r="S247" i="184" s="1"/>
  <c r="S317" i="184"/>
  <c r="S59" i="197" s="1"/>
  <c r="AI77" i="197" s="1"/>
  <c r="S236" i="184"/>
  <c r="S273" i="184"/>
  <c r="N47" i="182"/>
  <c r="P49" i="182"/>
  <c r="P51" i="182"/>
  <c r="R53" i="182"/>
  <c r="R72" i="182" s="1"/>
  <c r="J56" i="182"/>
  <c r="J75" i="182" s="1"/>
  <c r="J58" i="182"/>
  <c r="J77" i="182" s="1"/>
  <c r="L60" i="182"/>
  <c r="L79" i="182" s="1"/>
  <c r="M84" i="182"/>
  <c r="O87" i="182"/>
  <c r="Q90" i="182"/>
  <c r="Q110" i="182" s="1"/>
  <c r="S93" i="182"/>
  <c r="S113" i="182" s="1"/>
  <c r="K97" i="182"/>
  <c r="K117" i="182" s="1"/>
  <c r="L47" i="182"/>
  <c r="L66" i="182" s="1"/>
  <c r="L49" i="182"/>
  <c r="L68" i="182" s="1"/>
  <c r="N51" i="182"/>
  <c r="P53" i="182"/>
  <c r="P55" i="182"/>
  <c r="R57" i="182"/>
  <c r="R76" i="182" s="1"/>
  <c r="J60" i="182"/>
  <c r="J79" i="182" s="1"/>
  <c r="P47" i="182"/>
  <c r="R49" i="182"/>
  <c r="R68" i="182" s="1"/>
  <c r="J52" i="182"/>
  <c r="J71" i="182" s="1"/>
  <c r="J54" i="182"/>
  <c r="J73" i="182" s="1"/>
  <c r="L56" i="182"/>
  <c r="L75" i="182" s="1"/>
  <c r="N58" i="182"/>
  <c r="N60" i="182"/>
  <c r="O84" i="182"/>
  <c r="Q87" i="182"/>
  <c r="Q107" i="182" s="1"/>
  <c r="S90" i="182"/>
  <c r="S110" i="182" s="1"/>
  <c r="K94" i="182"/>
  <c r="K114" i="182" s="1"/>
  <c r="M97" i="182"/>
  <c r="J48" i="182"/>
  <c r="J67" i="182" s="1"/>
  <c r="J50" i="182"/>
  <c r="J69" i="182" s="1"/>
  <c r="L52" i="182"/>
  <c r="L71" i="182" s="1"/>
  <c r="N54" i="182"/>
  <c r="N56" i="182"/>
  <c r="P58" i="182"/>
  <c r="R60" i="182"/>
  <c r="R79" i="182" s="1"/>
  <c r="K85" i="182"/>
  <c r="K105" i="182" s="1"/>
  <c r="M88" i="182"/>
  <c r="O91" i="182"/>
  <c r="Q94" i="182"/>
  <c r="Q114" i="182" s="1"/>
  <c r="S97" i="182"/>
  <c r="S117" i="182" s="1"/>
  <c r="J46" i="182"/>
  <c r="J65" i="182" s="1"/>
  <c r="L48" i="182"/>
  <c r="L67" i="182" s="1"/>
  <c r="N50" i="182"/>
  <c r="N52" i="182"/>
  <c r="P54" i="182"/>
  <c r="R56" i="182"/>
  <c r="R75" i="182" s="1"/>
  <c r="R58" i="182"/>
  <c r="R77" i="182" s="1"/>
  <c r="J61" i="182"/>
  <c r="J80" i="182" s="1"/>
  <c r="M85" i="182"/>
  <c r="O88" i="182"/>
  <c r="Q91" i="182"/>
  <c r="Q111" i="182" s="1"/>
  <c r="S94" i="182"/>
  <c r="S114" i="182" s="1"/>
  <c r="K98" i="182"/>
  <c r="K118" i="182" s="1"/>
  <c r="N46" i="182"/>
  <c r="N48" i="182"/>
  <c r="P50" i="182"/>
  <c r="R52" i="182"/>
  <c r="R71" i="182" s="1"/>
  <c r="R54" i="182"/>
  <c r="R73" i="182" s="1"/>
  <c r="J57" i="182"/>
  <c r="J76" i="182" s="1"/>
  <c r="L59" i="182"/>
  <c r="L78" i="182" s="1"/>
  <c r="L61" i="182"/>
  <c r="L80" i="182" s="1"/>
  <c r="S85" i="182"/>
  <c r="S105" i="182" s="1"/>
  <c r="K89" i="182"/>
  <c r="K109" i="182" s="1"/>
  <c r="M92" i="182"/>
  <c r="O95" i="182"/>
  <c r="Q98" i="182"/>
  <c r="Q118" i="182" s="1"/>
  <c r="P46" i="182"/>
  <c r="R48" i="182"/>
  <c r="R67" i="182" s="1"/>
  <c r="R50" i="182"/>
  <c r="R69" i="182" s="1"/>
  <c r="J53" i="182"/>
  <c r="J72" i="182" s="1"/>
  <c r="L55" i="182"/>
  <c r="L74" i="182" s="1"/>
  <c r="L57" i="182"/>
  <c r="L76" i="182" s="1"/>
  <c r="N59" i="182"/>
  <c r="P61" i="182"/>
  <c r="K86" i="182"/>
  <c r="K106" i="182" s="1"/>
  <c r="M89" i="182"/>
  <c r="O92" i="182"/>
  <c r="Q95" i="182"/>
  <c r="Q115" i="182" s="1"/>
  <c r="S98" i="182"/>
  <c r="S118" i="182" s="1"/>
  <c r="R46" i="182"/>
  <c r="R65" i="182" s="1"/>
  <c r="J49" i="182"/>
  <c r="J68" i="182" s="1"/>
  <c r="L51" i="182"/>
  <c r="L70" i="182" s="1"/>
  <c r="L53" i="182"/>
  <c r="L72" i="182" s="1"/>
  <c r="N55" i="182"/>
  <c r="P57" i="182"/>
  <c r="P59" i="182"/>
  <c r="R61" i="182"/>
  <c r="R80" i="182" s="1"/>
  <c r="Q86" i="182"/>
  <c r="Q106" i="182" s="1"/>
  <c r="S89" i="182"/>
  <c r="S109" i="182" s="1"/>
  <c r="K93" i="182"/>
  <c r="K113" i="182" s="1"/>
  <c r="M96" i="182"/>
  <c r="O99" i="182"/>
  <c r="S86" i="182"/>
  <c r="S106" i="182" s="1"/>
  <c r="K90" i="182"/>
  <c r="K110" i="182" s="1"/>
  <c r="M93" i="182"/>
  <c r="O96" i="182"/>
  <c r="Q99" i="182"/>
  <c r="Q119" i="182" s="1"/>
  <c r="T77" i="194"/>
  <c r="T89" i="194"/>
  <c r="T78" i="194"/>
  <c r="T90" i="194"/>
  <c r="T79" i="194"/>
  <c r="T91" i="194"/>
  <c r="T72" i="194"/>
  <c r="T84" i="194"/>
  <c r="T92" i="194"/>
  <c r="T74" i="194"/>
  <c r="T86" i="194"/>
  <c r="AO167" i="196"/>
  <c r="AO175" i="196" s="1"/>
  <c r="J111" i="196"/>
  <c r="Q154" i="196"/>
  <c r="R154" i="196"/>
  <c r="AO154" i="196"/>
  <c r="Q167" i="196"/>
  <c r="Q175" i="196" s="1"/>
  <c r="U29" i="196"/>
  <c r="AK48" i="196" s="1"/>
  <c r="AK47" i="197" s="1"/>
  <c r="M29" i="196"/>
  <c r="Q48" i="196" s="1"/>
  <c r="Q47" i="197" s="1"/>
  <c r="Z159" i="197"/>
  <c r="Z64" i="198" s="1"/>
  <c r="AK169" i="197"/>
  <c r="AK74" i="198" s="1"/>
  <c r="AL159" i="197"/>
  <c r="AL64" i="198" s="1"/>
  <c r="AK160" i="197"/>
  <c r="AK65" i="198" s="1"/>
  <c r="AK161" i="197"/>
  <c r="AK66" i="198" s="1"/>
  <c r="AK172" i="197"/>
  <c r="AK77" i="198" s="1"/>
  <c r="AK162" i="197"/>
  <c r="AK67" i="198" s="1"/>
  <c r="AK174" i="197"/>
  <c r="AK79" i="198" s="1"/>
  <c r="Y29" i="196"/>
  <c r="AO48" i="196" s="1"/>
  <c r="AO47" i="197" s="1"/>
  <c r="K29" i="196"/>
  <c r="K48" i="196" s="1"/>
  <c r="K47" i="197" s="1"/>
  <c r="R29" i="196"/>
  <c r="AH48" i="196" s="1"/>
  <c r="AH47" i="197" s="1"/>
  <c r="S307" i="184"/>
  <c r="W29" i="196"/>
  <c r="AM48" i="196" s="1"/>
  <c r="AM47" i="197" s="1"/>
  <c r="W307" i="184"/>
  <c r="W296" i="184"/>
  <c r="X296" i="184"/>
  <c r="W274" i="184"/>
  <c r="W285" i="184"/>
  <c r="N99" i="192"/>
  <c r="N86" i="193"/>
  <c r="N117" i="191"/>
  <c r="N28" i="186"/>
  <c r="N100" i="192"/>
  <c r="N87" i="193"/>
  <c r="N118" i="191"/>
  <c r="N29" i="186"/>
  <c r="N102" i="192"/>
  <c r="N89" i="193"/>
  <c r="N120" i="191"/>
  <c r="N31" i="186"/>
  <c r="P83" i="193"/>
  <c r="P96" i="192"/>
  <c r="P114" i="191"/>
  <c r="P25" i="186"/>
  <c r="P84" i="193"/>
  <c r="P97" i="192"/>
  <c r="P115" i="191"/>
  <c r="P26" i="186"/>
  <c r="P86" i="193"/>
  <c r="P99" i="192"/>
  <c r="P117" i="191"/>
  <c r="P28" i="186"/>
  <c r="P87" i="193"/>
  <c r="P100" i="192"/>
  <c r="P118" i="191"/>
  <c r="P29" i="186"/>
  <c r="P88" i="193"/>
  <c r="P101" i="192"/>
  <c r="P119" i="191"/>
  <c r="P30" i="186"/>
  <c r="P89" i="193"/>
  <c r="P102" i="192"/>
  <c r="P120" i="191"/>
  <c r="P31" i="186"/>
  <c r="N97" i="192"/>
  <c r="N84" i="193"/>
  <c r="N115" i="191"/>
  <c r="N26" i="186"/>
  <c r="N101" i="192"/>
  <c r="N88" i="193"/>
  <c r="N119" i="191"/>
  <c r="N30" i="186"/>
  <c r="K83" i="193"/>
  <c r="K114" i="191"/>
  <c r="K96" i="192"/>
  <c r="K25" i="186"/>
  <c r="K84" i="193"/>
  <c r="K115" i="191"/>
  <c r="K97" i="192"/>
  <c r="K26" i="186"/>
  <c r="K86" i="193"/>
  <c r="K99" i="192"/>
  <c r="K117" i="191"/>
  <c r="K28" i="186"/>
  <c r="K87" i="193"/>
  <c r="K118" i="191"/>
  <c r="K100" i="192"/>
  <c r="K29" i="186"/>
  <c r="K88" i="193"/>
  <c r="K119" i="191"/>
  <c r="K101" i="192"/>
  <c r="K30" i="186"/>
  <c r="K89" i="193"/>
  <c r="K120" i="191"/>
  <c r="K102" i="192"/>
  <c r="K31" i="186"/>
  <c r="N96" i="192"/>
  <c r="N83" i="193"/>
  <c r="N114" i="191"/>
  <c r="N25" i="186"/>
  <c r="M84" i="193"/>
  <c r="M97" i="192"/>
  <c r="M115" i="191"/>
  <c r="M26" i="186"/>
  <c r="M87" i="193"/>
  <c r="M100" i="192"/>
  <c r="M118" i="191"/>
  <c r="M29" i="186"/>
  <c r="N48" i="181"/>
  <c r="O46" i="182"/>
  <c r="M47" i="182"/>
  <c r="K48" i="182"/>
  <c r="K67" i="182" s="1"/>
  <c r="S48" i="182"/>
  <c r="S67" i="182" s="1"/>
  <c r="Q49" i="182"/>
  <c r="Q68" i="182" s="1"/>
  <c r="O50" i="182"/>
  <c r="M51" i="182"/>
  <c r="K52" i="182"/>
  <c r="K71" i="182" s="1"/>
  <c r="S52" i="182"/>
  <c r="S71" i="182" s="1"/>
  <c r="Q53" i="182"/>
  <c r="Q72" i="182" s="1"/>
  <c r="O54" i="182"/>
  <c r="M55" i="182"/>
  <c r="K56" i="182"/>
  <c r="K75" i="182" s="1"/>
  <c r="S56" i="182"/>
  <c r="S75" i="182" s="1"/>
  <c r="Q57" i="182"/>
  <c r="Q76" i="182" s="1"/>
  <c r="O58" i="182"/>
  <c r="M59" i="182"/>
  <c r="K60" i="182"/>
  <c r="K79" i="182" s="1"/>
  <c r="S60" i="182"/>
  <c r="S79" i="182" s="1"/>
  <c r="Q61" i="182"/>
  <c r="Q80" i="182" s="1"/>
  <c r="N84" i="182"/>
  <c r="L85" i="182"/>
  <c r="L105" i="182" s="1"/>
  <c r="J86" i="182"/>
  <c r="J106" i="182" s="1"/>
  <c r="R86" i="182"/>
  <c r="R106" i="182" s="1"/>
  <c r="P87" i="182"/>
  <c r="N88" i="182"/>
  <c r="L89" i="182"/>
  <c r="L109" i="182" s="1"/>
  <c r="J90" i="182"/>
  <c r="J110" i="182" s="1"/>
  <c r="R90" i="182"/>
  <c r="R110" i="182" s="1"/>
  <c r="P91" i="182"/>
  <c r="N92" i="182"/>
  <c r="L93" i="182"/>
  <c r="L113" i="182" s="1"/>
  <c r="J94" i="182"/>
  <c r="J114" i="182" s="1"/>
  <c r="R94" i="182"/>
  <c r="R114" i="182" s="1"/>
  <c r="P95" i="182"/>
  <c r="N96" i="182"/>
  <c r="L97" i="182"/>
  <c r="L117" i="182" s="1"/>
  <c r="J98" i="182"/>
  <c r="J118" i="182" s="1"/>
  <c r="R98" i="182"/>
  <c r="R118" i="182" s="1"/>
  <c r="P99" i="182"/>
  <c r="W72" i="197"/>
  <c r="AM90" i="197" s="1"/>
  <c r="X285" i="184"/>
  <c r="U296" i="184"/>
  <c r="Y307" i="184"/>
  <c r="S69" i="197"/>
  <c r="AI87" i="197" s="1"/>
  <c r="X72" i="197"/>
  <c r="AN90" i="197" s="1"/>
  <c r="Y285" i="184"/>
  <c r="V296" i="184"/>
  <c r="O87" i="193"/>
  <c r="O100" i="192"/>
  <c r="O118" i="191"/>
  <c r="O29" i="186"/>
  <c r="P48" i="181"/>
  <c r="Q46" i="182"/>
  <c r="Q65" i="182" s="1"/>
  <c r="O47" i="182"/>
  <c r="M48" i="182"/>
  <c r="K49" i="182"/>
  <c r="K68" i="182" s="1"/>
  <c r="S49" i="182"/>
  <c r="S68" i="182" s="1"/>
  <c r="Q50" i="182"/>
  <c r="Q69" i="182" s="1"/>
  <c r="O51" i="182"/>
  <c r="M52" i="182"/>
  <c r="K53" i="182"/>
  <c r="K72" i="182" s="1"/>
  <c r="S53" i="182"/>
  <c r="S72" i="182" s="1"/>
  <c r="Q54" i="182"/>
  <c r="Q73" i="182" s="1"/>
  <c r="O55" i="182"/>
  <c r="M56" i="182"/>
  <c r="K57" i="182"/>
  <c r="K76" i="182" s="1"/>
  <c r="S57" i="182"/>
  <c r="S76" i="182" s="1"/>
  <c r="Q58" i="182"/>
  <c r="Q77" i="182" s="1"/>
  <c r="O59" i="182"/>
  <c r="M60" i="182"/>
  <c r="K61" i="182"/>
  <c r="K80" i="182" s="1"/>
  <c r="S61" i="182"/>
  <c r="S80" i="182" s="1"/>
  <c r="P84" i="182"/>
  <c r="N85" i="182"/>
  <c r="L86" i="182"/>
  <c r="L106" i="182" s="1"/>
  <c r="J87" i="182"/>
  <c r="J107" i="182" s="1"/>
  <c r="R87" i="182"/>
  <c r="R107" i="182" s="1"/>
  <c r="P88" i="182"/>
  <c r="N89" i="182"/>
  <c r="L90" i="182"/>
  <c r="L110" i="182" s="1"/>
  <c r="J91" i="182"/>
  <c r="J111" i="182" s="1"/>
  <c r="R91" i="182"/>
  <c r="R111" i="182" s="1"/>
  <c r="P92" i="182"/>
  <c r="N93" i="182"/>
  <c r="L94" i="182"/>
  <c r="L114" i="182" s="1"/>
  <c r="J95" i="182"/>
  <c r="J115" i="182" s="1"/>
  <c r="R95" i="182"/>
  <c r="R115" i="182" s="1"/>
  <c r="P96" i="182"/>
  <c r="N97" i="182"/>
  <c r="L98" i="182"/>
  <c r="L118" i="182" s="1"/>
  <c r="J99" i="182"/>
  <c r="J119" i="182" s="1"/>
  <c r="R99" i="182"/>
  <c r="R119" i="182" s="1"/>
  <c r="Y72" i="197"/>
  <c r="AO90" i="197" s="1"/>
  <c r="Q83" i="193"/>
  <c r="Q114" i="191"/>
  <c r="Q96" i="192"/>
  <c r="Q25" i="186"/>
  <c r="Q84" i="193"/>
  <c r="Q115" i="191"/>
  <c r="Q97" i="192"/>
  <c r="Q26" i="186"/>
  <c r="Q116" i="191"/>
  <c r="Q27" i="186"/>
  <c r="Q86" i="193"/>
  <c r="Q117" i="191"/>
  <c r="Q99" i="192"/>
  <c r="Q28" i="186"/>
  <c r="Q87" i="193"/>
  <c r="Q118" i="191"/>
  <c r="Q100" i="192"/>
  <c r="Q29" i="186"/>
  <c r="Q88" i="193"/>
  <c r="Q101" i="192"/>
  <c r="Q119" i="191"/>
  <c r="Q30" i="186"/>
  <c r="Q89" i="193"/>
  <c r="Q120" i="191"/>
  <c r="Q102" i="192"/>
  <c r="Q31" i="186"/>
  <c r="Q84" i="182"/>
  <c r="Q104" i="182" s="1"/>
  <c r="O85" i="182"/>
  <c r="M86" i="182"/>
  <c r="K87" i="182"/>
  <c r="K107" i="182" s="1"/>
  <c r="S87" i="182"/>
  <c r="S107" i="182" s="1"/>
  <c r="Q88" i="182"/>
  <c r="Q108" i="182" s="1"/>
  <c r="O89" i="182"/>
  <c r="M90" i="182"/>
  <c r="K91" i="182"/>
  <c r="K111" i="182" s="1"/>
  <c r="S91" i="182"/>
  <c r="S111" i="182" s="1"/>
  <c r="Q92" i="182"/>
  <c r="Q112" i="182" s="1"/>
  <c r="O93" i="182"/>
  <c r="M94" i="182"/>
  <c r="K95" i="182"/>
  <c r="K115" i="182" s="1"/>
  <c r="S95" i="182"/>
  <c r="S115" i="182" s="1"/>
  <c r="Q96" i="182"/>
  <c r="Q116" i="182" s="1"/>
  <c r="O97" i="182"/>
  <c r="M98" i="182"/>
  <c r="K99" i="182"/>
  <c r="K119" i="182" s="1"/>
  <c r="S99" i="182"/>
  <c r="S119" i="182" s="1"/>
  <c r="R330" i="184"/>
  <c r="R329" i="184"/>
  <c r="R328" i="184"/>
  <c r="R327" i="184"/>
  <c r="R326" i="184"/>
  <c r="R325" i="184"/>
  <c r="R324" i="184"/>
  <c r="R321" i="184"/>
  <c r="R320" i="184"/>
  <c r="R319" i="184"/>
  <c r="R318" i="184"/>
  <c r="R317" i="184"/>
  <c r="R316" i="184"/>
  <c r="R315" i="184"/>
  <c r="R257" i="184"/>
  <c r="R256" i="184"/>
  <c r="R246" i="184"/>
  <c r="R245" i="184"/>
  <c r="R235" i="184"/>
  <c r="R234" i="184"/>
  <c r="R272" i="184"/>
  <c r="R271" i="184"/>
  <c r="R283" i="184"/>
  <c r="R285" i="184" s="1"/>
  <c r="R282" i="184"/>
  <c r="R284" i="184" s="1"/>
  <c r="R294" i="184"/>
  <c r="R296" i="184" s="1"/>
  <c r="R293" i="184"/>
  <c r="R295" i="184" s="1"/>
  <c r="R305" i="184"/>
  <c r="R307" i="184" s="1"/>
  <c r="R304" i="184"/>
  <c r="R306" i="184" s="1"/>
  <c r="K46" i="182"/>
  <c r="K65" i="182" s="1"/>
  <c r="S46" i="182"/>
  <c r="S65" i="182" s="1"/>
  <c r="Q47" i="182"/>
  <c r="Q66" i="182" s="1"/>
  <c r="O48" i="182"/>
  <c r="M49" i="182"/>
  <c r="K50" i="182"/>
  <c r="K69" i="182" s="1"/>
  <c r="S50" i="182"/>
  <c r="S69" i="182" s="1"/>
  <c r="Q51" i="182"/>
  <c r="Q70" i="182" s="1"/>
  <c r="O52" i="182"/>
  <c r="M53" i="182"/>
  <c r="K54" i="182"/>
  <c r="K73" i="182" s="1"/>
  <c r="S54" i="182"/>
  <c r="S73" i="182" s="1"/>
  <c r="Q55" i="182"/>
  <c r="Q74" i="182" s="1"/>
  <c r="O56" i="182"/>
  <c r="M57" i="182"/>
  <c r="K58" i="182"/>
  <c r="K77" i="182" s="1"/>
  <c r="S58" i="182"/>
  <c r="S77" i="182" s="1"/>
  <c r="Q59" i="182"/>
  <c r="Q78" i="182" s="1"/>
  <c r="O60" i="182"/>
  <c r="M61" i="182"/>
  <c r="J84" i="182"/>
  <c r="J104" i="182" s="1"/>
  <c r="R84" i="182"/>
  <c r="R104" i="182" s="1"/>
  <c r="P85" i="182"/>
  <c r="N86" i="182"/>
  <c r="L87" i="182"/>
  <c r="L107" i="182" s="1"/>
  <c r="J88" i="182"/>
  <c r="J108" i="182" s="1"/>
  <c r="R88" i="182"/>
  <c r="R108" i="182" s="1"/>
  <c r="P89" i="182"/>
  <c r="N90" i="182"/>
  <c r="L91" i="182"/>
  <c r="L111" i="182" s="1"/>
  <c r="J92" i="182"/>
  <c r="J112" i="182" s="1"/>
  <c r="R92" i="182"/>
  <c r="R112" i="182" s="1"/>
  <c r="P93" i="182"/>
  <c r="N94" i="182"/>
  <c r="L95" i="182"/>
  <c r="L115" i="182" s="1"/>
  <c r="J96" i="182"/>
  <c r="J116" i="182" s="1"/>
  <c r="R96" i="182"/>
  <c r="R116" i="182" s="1"/>
  <c r="P97" i="182"/>
  <c r="N98" i="182"/>
  <c r="L99" i="182"/>
  <c r="L119" i="182" s="1"/>
  <c r="U274" i="184"/>
  <c r="T285" i="184"/>
  <c r="Y296" i="184"/>
  <c r="O83" i="193"/>
  <c r="O96" i="192"/>
  <c r="O114" i="191"/>
  <c r="O25" i="186"/>
  <c r="O84" i="193"/>
  <c r="O115" i="191"/>
  <c r="O97" i="192"/>
  <c r="O26" i="186"/>
  <c r="O85" i="193"/>
  <c r="O98" i="192"/>
  <c r="O116" i="191"/>
  <c r="O27" i="186"/>
  <c r="O86" i="193"/>
  <c r="O117" i="191"/>
  <c r="O99" i="192"/>
  <c r="O28" i="186"/>
  <c r="O88" i="193"/>
  <c r="O101" i="192"/>
  <c r="O119" i="191"/>
  <c r="O30" i="186"/>
  <c r="O89" i="193"/>
  <c r="O120" i="191"/>
  <c r="O102" i="192"/>
  <c r="O31" i="186"/>
  <c r="J83" i="193"/>
  <c r="J96" i="192"/>
  <c r="J114" i="191"/>
  <c r="J25" i="186"/>
  <c r="J84" i="193"/>
  <c r="J97" i="192"/>
  <c r="J115" i="191"/>
  <c r="J26" i="186"/>
  <c r="J85" i="193"/>
  <c r="J98" i="192"/>
  <c r="J116" i="191"/>
  <c r="J27" i="186"/>
  <c r="J86" i="193"/>
  <c r="J99" i="192"/>
  <c r="J117" i="191"/>
  <c r="J28" i="186"/>
  <c r="J87" i="193"/>
  <c r="J100" i="192"/>
  <c r="J118" i="191"/>
  <c r="J29" i="186"/>
  <c r="J88" i="193"/>
  <c r="J101" i="192"/>
  <c r="J119" i="191"/>
  <c r="J30" i="186"/>
  <c r="J89" i="193"/>
  <c r="J102" i="192"/>
  <c r="J120" i="191"/>
  <c r="J31" i="186"/>
  <c r="K48" i="181"/>
  <c r="L46" i="182"/>
  <c r="L65" i="182" s="1"/>
  <c r="J47" i="182"/>
  <c r="J66" i="182" s="1"/>
  <c r="R47" i="182"/>
  <c r="R66" i="182" s="1"/>
  <c r="P48" i="182"/>
  <c r="N49" i="182"/>
  <c r="L50" i="182"/>
  <c r="L69" i="182" s="1"/>
  <c r="J51" i="182"/>
  <c r="J70" i="182" s="1"/>
  <c r="R51" i="182"/>
  <c r="R70" i="182" s="1"/>
  <c r="P52" i="182"/>
  <c r="N53" i="182"/>
  <c r="L54" i="182"/>
  <c r="L73" i="182" s="1"/>
  <c r="J55" i="182"/>
  <c r="J74" i="182" s="1"/>
  <c r="R55" i="182"/>
  <c r="R74" i="182" s="1"/>
  <c r="P56" i="182"/>
  <c r="N57" i="182"/>
  <c r="L58" i="182"/>
  <c r="L77" i="182" s="1"/>
  <c r="J59" i="182"/>
  <c r="J78" i="182" s="1"/>
  <c r="R59" i="182"/>
  <c r="R78" i="182" s="1"/>
  <c r="P60" i="182"/>
  <c r="N61" i="182"/>
  <c r="K84" i="182"/>
  <c r="K104" i="182" s="1"/>
  <c r="S84" i="182"/>
  <c r="S104" i="182" s="1"/>
  <c r="Q85" i="182"/>
  <c r="Q105" i="182" s="1"/>
  <c r="O86" i="182"/>
  <c r="M87" i="182"/>
  <c r="K88" i="182"/>
  <c r="K108" i="182" s="1"/>
  <c r="S88" i="182"/>
  <c r="S108" i="182" s="1"/>
  <c r="Q89" i="182"/>
  <c r="Q109" i="182" s="1"/>
  <c r="O90" i="182"/>
  <c r="M91" i="182"/>
  <c r="K92" i="182"/>
  <c r="K112" i="182" s="1"/>
  <c r="S92" i="182"/>
  <c r="S112" i="182" s="1"/>
  <c r="Q93" i="182"/>
  <c r="Q113" i="182" s="1"/>
  <c r="O94" i="182"/>
  <c r="M95" i="182"/>
  <c r="K96" i="182"/>
  <c r="K116" i="182" s="1"/>
  <c r="S96" i="182"/>
  <c r="S116" i="182" s="1"/>
  <c r="Q97" i="182"/>
  <c r="Q117" i="182" s="1"/>
  <c r="O98" i="182"/>
  <c r="M99" i="182"/>
  <c r="T72" i="197"/>
  <c r="AJ90" i="197" s="1"/>
  <c r="U285" i="184"/>
  <c r="L83" i="193"/>
  <c r="L96" i="192"/>
  <c r="L114" i="191"/>
  <c r="L25" i="186"/>
  <c r="L84" i="193"/>
  <c r="L97" i="192"/>
  <c r="L115" i="191"/>
  <c r="L26" i="186"/>
  <c r="L85" i="193"/>
  <c r="L98" i="192"/>
  <c r="L116" i="191"/>
  <c r="L27" i="186"/>
  <c r="L87" i="193"/>
  <c r="L100" i="192"/>
  <c r="L118" i="191"/>
  <c r="L29" i="186"/>
  <c r="L88" i="193"/>
  <c r="L101" i="192"/>
  <c r="L119" i="191"/>
  <c r="L30" i="186"/>
  <c r="L89" i="193"/>
  <c r="L102" i="192"/>
  <c r="L120" i="191"/>
  <c r="L31" i="186"/>
  <c r="M46" i="182"/>
  <c r="K47" i="182"/>
  <c r="K66" i="182" s="1"/>
  <c r="S47" i="182"/>
  <c r="S66" i="182" s="1"/>
  <c r="Q48" i="182"/>
  <c r="Q67" i="182" s="1"/>
  <c r="O49" i="182"/>
  <c r="M50" i="182"/>
  <c r="K51" i="182"/>
  <c r="K70" i="182" s="1"/>
  <c r="S51" i="182"/>
  <c r="S70" i="182" s="1"/>
  <c r="Q52" i="182"/>
  <c r="Q71" i="182" s="1"/>
  <c r="O53" i="182"/>
  <c r="M54" i="182"/>
  <c r="K55" i="182"/>
  <c r="K74" i="182" s="1"/>
  <c r="S55" i="182"/>
  <c r="S74" i="182" s="1"/>
  <c r="Q56" i="182"/>
  <c r="Q75" i="182" s="1"/>
  <c r="O57" i="182"/>
  <c r="M58" i="182"/>
  <c r="K59" i="182"/>
  <c r="K78" i="182" s="1"/>
  <c r="S59" i="182"/>
  <c r="S78" i="182" s="1"/>
  <c r="Q60" i="182"/>
  <c r="Q79" i="182" s="1"/>
  <c r="L84" i="182"/>
  <c r="L104" i="182" s="1"/>
  <c r="J85" i="182"/>
  <c r="J105" i="182" s="1"/>
  <c r="R85" i="182"/>
  <c r="R105" i="182" s="1"/>
  <c r="P86" i="182"/>
  <c r="N87" i="182"/>
  <c r="L88" i="182"/>
  <c r="L108" i="182" s="1"/>
  <c r="J89" i="182"/>
  <c r="J109" i="182" s="1"/>
  <c r="R89" i="182"/>
  <c r="R109" i="182" s="1"/>
  <c r="P90" i="182"/>
  <c r="N91" i="182"/>
  <c r="L92" i="182"/>
  <c r="L112" i="182" s="1"/>
  <c r="J93" i="182"/>
  <c r="J113" i="182" s="1"/>
  <c r="R93" i="182"/>
  <c r="R113" i="182" s="1"/>
  <c r="P94" i="182"/>
  <c r="N95" i="182"/>
  <c r="L96" i="182"/>
  <c r="L116" i="182" s="1"/>
  <c r="J97" i="182"/>
  <c r="J117" i="182" s="1"/>
  <c r="R97" i="182"/>
  <c r="R117" i="182" s="1"/>
  <c r="P98" i="182"/>
  <c r="U72" i="197"/>
  <c r="Y274" i="184"/>
  <c r="V285" i="184"/>
  <c r="U307" i="184"/>
  <c r="M83" i="193"/>
  <c r="M96" i="192"/>
  <c r="M114" i="191"/>
  <c r="M25" i="186"/>
  <c r="M85" i="193"/>
  <c r="M98" i="192"/>
  <c r="M116" i="191"/>
  <c r="M27" i="186"/>
  <c r="M88" i="193"/>
  <c r="M101" i="192"/>
  <c r="M119" i="191"/>
  <c r="M30" i="186"/>
  <c r="M89" i="193"/>
  <c r="M102" i="192"/>
  <c r="M120" i="191"/>
  <c r="M31" i="186"/>
  <c r="T296" i="184"/>
  <c r="L21" i="183"/>
  <c r="L23" i="183"/>
  <c r="L25" i="183"/>
  <c r="L27" i="183"/>
  <c r="L29" i="183"/>
  <c r="L31" i="183"/>
  <c r="L33" i="183"/>
  <c r="L35" i="183"/>
  <c r="Y234" i="184"/>
  <c r="Y236" i="184" s="1"/>
  <c r="Y235" i="184"/>
  <c r="Y237" i="184" s="1"/>
  <c r="Y245" i="184"/>
  <c r="Y247" i="184" s="1"/>
  <c r="Y246" i="184"/>
  <c r="Y248" i="184" s="1"/>
  <c r="Y256" i="184"/>
  <c r="Y258" i="184" s="1"/>
  <c r="Y257" i="184"/>
  <c r="Y259" i="184" s="1"/>
  <c r="Y271" i="184"/>
  <c r="Y273" i="184" s="1"/>
  <c r="Y282" i="184"/>
  <c r="Y284" i="184" s="1"/>
  <c r="Y293" i="184"/>
  <c r="Y295" i="184" s="1"/>
  <c r="Y304" i="184"/>
  <c r="Y306" i="184" s="1"/>
  <c r="Y315" i="184"/>
  <c r="Y316" i="184"/>
  <c r="Y317" i="184"/>
  <c r="Y318" i="184"/>
  <c r="Y319" i="184"/>
  <c r="Y320" i="184"/>
  <c r="Y321" i="184"/>
  <c r="Y324" i="184"/>
  <c r="Y325" i="184"/>
  <c r="Y326" i="184"/>
  <c r="Y327" i="184"/>
  <c r="Y328" i="184"/>
  <c r="Y329" i="184"/>
  <c r="K22" i="183"/>
  <c r="K24" i="183"/>
  <c r="K26" i="183"/>
  <c r="K28" i="183"/>
  <c r="K30" i="183"/>
  <c r="K32" i="183"/>
  <c r="K34" i="183"/>
  <c r="K36" i="183"/>
  <c r="T234" i="184"/>
  <c r="T235" i="184"/>
  <c r="T245" i="184"/>
  <c r="T246" i="184"/>
  <c r="T256" i="184"/>
  <c r="T257" i="184"/>
  <c r="T271" i="184"/>
  <c r="T282" i="184"/>
  <c r="T284" i="184" s="1"/>
  <c r="T293" i="184"/>
  <c r="T295" i="184" s="1"/>
  <c r="T304" i="184"/>
  <c r="T315" i="184"/>
  <c r="T316" i="184"/>
  <c r="T317" i="184"/>
  <c r="T318" i="184"/>
  <c r="T319" i="184"/>
  <c r="T320" i="184"/>
  <c r="T321" i="184"/>
  <c r="T324" i="184"/>
  <c r="T325" i="184"/>
  <c r="T326" i="184"/>
  <c r="T327" i="184"/>
  <c r="T328" i="184"/>
  <c r="T329" i="184"/>
  <c r="L22" i="183"/>
  <c r="L24" i="183"/>
  <c r="L26" i="183"/>
  <c r="L28" i="183"/>
  <c r="L30" i="183"/>
  <c r="L32" i="183"/>
  <c r="L34" i="183"/>
  <c r="L36" i="183"/>
  <c r="U234" i="184"/>
  <c r="U236" i="184" s="1"/>
  <c r="U235" i="184"/>
  <c r="U237" i="184" s="1"/>
  <c r="U245" i="184"/>
  <c r="U247" i="184" s="1"/>
  <c r="U246" i="184"/>
  <c r="U248" i="184" s="1"/>
  <c r="U256" i="184"/>
  <c r="U258" i="184" s="1"/>
  <c r="U257" i="184"/>
  <c r="U259" i="184" s="1"/>
  <c r="U271" i="184"/>
  <c r="U273" i="184" s="1"/>
  <c r="U282" i="184"/>
  <c r="U284" i="184" s="1"/>
  <c r="U293" i="184"/>
  <c r="U295" i="184" s="1"/>
  <c r="U304" i="184"/>
  <c r="U306" i="184" s="1"/>
  <c r="U315" i="184"/>
  <c r="U316" i="184"/>
  <c r="U317" i="184"/>
  <c r="U318" i="184"/>
  <c r="U319" i="184"/>
  <c r="U320" i="184"/>
  <c r="U321" i="184"/>
  <c r="U324" i="184"/>
  <c r="U325" i="184"/>
  <c r="U326" i="184"/>
  <c r="U327" i="184"/>
  <c r="U328" i="184"/>
  <c r="U329" i="184"/>
  <c r="M22" i="183"/>
  <c r="M24" i="183"/>
  <c r="M26" i="183"/>
  <c r="M28" i="183"/>
  <c r="M30" i="183"/>
  <c r="M32" i="183"/>
  <c r="M34" i="183"/>
  <c r="V234" i="184"/>
  <c r="V236" i="184" s="1"/>
  <c r="V235" i="184"/>
  <c r="V245" i="184"/>
  <c r="V247" i="184" s="1"/>
  <c r="V246" i="184"/>
  <c r="V256" i="184"/>
  <c r="V258" i="184" s="1"/>
  <c r="V257" i="184"/>
  <c r="V271" i="184"/>
  <c r="V273" i="184" s="1"/>
  <c r="V282" i="184"/>
  <c r="V284" i="184" s="1"/>
  <c r="V293" i="184"/>
  <c r="V295" i="184" s="1"/>
  <c r="V304" i="184"/>
  <c r="V306" i="184" s="1"/>
  <c r="V315" i="184"/>
  <c r="V316" i="184"/>
  <c r="V317" i="184"/>
  <c r="V318" i="184"/>
  <c r="V319" i="184"/>
  <c r="V320" i="184"/>
  <c r="V321" i="184"/>
  <c r="V324" i="184"/>
  <c r="V325" i="184"/>
  <c r="V326" i="184"/>
  <c r="V327" i="184"/>
  <c r="V328" i="184"/>
  <c r="V329" i="184"/>
  <c r="W234" i="184"/>
  <c r="W236" i="184" s="1"/>
  <c r="W235" i="184"/>
  <c r="W237" i="184" s="1"/>
  <c r="W245" i="184"/>
  <c r="W247" i="184" s="1"/>
  <c r="W246" i="184"/>
  <c r="W248" i="184" s="1"/>
  <c r="W256" i="184"/>
  <c r="W258" i="184" s="1"/>
  <c r="W257" i="184"/>
  <c r="W259" i="184" s="1"/>
  <c r="W271" i="184"/>
  <c r="W273" i="184" s="1"/>
  <c r="W282" i="184"/>
  <c r="W284" i="184" s="1"/>
  <c r="W293" i="184"/>
  <c r="W295" i="184" s="1"/>
  <c r="W304" i="184"/>
  <c r="W306" i="184" s="1"/>
  <c r="W315" i="184"/>
  <c r="W316" i="184"/>
  <c r="W317" i="184"/>
  <c r="W318" i="184"/>
  <c r="W319" i="184"/>
  <c r="W320" i="184"/>
  <c r="W321" i="184"/>
  <c r="W324" i="184"/>
  <c r="W325" i="184"/>
  <c r="W326" i="184"/>
  <c r="W327" i="184"/>
  <c r="W328" i="184"/>
  <c r="W329" i="184"/>
  <c r="X234" i="184"/>
  <c r="X236" i="184" s="1"/>
  <c r="X235" i="184"/>
  <c r="X245" i="184"/>
  <c r="X247" i="184" s="1"/>
  <c r="X246" i="184"/>
  <c r="X256" i="184"/>
  <c r="X258" i="184" s="1"/>
  <c r="X257" i="184"/>
  <c r="X271" i="184"/>
  <c r="X273" i="184" s="1"/>
  <c r="X282" i="184"/>
  <c r="X284" i="184" s="1"/>
  <c r="X293" i="184"/>
  <c r="X295" i="184" s="1"/>
  <c r="X304" i="184"/>
  <c r="X306" i="184" s="1"/>
  <c r="X315" i="184"/>
  <c r="X316" i="184"/>
  <c r="X317" i="184"/>
  <c r="X318" i="184"/>
  <c r="X319" i="184"/>
  <c r="X320" i="184"/>
  <c r="X321" i="184"/>
  <c r="X324" i="184"/>
  <c r="X325" i="184"/>
  <c r="X326" i="184"/>
  <c r="X327" i="184"/>
  <c r="X328" i="184"/>
  <c r="X329" i="184"/>
  <c r="AI141" i="198"/>
  <c r="K108" i="188"/>
  <c r="P293" i="192"/>
  <c r="J293" i="192"/>
  <c r="N293" i="192"/>
  <c r="V93" i="194"/>
  <c r="V92" i="194"/>
  <c r="V91" i="194"/>
  <c r="V90" i="194"/>
  <c r="V89" i="194"/>
  <c r="V88" i="194"/>
  <c r="V87" i="194"/>
  <c r="V86" i="194"/>
  <c r="V85" i="194"/>
  <c r="V84" i="194"/>
  <c r="V79" i="194"/>
  <c r="V78" i="194"/>
  <c r="V77" i="194"/>
  <c r="V76" i="194"/>
  <c r="V75" i="194"/>
  <c r="V74" i="194"/>
  <c r="V73" i="194"/>
  <c r="V72" i="194"/>
  <c r="U72" i="194"/>
  <c r="U73" i="194"/>
  <c r="U74" i="194"/>
  <c r="U75" i="194"/>
  <c r="U76" i="194"/>
  <c r="U77" i="194"/>
  <c r="U78" i="194"/>
  <c r="U79" i="194"/>
  <c r="U84" i="194"/>
  <c r="U85" i="194"/>
  <c r="U86" i="194"/>
  <c r="U87" i="194"/>
  <c r="U88" i="194"/>
  <c r="U89" i="194"/>
  <c r="U90" i="194"/>
  <c r="U91" i="194"/>
  <c r="U92" i="194"/>
  <c r="V106" i="196"/>
  <c r="W92" i="194"/>
  <c r="AK44" i="196"/>
  <c r="AK24" i="197" s="1"/>
  <c r="AK114" i="197" s="1"/>
  <c r="AK125" i="197" s="1"/>
  <c r="AK154" i="197" s="1"/>
  <c r="AK59" i="198" s="1"/>
  <c r="N105" i="196"/>
  <c r="Y105" i="196"/>
  <c r="AF106" i="196"/>
  <c r="AA108" i="196"/>
  <c r="N109" i="196"/>
  <c r="V110" i="196"/>
  <c r="AF110" i="196"/>
  <c r="P112" i="196"/>
  <c r="AA112" i="196"/>
  <c r="V107" i="196"/>
  <c r="W72" i="194"/>
  <c r="W73" i="194"/>
  <c r="W74" i="194"/>
  <c r="W75" i="194"/>
  <c r="W76" i="194"/>
  <c r="W77" i="194"/>
  <c r="W78" i="194"/>
  <c r="W79" i="194"/>
  <c r="W84" i="194"/>
  <c r="W85" i="194"/>
  <c r="W86" i="194"/>
  <c r="W87" i="194"/>
  <c r="W88" i="194"/>
  <c r="W89" i="194"/>
  <c r="W90" i="194"/>
  <c r="W91" i="194"/>
  <c r="X92" i="194"/>
  <c r="Z105" i="196"/>
  <c r="M106" i="196"/>
  <c r="O109" i="196"/>
  <c r="Z109" i="196"/>
  <c r="AG110" i="196"/>
  <c r="AC108" i="196"/>
  <c r="X72" i="194"/>
  <c r="X73" i="194"/>
  <c r="X74" i="194"/>
  <c r="X75" i="194"/>
  <c r="X76" i="194"/>
  <c r="X77" i="194"/>
  <c r="X78" i="194"/>
  <c r="X79" i="194"/>
  <c r="X84" i="194"/>
  <c r="X85" i="194"/>
  <c r="X86" i="194"/>
  <c r="X87" i="194"/>
  <c r="X88" i="194"/>
  <c r="X89" i="194"/>
  <c r="X90" i="194"/>
  <c r="X91" i="194"/>
  <c r="Y92" i="194"/>
  <c r="P105" i="196"/>
  <c r="N106" i="196"/>
  <c r="Y106" i="196"/>
  <c r="AF107" i="196"/>
  <c r="AA109" i="196"/>
  <c r="N110" i="196"/>
  <c r="V111" i="196"/>
  <c r="AF111" i="196"/>
  <c r="J110" i="196"/>
  <c r="Y72" i="194"/>
  <c r="Y73" i="194"/>
  <c r="Y74" i="194"/>
  <c r="Y75" i="194"/>
  <c r="Y76" i="194"/>
  <c r="Y77" i="194"/>
  <c r="Y78" i="194"/>
  <c r="Y79" i="194"/>
  <c r="Y84" i="194"/>
  <c r="Y85" i="194"/>
  <c r="Y86" i="194"/>
  <c r="Y87" i="194"/>
  <c r="Y88" i="194"/>
  <c r="Y89" i="194"/>
  <c r="Y90" i="194"/>
  <c r="T108" i="196"/>
  <c r="AD112" i="196"/>
  <c r="R72" i="194"/>
  <c r="R73" i="194"/>
  <c r="R74" i="194"/>
  <c r="R75" i="194"/>
  <c r="R76" i="194"/>
  <c r="R77" i="194"/>
  <c r="R78" i="194"/>
  <c r="R79" i="194"/>
  <c r="R84" i="194"/>
  <c r="R85" i="194"/>
  <c r="R86" i="194"/>
  <c r="R87" i="194"/>
  <c r="R88" i="194"/>
  <c r="R89" i="194"/>
  <c r="R90" i="194"/>
  <c r="R91" i="194"/>
  <c r="R92" i="194"/>
  <c r="AK374" i="196"/>
  <c r="AK376" i="196" s="1"/>
  <c r="AK387" i="196" s="1"/>
  <c r="AK342" i="196"/>
  <c r="AK341" i="196"/>
  <c r="AK310" i="196"/>
  <c r="AK309" i="196"/>
  <c r="AK308" i="196"/>
  <c r="AK167" i="196"/>
  <c r="AK175" i="196" s="1"/>
  <c r="AK154" i="196"/>
  <c r="U110" i="196"/>
  <c r="U106" i="196"/>
  <c r="U109" i="196"/>
  <c r="U105" i="196"/>
  <c r="U112" i="196"/>
  <c r="U108" i="196"/>
  <c r="U107" i="196"/>
  <c r="U111" i="196"/>
  <c r="AE110" i="196"/>
  <c r="AE106" i="196"/>
  <c r="AE109" i="196"/>
  <c r="AE105" i="196"/>
  <c r="AE112" i="196"/>
  <c r="AE108" i="196"/>
  <c r="AE111" i="196"/>
  <c r="AE107" i="196"/>
  <c r="AK45" i="196"/>
  <c r="AK25" i="197" s="1"/>
  <c r="AK115" i="197" s="1"/>
  <c r="AK126" i="197" s="1"/>
  <c r="AK155" i="197" s="1"/>
  <c r="AK60" i="198" s="1"/>
  <c r="S112" i="196"/>
  <c r="S72" i="194"/>
  <c r="S73" i="194"/>
  <c r="S74" i="194"/>
  <c r="S75" i="194"/>
  <c r="S76" i="194"/>
  <c r="S77" i="194"/>
  <c r="S78" i="194"/>
  <c r="S79" i="194"/>
  <c r="S84" i="194"/>
  <c r="S85" i="194"/>
  <c r="S86" i="194"/>
  <c r="S87" i="194"/>
  <c r="S88" i="194"/>
  <c r="S89" i="194"/>
  <c r="S90" i="194"/>
  <c r="S91" i="194"/>
  <c r="S92" i="194"/>
  <c r="X29" i="196"/>
  <c r="AN48" i="196" s="1"/>
  <c r="AN47" i="197" s="1"/>
  <c r="M111" i="196"/>
  <c r="X111" i="196"/>
  <c r="AG111" i="196"/>
  <c r="AI45" i="196"/>
  <c r="AI25" i="197" s="1"/>
  <c r="AI115" i="197" s="1"/>
  <c r="AJ45" i="196"/>
  <c r="AJ25" i="197" s="1"/>
  <c r="AJ115" i="197" s="1"/>
  <c r="O111" i="196"/>
  <c r="Z111" i="196"/>
  <c r="AA105" i="196"/>
  <c r="AG106" i="196"/>
  <c r="P108" i="196"/>
  <c r="P109" i="196"/>
  <c r="X110" i="196"/>
  <c r="AD111" i="196"/>
  <c r="N48" i="195"/>
  <c r="V48" i="195"/>
  <c r="V50" i="195"/>
  <c r="J106" i="196"/>
  <c r="J107" i="196"/>
  <c r="Y109" i="196"/>
  <c r="K374" i="196"/>
  <c r="K376" i="196" s="1"/>
  <c r="K387" i="196" s="1"/>
  <c r="K341" i="196"/>
  <c r="K308" i="196"/>
  <c r="K309" i="196"/>
  <c r="K310" i="196"/>
  <c r="K167" i="196"/>
  <c r="K175" i="196" s="1"/>
  <c r="K154" i="196"/>
  <c r="AI374" i="196"/>
  <c r="AI376" i="196" s="1"/>
  <c r="AI387" i="196" s="1"/>
  <c r="AI342" i="196"/>
  <c r="AI341" i="196"/>
  <c r="AI310" i="196"/>
  <c r="AI309" i="196"/>
  <c r="AI308" i="196"/>
  <c r="AI167" i="196"/>
  <c r="AI175" i="196" s="1"/>
  <c r="S111" i="196"/>
  <c r="S107" i="196"/>
  <c r="S110" i="196"/>
  <c r="S106" i="196"/>
  <c r="S109" i="196"/>
  <c r="S105" i="196"/>
  <c r="AC111" i="196"/>
  <c r="AC107" i="196"/>
  <c r="AC110" i="196"/>
  <c r="AC106" i="196"/>
  <c r="AC109" i="196"/>
  <c r="AC105" i="196"/>
  <c r="AI44" i="196"/>
  <c r="AI24" i="197" s="1"/>
  <c r="AI114" i="197" s="1"/>
  <c r="T107" i="196"/>
  <c r="L374" i="196"/>
  <c r="L376" i="196" s="1"/>
  <c r="L387" i="196" s="1"/>
  <c r="L342" i="196"/>
  <c r="L341" i="196"/>
  <c r="L310" i="196"/>
  <c r="L309" i="196"/>
  <c r="L308" i="196"/>
  <c r="L167" i="196"/>
  <c r="L175" i="196" s="1"/>
  <c r="L154" i="196"/>
  <c r="AB374" i="196"/>
  <c r="AB376" i="196" s="1"/>
  <c r="AB387" i="196" s="1"/>
  <c r="AB342" i="196"/>
  <c r="AB341" i="196"/>
  <c r="AB310" i="196"/>
  <c r="AB309" i="196"/>
  <c r="AB308" i="196"/>
  <c r="AB167" i="196"/>
  <c r="AB175" i="196" s="1"/>
  <c r="AB154" i="196"/>
  <c r="AJ374" i="196"/>
  <c r="AJ376" i="196" s="1"/>
  <c r="AJ387" i="196" s="1"/>
  <c r="AJ342" i="196"/>
  <c r="AJ341" i="196"/>
  <c r="AJ310" i="196"/>
  <c r="AJ309" i="196"/>
  <c r="AJ308" i="196"/>
  <c r="AJ167" i="196"/>
  <c r="AJ175" i="196" s="1"/>
  <c r="AJ154" i="196"/>
  <c r="T110" i="196"/>
  <c r="T106" i="196"/>
  <c r="T109" i="196"/>
  <c r="T105" i="196"/>
  <c r="AD110" i="196"/>
  <c r="AD106" i="196"/>
  <c r="AD109" i="196"/>
  <c r="AD105" i="196"/>
  <c r="AJ44" i="196"/>
  <c r="AJ24" i="197" s="1"/>
  <c r="AJ114" i="197" s="1"/>
  <c r="K342" i="196"/>
  <c r="AL374" i="196"/>
  <c r="AL376" i="196" s="1"/>
  <c r="AL387" i="196" s="1"/>
  <c r="AL342" i="196"/>
  <c r="AL341" i="196"/>
  <c r="AL310" i="196"/>
  <c r="AL167" i="196"/>
  <c r="AL175" i="196" s="1"/>
  <c r="AL154" i="196"/>
  <c r="AL308" i="196"/>
  <c r="AL309" i="196"/>
  <c r="X106" i="196"/>
  <c r="AD107" i="196"/>
  <c r="AD108" i="196"/>
  <c r="M110" i="196"/>
  <c r="T111" i="196"/>
  <c r="T112" i="196"/>
  <c r="R167" i="196"/>
  <c r="R175" i="196" s="1"/>
  <c r="AL90" i="197"/>
  <c r="AL44" i="196"/>
  <c r="AL24" i="197" s="1"/>
  <c r="AL114" i="197" s="1"/>
  <c r="AL45" i="196"/>
  <c r="AL25" i="197" s="1"/>
  <c r="AL115" i="197" s="1"/>
  <c r="O106" i="196"/>
  <c r="Z106" i="196"/>
  <c r="M107" i="196"/>
  <c r="X107" i="196"/>
  <c r="AG107" i="196"/>
  <c r="O110" i="196"/>
  <c r="Z110" i="196"/>
  <c r="W374" i="196"/>
  <c r="W376" i="196" s="1"/>
  <c r="W387" i="196" s="1"/>
  <c r="W342" i="196"/>
  <c r="W341" i="196"/>
  <c r="W310" i="196"/>
  <c r="W309" i="196"/>
  <c r="W308" i="196"/>
  <c r="W167" i="196"/>
  <c r="W175" i="196" s="1"/>
  <c r="W154" i="196"/>
  <c r="AM374" i="196"/>
  <c r="AM376" i="196" s="1"/>
  <c r="AM387" i="196" s="1"/>
  <c r="AM342" i="196"/>
  <c r="AM341" i="196"/>
  <c r="AM310" i="196"/>
  <c r="AM309" i="196"/>
  <c r="AM308" i="196"/>
  <c r="AM167" i="196"/>
  <c r="AM175" i="196" s="1"/>
  <c r="AM154" i="196"/>
  <c r="AM44" i="196"/>
  <c r="AM24" i="197" s="1"/>
  <c r="AM114" i="197" s="1"/>
  <c r="AM125" i="197" s="1"/>
  <c r="AM154" i="197" s="1"/>
  <c r="AM59" i="198" s="1"/>
  <c r="AM45" i="196"/>
  <c r="AM25" i="197" s="1"/>
  <c r="AM115" i="197" s="1"/>
  <c r="AM126" i="197" s="1"/>
  <c r="AM155" i="197" s="1"/>
  <c r="AM60" i="198" s="1"/>
  <c r="P106" i="196"/>
  <c r="AA106" i="196"/>
  <c r="N107" i="196"/>
  <c r="Y107" i="196"/>
  <c r="J108" i="196"/>
  <c r="V108" i="196"/>
  <c r="AF108" i="196"/>
  <c r="P110" i="196"/>
  <c r="AA110" i="196"/>
  <c r="N111" i="196"/>
  <c r="Y111" i="196"/>
  <c r="J112" i="196"/>
  <c r="V112" i="196"/>
  <c r="AF112" i="196"/>
  <c r="AN374" i="196"/>
  <c r="AN376" i="196" s="1"/>
  <c r="AN387" i="196" s="1"/>
  <c r="AN342" i="196"/>
  <c r="AN341" i="196"/>
  <c r="AN310" i="196"/>
  <c r="AN309" i="196"/>
  <c r="AN308" i="196"/>
  <c r="AN154" i="196"/>
  <c r="AN44" i="196"/>
  <c r="AN24" i="197" s="1"/>
  <c r="AN114" i="197" s="1"/>
  <c r="AN45" i="196"/>
  <c r="AN25" i="197" s="1"/>
  <c r="AN115" i="197" s="1"/>
  <c r="O107" i="196"/>
  <c r="Z107" i="196"/>
  <c r="M108" i="196"/>
  <c r="X108" i="196"/>
  <c r="AG108" i="196"/>
  <c r="M112" i="196"/>
  <c r="X112" i="196"/>
  <c r="AG112" i="196"/>
  <c r="Q342" i="196"/>
  <c r="Q341" i="196"/>
  <c r="Q310" i="196"/>
  <c r="Q309" i="196"/>
  <c r="Q308" i="196"/>
  <c r="AO342" i="196"/>
  <c r="AO341" i="196"/>
  <c r="AO310" i="196"/>
  <c r="AO309" i="196"/>
  <c r="AO308" i="196"/>
  <c r="AO44" i="196"/>
  <c r="AO24" i="197" s="1"/>
  <c r="AO114" i="197" s="1"/>
  <c r="AO125" i="197" s="1"/>
  <c r="AO154" i="197" s="1"/>
  <c r="AO59" i="198" s="1"/>
  <c r="AO45" i="196"/>
  <c r="AO25" i="197" s="1"/>
  <c r="AO115" i="197" s="1"/>
  <c r="AO126" i="197" s="1"/>
  <c r="AO155" i="197" s="1"/>
  <c r="AO60" i="198" s="1"/>
  <c r="J105" i="196"/>
  <c r="V105" i="196"/>
  <c r="AF105" i="196"/>
  <c r="P107" i="196"/>
  <c r="AA107" i="196"/>
  <c r="N108" i="196"/>
  <c r="Y108" i="196"/>
  <c r="J109" i="196"/>
  <c r="V109" i="196"/>
  <c r="AF109" i="196"/>
  <c r="P111" i="196"/>
  <c r="AA111" i="196"/>
  <c r="N112" i="196"/>
  <c r="Y112" i="196"/>
  <c r="R310" i="196"/>
  <c r="R309" i="196"/>
  <c r="R308" i="196"/>
  <c r="R374" i="196"/>
  <c r="R376" i="196" s="1"/>
  <c r="R387" i="196" s="1"/>
  <c r="R342" i="196"/>
  <c r="R344" i="196" s="1"/>
  <c r="R386" i="196" s="1"/>
  <c r="AH374" i="196"/>
  <c r="AH376" i="196" s="1"/>
  <c r="AH387" i="196" s="1"/>
  <c r="AH342" i="196"/>
  <c r="AH341" i="196"/>
  <c r="AH310" i="196"/>
  <c r="AH309" i="196"/>
  <c r="AH308" i="196"/>
  <c r="AH44" i="196"/>
  <c r="AH24" i="197" s="1"/>
  <c r="AH114" i="197" s="1"/>
  <c r="AH45" i="196"/>
  <c r="AH25" i="197" s="1"/>
  <c r="AH115" i="197" s="1"/>
  <c r="M105" i="196"/>
  <c r="X105" i="196"/>
  <c r="AG105" i="196"/>
  <c r="O108" i="196"/>
  <c r="Z108" i="196"/>
  <c r="M109" i="196"/>
  <c r="X109" i="196"/>
  <c r="AG109" i="196"/>
  <c r="O112" i="196"/>
  <c r="Z112" i="196"/>
  <c r="AH154" i="196"/>
  <c r="AN164" i="197"/>
  <c r="AN69" i="198" s="1"/>
  <c r="AF164" i="197"/>
  <c r="AF69" i="198" s="1"/>
  <c r="X164" i="197"/>
  <c r="X69" i="198" s="1"/>
  <c r="AM173" i="197"/>
  <c r="AM78" i="198" s="1"/>
  <c r="AM164" i="197"/>
  <c r="AM69" i="198" s="1"/>
  <c r="AE164" i="197"/>
  <c r="AE69" i="198" s="1"/>
  <c r="W164" i="197"/>
  <c r="W69" i="198" s="1"/>
  <c r="AL164" i="197"/>
  <c r="AL69" i="198" s="1"/>
  <c r="AD164" i="197"/>
  <c r="AD69" i="198" s="1"/>
  <c r="AI164" i="197"/>
  <c r="AI69" i="198" s="1"/>
  <c r="AA164" i="197"/>
  <c r="AA69" i="198" s="1"/>
  <c r="AC164" i="197"/>
  <c r="AC69" i="198" s="1"/>
  <c r="AB164" i="197"/>
  <c r="AB69" i="198" s="1"/>
  <c r="Z164" i="197"/>
  <c r="Z69" i="198" s="1"/>
  <c r="AO173" i="197"/>
  <c r="AO78" i="198" s="1"/>
  <c r="AO164" i="197"/>
  <c r="AO69" i="198" s="1"/>
  <c r="Y164" i="197"/>
  <c r="Y69" i="198" s="1"/>
  <c r="AK173" i="197"/>
  <c r="AK78" i="198" s="1"/>
  <c r="AK164" i="197"/>
  <c r="AK69" i="198" s="1"/>
  <c r="AN163" i="197"/>
  <c r="AN68" i="198" s="1"/>
  <c r="AF163" i="197"/>
  <c r="AF68" i="198" s="1"/>
  <c r="X163" i="197"/>
  <c r="X68" i="198" s="1"/>
  <c r="AM172" i="197"/>
  <c r="AM77" i="198" s="1"/>
  <c r="AM163" i="197"/>
  <c r="AM68" i="198" s="1"/>
  <c r="AE163" i="197"/>
  <c r="AE68" i="198" s="1"/>
  <c r="W163" i="197"/>
  <c r="W68" i="198" s="1"/>
  <c r="AL163" i="197"/>
  <c r="AL68" i="198" s="1"/>
  <c r="AD163" i="197"/>
  <c r="AD68" i="198" s="1"/>
  <c r="AI163" i="197"/>
  <c r="AI68" i="198" s="1"/>
  <c r="AA163" i="197"/>
  <c r="AA68" i="198" s="1"/>
  <c r="AC163" i="197"/>
  <c r="AC68" i="198" s="1"/>
  <c r="AB163" i="197"/>
  <c r="AB68" i="198" s="1"/>
  <c r="Z163" i="197"/>
  <c r="Z68" i="198" s="1"/>
  <c r="AO172" i="197"/>
  <c r="AO77" i="198" s="1"/>
  <c r="AO163" i="197"/>
  <c r="AO68" i="198" s="1"/>
  <c r="Y163" i="197"/>
  <c r="Y68" i="198" s="1"/>
  <c r="AN165" i="197"/>
  <c r="AN70" i="198" s="1"/>
  <c r="AF165" i="197"/>
  <c r="AF70" i="198" s="1"/>
  <c r="X165" i="197"/>
  <c r="X70" i="198" s="1"/>
  <c r="AM174" i="197"/>
  <c r="AM79" i="198" s="1"/>
  <c r="AM165" i="197"/>
  <c r="AM70" i="198" s="1"/>
  <c r="AE165" i="197"/>
  <c r="AE70" i="198" s="1"/>
  <c r="W165" i="197"/>
  <c r="W70" i="198" s="1"/>
  <c r="AL165" i="197"/>
  <c r="AL70" i="198" s="1"/>
  <c r="AD165" i="197"/>
  <c r="AD70" i="198" s="1"/>
  <c r="AI165" i="197"/>
  <c r="AI70" i="198" s="1"/>
  <c r="AA165" i="197"/>
  <c r="AA70" i="198" s="1"/>
  <c r="Y159" i="197"/>
  <c r="Y64" i="198" s="1"/>
  <c r="AN159" i="197"/>
  <c r="AN64" i="198" s="1"/>
  <c r="AF159" i="197"/>
  <c r="AF64" i="198" s="1"/>
  <c r="X159" i="197"/>
  <c r="X64" i="198" s="1"/>
  <c r="AM168" i="197"/>
  <c r="AM73" i="198" s="1"/>
  <c r="AM159" i="197"/>
  <c r="AM64" i="198" s="1"/>
  <c r="AE159" i="197"/>
  <c r="AE64" i="198" s="1"/>
  <c r="W159" i="197"/>
  <c r="W64" i="198" s="1"/>
  <c r="AI159" i="197"/>
  <c r="AI64" i="198" s="1"/>
  <c r="AI105" i="198" s="1"/>
  <c r="AA159" i="197"/>
  <c r="AA64" i="198" s="1"/>
  <c r="AB159" i="197"/>
  <c r="AB64" i="198" s="1"/>
  <c r="AO159" i="197"/>
  <c r="AO64" i="198" s="1"/>
  <c r="Y160" i="197"/>
  <c r="Y65" i="198" s="1"/>
  <c r="AO160" i="197"/>
  <c r="AO65" i="198" s="1"/>
  <c r="Y161" i="197"/>
  <c r="Y66" i="198" s="1"/>
  <c r="AO161" i="197"/>
  <c r="AO66" i="198" s="1"/>
  <c r="Y162" i="197"/>
  <c r="Y67" i="198" s="1"/>
  <c r="AO162" i="197"/>
  <c r="AO67" i="198" s="1"/>
  <c r="Y165" i="197"/>
  <c r="Y70" i="198" s="1"/>
  <c r="AO165" i="197"/>
  <c r="AO70" i="198" s="1"/>
  <c r="AO168" i="197"/>
  <c r="AO73" i="198" s="1"/>
  <c r="AO170" i="197"/>
  <c r="AO75" i="198" s="1"/>
  <c r="AO171" i="197"/>
  <c r="AO76" i="198" s="1"/>
  <c r="AO174" i="197"/>
  <c r="AO79" i="198" s="1"/>
  <c r="AL39" i="198"/>
  <c r="AL38" i="198"/>
  <c r="AL37" i="198"/>
  <c r="AL36" i="198"/>
  <c r="AL35" i="198"/>
  <c r="AL34" i="198"/>
  <c r="AL33" i="198"/>
  <c r="AN160" i="197"/>
  <c r="AN65" i="198" s="1"/>
  <c r="AF160" i="197"/>
  <c r="AF65" i="198" s="1"/>
  <c r="X160" i="197"/>
  <c r="X65" i="198" s="1"/>
  <c r="AM169" i="197"/>
  <c r="AM74" i="198" s="1"/>
  <c r="AM160" i="197"/>
  <c r="AM65" i="198" s="1"/>
  <c r="AE160" i="197"/>
  <c r="AE65" i="198" s="1"/>
  <c r="W160" i="197"/>
  <c r="W65" i="198" s="1"/>
  <c r="AL160" i="197"/>
  <c r="AL65" i="198" s="1"/>
  <c r="AD160" i="197"/>
  <c r="AD65" i="198" s="1"/>
  <c r="AI160" i="197"/>
  <c r="AI65" i="198" s="1"/>
  <c r="AI106" i="198" s="1"/>
  <c r="AA160" i="197"/>
  <c r="AA65" i="198" s="1"/>
  <c r="AC159" i="197"/>
  <c r="AC64" i="198" s="1"/>
  <c r="Z160" i="197"/>
  <c r="Z65" i="198" s="1"/>
  <c r="Z162" i="197"/>
  <c r="Z67" i="198" s="1"/>
  <c r="Z165" i="197"/>
  <c r="Z70" i="198" s="1"/>
  <c r="AN161" i="197"/>
  <c r="AN66" i="198" s="1"/>
  <c r="AF161" i="197"/>
  <c r="AF66" i="198" s="1"/>
  <c r="X161" i="197"/>
  <c r="X66" i="198" s="1"/>
  <c r="AM170" i="197"/>
  <c r="AM75" i="198" s="1"/>
  <c r="AM161" i="197"/>
  <c r="AM66" i="198" s="1"/>
  <c r="AE161" i="197"/>
  <c r="AE66" i="198" s="1"/>
  <c r="W161" i="197"/>
  <c r="W66" i="198" s="1"/>
  <c r="AL161" i="197"/>
  <c r="AL66" i="198" s="1"/>
  <c r="AD161" i="197"/>
  <c r="AD66" i="198" s="1"/>
  <c r="AI161" i="197"/>
  <c r="AI66" i="198" s="1"/>
  <c r="AI107" i="198" s="1"/>
  <c r="AA161" i="197"/>
  <c r="AA66" i="198" s="1"/>
  <c r="AD159" i="197"/>
  <c r="AD64" i="198" s="1"/>
  <c r="AB160" i="197"/>
  <c r="AB65" i="198" s="1"/>
  <c r="AB161" i="197"/>
  <c r="AB66" i="198" s="1"/>
  <c r="AB165" i="197"/>
  <c r="AB70" i="198" s="1"/>
  <c r="AN162" i="197"/>
  <c r="AN67" i="198" s="1"/>
  <c r="AF162" i="197"/>
  <c r="AF67" i="198" s="1"/>
  <c r="X162" i="197"/>
  <c r="X67" i="198" s="1"/>
  <c r="AM171" i="197"/>
  <c r="AM76" i="198" s="1"/>
  <c r="AM162" i="197"/>
  <c r="AM67" i="198" s="1"/>
  <c r="AE162" i="197"/>
  <c r="AE67" i="198" s="1"/>
  <c r="W162" i="197"/>
  <c r="W67" i="198" s="1"/>
  <c r="AL162" i="197"/>
  <c r="AL67" i="198" s="1"/>
  <c r="AD162" i="197"/>
  <c r="AD67" i="198" s="1"/>
  <c r="AI162" i="197"/>
  <c r="AI67" i="198" s="1"/>
  <c r="AA162" i="197"/>
  <c r="AA67" i="198" s="1"/>
  <c r="AC160" i="197"/>
  <c r="AC65" i="198" s="1"/>
  <c r="AC161" i="197"/>
  <c r="AC66" i="198" s="1"/>
  <c r="AC162" i="197"/>
  <c r="AC67" i="198" s="1"/>
  <c r="AC165" i="197"/>
  <c r="AC70" i="198" s="1"/>
  <c r="AK39" i="198"/>
  <c r="AK111" i="198" s="1"/>
  <c r="AK38" i="198"/>
  <c r="AK37" i="198"/>
  <c r="AK36" i="198"/>
  <c r="AK35" i="198"/>
  <c r="AK34" i="198"/>
  <c r="AK33" i="198"/>
  <c r="AM39" i="198"/>
  <c r="AM38" i="198"/>
  <c r="AM37" i="198"/>
  <c r="AM36" i="198"/>
  <c r="AM35" i="198"/>
  <c r="AM34" i="198"/>
  <c r="AM33" i="198"/>
  <c r="AN37" i="198"/>
  <c r="AN36" i="198"/>
  <c r="AN35" i="198"/>
  <c r="AN34" i="198"/>
  <c r="AN33" i="198"/>
  <c r="AN39" i="198"/>
  <c r="AN38" i="198"/>
  <c r="AO37" i="198"/>
  <c r="AO36" i="198"/>
  <c r="AO35" i="198"/>
  <c r="AO34" i="198"/>
  <c r="AO33" i="198"/>
  <c r="AO39" i="198"/>
  <c r="AO38" i="198"/>
  <c r="AI39" i="198"/>
  <c r="L28" i="186" l="1"/>
  <c r="Q98" i="192"/>
  <c r="S60" i="197"/>
  <c r="AI78" i="197" s="1"/>
  <c r="AI111" i="198"/>
  <c r="AO106" i="198"/>
  <c r="S340" i="184"/>
  <c r="V286" i="184"/>
  <c r="V188" i="186" s="1"/>
  <c r="S308" i="184"/>
  <c r="S337" i="184"/>
  <c r="S339" i="184"/>
  <c r="H197" i="177"/>
  <c r="A4" i="177" s="1"/>
  <c r="V51" i="195"/>
  <c r="M117" i="191"/>
  <c r="S58" i="197"/>
  <c r="AI76" i="197" s="1"/>
  <c r="L117" i="191"/>
  <c r="M28" i="186"/>
  <c r="L99" i="192"/>
  <c r="S341" i="184"/>
  <c r="AK106" i="198"/>
  <c r="AK107" i="198"/>
  <c r="AL111" i="198"/>
  <c r="M99" i="192"/>
  <c r="AM107" i="198"/>
  <c r="S335" i="184"/>
  <c r="AM106" i="198"/>
  <c r="AO111" i="198"/>
  <c r="W308" i="184"/>
  <c r="X297" i="184"/>
  <c r="X189" i="186" s="1"/>
  <c r="T297" i="184"/>
  <c r="T189" i="186" s="1"/>
  <c r="T286" i="184"/>
  <c r="T188" i="186" s="1"/>
  <c r="V297" i="184"/>
  <c r="V189" i="186" s="1"/>
  <c r="V191" i="186" s="1"/>
  <c r="V192" i="186" s="1"/>
  <c r="W297" i="184"/>
  <c r="W189" i="186" s="1"/>
  <c r="Y308" i="184"/>
  <c r="Y286" i="184"/>
  <c r="Y188" i="186" s="1"/>
  <c r="AL107" i="198"/>
  <c r="AM111" i="198"/>
  <c r="AL312" i="196"/>
  <c r="AL385" i="196" s="1"/>
  <c r="AM344" i="196"/>
  <c r="AM386" i="196" s="1"/>
  <c r="W344" i="196"/>
  <c r="W386" i="196" s="1"/>
  <c r="AH344" i="196"/>
  <c r="AH386" i="196" s="1"/>
  <c r="AN312" i="196"/>
  <c r="AN385" i="196" s="1"/>
  <c r="U297" i="184"/>
  <c r="U189" i="186" s="1"/>
  <c r="R308" i="184"/>
  <c r="W286" i="184"/>
  <c r="W188" i="186" s="1"/>
  <c r="U286" i="184"/>
  <c r="U188" i="186" s="1"/>
  <c r="X286" i="184"/>
  <c r="X188" i="186" s="1"/>
  <c r="R297" i="184"/>
  <c r="R189" i="186" s="1"/>
  <c r="S191" i="186"/>
  <c r="S192" i="186" s="1"/>
  <c r="K312" i="196"/>
  <c r="K385" i="196" s="1"/>
  <c r="AH312" i="196"/>
  <c r="AH385" i="196" s="1"/>
  <c r="R312" i="196"/>
  <c r="R385" i="196" s="1"/>
  <c r="R389" i="196" s="1"/>
  <c r="AN344" i="196"/>
  <c r="AN386" i="196" s="1"/>
  <c r="AM312" i="196"/>
  <c r="AM385" i="196" s="1"/>
  <c r="W312" i="196"/>
  <c r="W385" i="196" s="1"/>
  <c r="AI344" i="196"/>
  <c r="AI386" i="196" s="1"/>
  <c r="K344" i="196"/>
  <c r="K386" i="196" s="1"/>
  <c r="U308" i="184"/>
  <c r="Y297" i="184"/>
  <c r="Y189" i="186" s="1"/>
  <c r="Y191" i="186" s="1"/>
  <c r="Y192" i="186" s="1"/>
  <c r="R286" i="184"/>
  <c r="R188" i="186" s="1"/>
  <c r="X68" i="197"/>
  <c r="AN86" i="197" s="1"/>
  <c r="X62" i="197"/>
  <c r="AN80" i="197" s="1"/>
  <c r="X340" i="184"/>
  <c r="X58" i="197"/>
  <c r="AN76" i="197" s="1"/>
  <c r="X336" i="184"/>
  <c r="V70" i="197"/>
  <c r="AL88" i="197" s="1"/>
  <c r="AL143" i="197" s="1"/>
  <c r="AL172" i="197" s="1"/>
  <c r="AL77" i="198" s="1"/>
  <c r="V66" i="197"/>
  <c r="AL84" i="197" s="1"/>
  <c r="V60" i="197"/>
  <c r="AL78" i="197" s="1"/>
  <c r="V338" i="184"/>
  <c r="T69" i="197"/>
  <c r="AJ87" i="197" s="1"/>
  <c r="T63" i="197"/>
  <c r="AJ81" i="197" s="1"/>
  <c r="T59" i="197"/>
  <c r="AJ77" i="197" s="1"/>
  <c r="Y71" i="197"/>
  <c r="AO89" i="197" s="1"/>
  <c r="Y67" i="197"/>
  <c r="AO85" i="197" s="1"/>
  <c r="Y61" i="197"/>
  <c r="AO79" i="197" s="1"/>
  <c r="Y339" i="184"/>
  <c r="Y57" i="197"/>
  <c r="AO75" i="197" s="1"/>
  <c r="Y335" i="184"/>
  <c r="R62" i="197"/>
  <c r="AH80" i="197" s="1"/>
  <c r="AH135" i="197" s="1"/>
  <c r="AH164" i="197" s="1"/>
  <c r="AH69" i="198" s="1"/>
  <c r="R72" i="197"/>
  <c r="AH90" i="197" s="1"/>
  <c r="N98" i="192"/>
  <c r="N85" i="193"/>
  <c r="N116" i="191"/>
  <c r="N27" i="186"/>
  <c r="AO312" i="196"/>
  <c r="AO385" i="196" s="1"/>
  <c r="AI312" i="196"/>
  <c r="AI385" i="196" s="1"/>
  <c r="AJ126" i="197"/>
  <c r="AJ155" i="197" s="1"/>
  <c r="AJ60" i="198" s="1"/>
  <c r="W69" i="197"/>
  <c r="AM87" i="197" s="1"/>
  <c r="W63" i="197"/>
  <c r="AM81" i="197" s="1"/>
  <c r="W341" i="184"/>
  <c r="W59" i="197"/>
  <c r="AM77" i="197" s="1"/>
  <c r="W337" i="184"/>
  <c r="U71" i="197"/>
  <c r="U67" i="197"/>
  <c r="U61" i="197"/>
  <c r="AK79" i="197" s="1"/>
  <c r="U339" i="184"/>
  <c r="U57" i="197"/>
  <c r="AK75" i="197" s="1"/>
  <c r="U335" i="184"/>
  <c r="R63" i="197"/>
  <c r="AH81" i="197" s="1"/>
  <c r="P85" i="193"/>
  <c r="P98" i="192"/>
  <c r="P116" i="191"/>
  <c r="P27" i="186"/>
  <c r="AK141" i="198"/>
  <c r="Q312" i="196"/>
  <c r="Q385" i="196" s="1"/>
  <c r="AK344" i="196"/>
  <c r="AK386" i="196" s="1"/>
  <c r="X71" i="197"/>
  <c r="AN89" i="197" s="1"/>
  <c r="AN144" i="197" s="1"/>
  <c r="AN173" i="197" s="1"/>
  <c r="AN78" i="198" s="1"/>
  <c r="X67" i="197"/>
  <c r="AN85" i="197" s="1"/>
  <c r="X61" i="197"/>
  <c r="AN79" i="197" s="1"/>
  <c r="X339" i="184"/>
  <c r="X57" i="197"/>
  <c r="AN75" i="197" s="1"/>
  <c r="X335" i="184"/>
  <c r="V69" i="197"/>
  <c r="AL87" i="197" s="1"/>
  <c r="V63" i="197"/>
  <c r="AL81" i="197" s="1"/>
  <c r="V341" i="184"/>
  <c r="V59" i="197"/>
  <c r="AL77" i="197" s="1"/>
  <c r="V337" i="184"/>
  <c r="T68" i="197"/>
  <c r="AJ86" i="197" s="1"/>
  <c r="T62" i="197"/>
  <c r="AJ80" i="197" s="1"/>
  <c r="AJ135" i="197" s="1"/>
  <c r="AJ164" i="197" s="1"/>
  <c r="AJ69" i="198" s="1"/>
  <c r="T58" i="197"/>
  <c r="AJ76" i="197" s="1"/>
  <c r="Y70" i="197"/>
  <c r="AO88" i="197" s="1"/>
  <c r="Y66" i="197"/>
  <c r="AO84" i="197" s="1"/>
  <c r="Y60" i="197"/>
  <c r="AO78" i="197" s="1"/>
  <c r="Y338" i="184"/>
  <c r="R66" i="197"/>
  <c r="AH84" i="197" s="1"/>
  <c r="W68" i="197"/>
  <c r="AM86" i="197" s="1"/>
  <c r="W62" i="197"/>
  <c r="AM80" i="197" s="1"/>
  <c r="W340" i="184"/>
  <c r="W58" i="197"/>
  <c r="AM76" i="197" s="1"/>
  <c r="W336" i="184"/>
  <c r="U70" i="197"/>
  <c r="AK88" i="197" s="1"/>
  <c r="U66" i="197"/>
  <c r="AK84" i="197" s="1"/>
  <c r="U60" i="197"/>
  <c r="AK78" i="197" s="1"/>
  <c r="U338" i="184"/>
  <c r="R57" i="197"/>
  <c r="AH75" i="197" s="1"/>
  <c r="R67" i="197"/>
  <c r="AH85" i="197" s="1"/>
  <c r="AN105" i="198"/>
  <c r="AH125" i="197"/>
  <c r="AH154" i="197" s="1"/>
  <c r="AH59" i="198" s="1"/>
  <c r="AN111" i="198"/>
  <c r="AN106" i="198"/>
  <c r="AL105" i="198"/>
  <c r="AO344" i="196"/>
  <c r="AO386" i="196" s="1"/>
  <c r="AJ312" i="196"/>
  <c r="AJ385" i="196" s="1"/>
  <c r="AB312" i="196"/>
  <c r="AB385" i="196" s="1"/>
  <c r="L312" i="196"/>
  <c r="L385" i="196" s="1"/>
  <c r="X70" i="197"/>
  <c r="AN88" i="197" s="1"/>
  <c r="AN143" i="197" s="1"/>
  <c r="AN172" i="197" s="1"/>
  <c r="AN77" i="198" s="1"/>
  <c r="X66" i="197"/>
  <c r="AN84" i="197" s="1"/>
  <c r="X60" i="197"/>
  <c r="AN78" i="197" s="1"/>
  <c r="X338" i="184"/>
  <c r="V68" i="197"/>
  <c r="AL86" i="197" s="1"/>
  <c r="V62" i="197"/>
  <c r="AL80" i="197" s="1"/>
  <c r="V340" i="184"/>
  <c r="V58" i="197"/>
  <c r="AL76" i="197" s="1"/>
  <c r="V336" i="184"/>
  <c r="T71" i="197"/>
  <c r="AJ89" i="197" s="1"/>
  <c r="AJ144" i="197" s="1"/>
  <c r="AJ173" i="197" s="1"/>
  <c r="AJ78" i="198" s="1"/>
  <c r="T67" i="197"/>
  <c r="AJ85" i="197" s="1"/>
  <c r="T61" i="197"/>
  <c r="AJ79" i="197" s="1"/>
  <c r="AJ134" i="197" s="1"/>
  <c r="AJ163" i="197" s="1"/>
  <c r="AJ68" i="198" s="1"/>
  <c r="T57" i="197"/>
  <c r="AJ75" i="197" s="1"/>
  <c r="Y69" i="197"/>
  <c r="AO87" i="197" s="1"/>
  <c r="Y63" i="197"/>
  <c r="AO81" i="197" s="1"/>
  <c r="Y341" i="184"/>
  <c r="Y59" i="197"/>
  <c r="AO77" i="197" s="1"/>
  <c r="Y337" i="184"/>
  <c r="R58" i="197"/>
  <c r="AH76" i="197" s="1"/>
  <c r="R68" i="197"/>
  <c r="AH86" i="197" s="1"/>
  <c r="AN125" i="197"/>
  <c r="AN154" i="197" s="1"/>
  <c r="AN59" i="198" s="1"/>
  <c r="AL126" i="197"/>
  <c r="AL155" i="197" s="1"/>
  <c r="AL60" i="198" s="1"/>
  <c r="AO107" i="198"/>
  <c r="AN107" i="198"/>
  <c r="AM105" i="198"/>
  <c r="AL106" i="198"/>
  <c r="Q344" i="196"/>
  <c r="Q386" i="196" s="1"/>
  <c r="AI144" i="197"/>
  <c r="AI173" i="197" s="1"/>
  <c r="AI78" i="198" s="1"/>
  <c r="AI126" i="197"/>
  <c r="AI155" i="197" s="1"/>
  <c r="AI60" i="198" s="1"/>
  <c r="W71" i="197"/>
  <c r="AM89" i="197" s="1"/>
  <c r="W67" i="197"/>
  <c r="AM85" i="197" s="1"/>
  <c r="W61" i="197"/>
  <c r="AM79" i="197" s="1"/>
  <c r="W339" i="184"/>
  <c r="W57" i="197"/>
  <c r="AM75" i="197" s="1"/>
  <c r="W335" i="184"/>
  <c r="U69" i="197"/>
  <c r="AK87" i="197" s="1"/>
  <c r="U63" i="197"/>
  <c r="AK81" i="197" s="1"/>
  <c r="U341" i="184"/>
  <c r="U59" i="197"/>
  <c r="AK77" i="197" s="1"/>
  <c r="U337" i="184"/>
  <c r="K85" i="193"/>
  <c r="K116" i="191"/>
  <c r="K98" i="192"/>
  <c r="K27" i="186"/>
  <c r="R59" i="197"/>
  <c r="AH77" i="197" s="1"/>
  <c r="R69" i="197"/>
  <c r="AH87" i="197" s="1"/>
  <c r="AM141" i="198"/>
  <c r="AO105" i="198"/>
  <c r="AO141" i="198"/>
  <c r="AN141" i="198"/>
  <c r="AK90" i="197"/>
  <c r="AK89" i="197"/>
  <c r="AK85" i="197"/>
  <c r="H293" i="192"/>
  <c r="X69" i="197"/>
  <c r="AN87" i="197" s="1"/>
  <c r="X63" i="197"/>
  <c r="AN81" i="197" s="1"/>
  <c r="X341" i="184"/>
  <c r="X59" i="197"/>
  <c r="AN77" i="197" s="1"/>
  <c r="X337" i="184"/>
  <c r="V71" i="197"/>
  <c r="AL89" i="197" s="1"/>
  <c r="AL144" i="197" s="1"/>
  <c r="AL173" i="197" s="1"/>
  <c r="AL78" i="198" s="1"/>
  <c r="V67" i="197"/>
  <c r="AL85" i="197" s="1"/>
  <c r="V61" i="197"/>
  <c r="AL79" i="197" s="1"/>
  <c r="V339" i="184"/>
  <c r="V57" i="197"/>
  <c r="AL75" i="197" s="1"/>
  <c r="V335" i="184"/>
  <c r="T70" i="197"/>
  <c r="AJ88" i="197" s="1"/>
  <c r="AJ143" i="197" s="1"/>
  <c r="AJ172" i="197" s="1"/>
  <c r="AJ77" i="198" s="1"/>
  <c r="T66" i="197"/>
  <c r="AJ84" i="197" s="1"/>
  <c r="T60" i="197"/>
  <c r="AJ78" i="197" s="1"/>
  <c r="Y68" i="197"/>
  <c r="AO86" i="197" s="1"/>
  <c r="Y62" i="197"/>
  <c r="AO80" i="197" s="1"/>
  <c r="Y340" i="184"/>
  <c r="Y58" i="197"/>
  <c r="AO76" i="197" s="1"/>
  <c r="Y336" i="184"/>
  <c r="R60" i="197"/>
  <c r="AH78" i="197" s="1"/>
  <c r="R70" i="197"/>
  <c r="AH88" i="197" s="1"/>
  <c r="AH143" i="197" s="1"/>
  <c r="AH172" i="197" s="1"/>
  <c r="AH77" i="198" s="1"/>
  <c r="AK105" i="198"/>
  <c r="AL141" i="198"/>
  <c r="AH126" i="197"/>
  <c r="AH155" i="197" s="1"/>
  <c r="AH60" i="198" s="1"/>
  <c r="AN126" i="197"/>
  <c r="AN155" i="197" s="1"/>
  <c r="AN60" i="198" s="1"/>
  <c r="AL125" i="197"/>
  <c r="AL154" i="197" s="1"/>
  <c r="AL59" i="198" s="1"/>
  <c r="AL344" i="196"/>
  <c r="AL386" i="196" s="1"/>
  <c r="AJ125" i="197"/>
  <c r="AJ154" i="197" s="1"/>
  <c r="AJ59" i="198" s="1"/>
  <c r="AJ344" i="196"/>
  <c r="AJ386" i="196" s="1"/>
  <c r="AB344" i="196"/>
  <c r="AB386" i="196" s="1"/>
  <c r="L344" i="196"/>
  <c r="L386" i="196" s="1"/>
  <c r="AI125" i="197"/>
  <c r="AI154" i="197" s="1"/>
  <c r="AI59" i="198" s="1"/>
  <c r="AI143" i="197"/>
  <c r="AI172" i="197" s="1"/>
  <c r="AI77" i="198" s="1"/>
  <c r="AK312" i="196"/>
  <c r="AK385" i="196" s="1"/>
  <c r="W70" i="197"/>
  <c r="AM88" i="197" s="1"/>
  <c r="W66" i="197"/>
  <c r="AM84" i="197" s="1"/>
  <c r="W60" i="197"/>
  <c r="AM78" i="197" s="1"/>
  <c r="W338" i="184"/>
  <c r="U68" i="197"/>
  <c r="AK86" i="197" s="1"/>
  <c r="U62" i="197"/>
  <c r="AK80" i="197" s="1"/>
  <c r="U340" i="184"/>
  <c r="U58" i="197"/>
  <c r="AK76" i="197" s="1"/>
  <c r="U336" i="184"/>
  <c r="R61" i="197"/>
  <c r="AH79" i="197" s="1"/>
  <c r="AH134" i="197" s="1"/>
  <c r="AH163" i="197" s="1"/>
  <c r="AH68" i="198" s="1"/>
  <c r="R71" i="197"/>
  <c r="AH89" i="197" s="1"/>
  <c r="AH144" i="197" s="1"/>
  <c r="AH173" i="197" s="1"/>
  <c r="AH78" i="198" s="1"/>
  <c r="J38" i="55" l="1"/>
  <c r="X191" i="186"/>
  <c r="X192" i="186" s="1"/>
  <c r="T191" i="186"/>
  <c r="T192" i="186" s="1"/>
  <c r="U191" i="186"/>
  <c r="U192" i="186" s="1"/>
  <c r="W191" i="186"/>
  <c r="W192" i="186" s="1"/>
  <c r="AH389" i="196"/>
  <c r="AN389" i="196"/>
  <c r="W389" i="196"/>
  <c r="AL389" i="196"/>
  <c r="AI389" i="196"/>
  <c r="AM389" i="196"/>
  <c r="Q389" i="196"/>
  <c r="AK389" i="196"/>
  <c r="K389" i="196"/>
  <c r="R191" i="186"/>
  <c r="R192" i="186" s="1"/>
  <c r="L389" i="196"/>
  <c r="AO389" i="196"/>
  <c r="AB389" i="196"/>
  <c r="V29" i="196"/>
  <c r="AL48" i="196" s="1"/>
  <c r="AL47" i="197" s="1"/>
  <c r="AJ389" i="196"/>
  <c r="N97" i="98" l="1"/>
  <c r="M97" i="98"/>
  <c r="L97" i="98"/>
  <c r="L96" i="98"/>
  <c r="O90" i="98"/>
  <c r="N90" i="98"/>
  <c r="M90" i="98"/>
  <c r="L90" i="98"/>
  <c r="S83" i="98"/>
  <c r="R83" i="98"/>
  <c r="Q83" i="98"/>
  <c r="P83" i="98"/>
  <c r="O83" i="98"/>
  <c r="N83" i="98"/>
  <c r="M83" i="98"/>
  <c r="L83" i="98"/>
  <c r="Q73" i="98"/>
  <c r="P73" i="98"/>
  <c r="O73" i="98"/>
  <c r="N73" i="98"/>
  <c r="M73" i="98"/>
  <c r="L73" i="98"/>
  <c r="Q60" i="98"/>
  <c r="P60" i="98"/>
  <c r="O60" i="98"/>
  <c r="N60" i="98"/>
  <c r="M60" i="98"/>
  <c r="L60" i="98"/>
  <c r="Q47" i="98"/>
  <c r="Q48" i="98" s="1"/>
  <c r="P47" i="98"/>
  <c r="P48" i="98" s="1"/>
  <c r="O47" i="98"/>
  <c r="O48" i="98" s="1"/>
  <c r="N47" i="98"/>
  <c r="N48" i="98" s="1"/>
  <c r="M47" i="98"/>
  <c r="M48" i="98" s="1"/>
  <c r="L47" i="98"/>
  <c r="L48" i="98" s="1"/>
  <c r="S47" i="98"/>
  <c r="R47" i="98"/>
  <c r="R48" i="98" s="1"/>
  <c r="P76" i="98" l="1"/>
  <c r="M76" i="98"/>
  <c r="M95" i="98" s="1"/>
  <c r="Q76" i="98"/>
  <c r="O76" i="98"/>
  <c r="L76" i="98"/>
  <c r="N76" i="98"/>
  <c r="P86" i="98" l="1"/>
  <c r="P90" i="98" s="1"/>
  <c r="R73" i="98"/>
  <c r="L95" i="98"/>
  <c r="M96" i="98"/>
  <c r="L84" i="98"/>
  <c r="L91" i="98" s="1"/>
  <c r="L92" i="98" s="1"/>
  <c r="O96" i="98"/>
  <c r="N84" i="98"/>
  <c r="N91" i="98" s="1"/>
  <c r="N92" i="98" s="1"/>
  <c r="P96" i="98"/>
  <c r="O84" i="98"/>
  <c r="O94" i="98" s="1"/>
  <c r="O97" i="98" s="1"/>
  <c r="N95" i="98"/>
  <c r="Q84" i="98"/>
  <c r="N96" i="98"/>
  <c r="M84" i="98"/>
  <c r="M91" i="98" s="1"/>
  <c r="M92" i="98" s="1"/>
  <c r="R60" i="98"/>
  <c r="S48" i="98"/>
  <c r="Q96" i="98"/>
  <c r="P84" i="98"/>
  <c r="Q86" i="98" l="1"/>
  <c r="Q90" i="98" s="1"/>
  <c r="Q91" i="98" s="1"/>
  <c r="Q92" i="98" s="1"/>
  <c r="P91" i="98"/>
  <c r="P92" i="98" s="1"/>
  <c r="P94" i="98"/>
  <c r="Q94" i="98"/>
  <c r="Q95" i="98" s="1"/>
  <c r="S60" i="98"/>
  <c r="S73" i="98"/>
  <c r="O91" i="98"/>
  <c r="O92" i="98" s="1"/>
  <c r="R76" i="98"/>
  <c r="R86" i="98" s="1"/>
  <c r="R90" i="98" s="1"/>
  <c r="Q97" i="98" l="1"/>
  <c r="P95" i="98"/>
  <c r="O95" i="98"/>
  <c r="P97" i="98"/>
  <c r="S76" i="98"/>
  <c r="R84" i="98"/>
  <c r="R96" i="98"/>
  <c r="S96" i="98" l="1"/>
  <c r="S86" i="98"/>
  <c r="S90" i="98" s="1"/>
  <c r="R91" i="98"/>
  <c r="R92" i="98" s="1"/>
  <c r="R94" i="98"/>
  <c r="R95" i="98" s="1"/>
  <c r="S84" i="98"/>
  <c r="R97" i="98" l="1"/>
  <c r="S91" i="98"/>
  <c r="S92" i="98" s="1"/>
  <c r="S94" i="98"/>
  <c r="S95" i="98" s="1"/>
  <c r="S97" i="98"/>
  <c r="J35" i="55" l="1"/>
  <c r="G31" i="96" l="1"/>
  <c r="O32" i="94" l="1"/>
  <c r="N32" i="94"/>
  <c r="L32" i="94"/>
  <c r="K26" i="94"/>
  <c r="M26" i="94"/>
  <c r="E189" i="106" l="1"/>
  <c r="E155" i="106"/>
  <c r="E121" i="106"/>
  <c r="E85" i="106"/>
  <c r="E51" i="106"/>
  <c r="E17" i="106"/>
  <c r="B12" i="27" l="1"/>
  <c r="H15" i="55" l="1"/>
  <c r="H13" i="55" l="1"/>
  <c r="D12" i="27" s="1"/>
  <c r="S192" i="100" l="1"/>
  <c r="R192" i="100"/>
  <c r="Q192" i="100"/>
  <c r="P192" i="100"/>
  <c r="O192" i="100"/>
  <c r="H192" i="100" l="1"/>
  <c r="F35" i="55" l="1"/>
  <c r="R209" i="100" l="1"/>
  <c r="O210" i="100"/>
  <c r="O209" i="100"/>
  <c r="P210" i="100"/>
  <c r="S209" i="100"/>
  <c r="Q213" i="100"/>
  <c r="Q209" i="100"/>
  <c r="S213" i="100"/>
  <c r="P213" i="100"/>
  <c r="P209" i="100"/>
  <c r="Q210" i="100"/>
  <c r="R213" i="100"/>
  <c r="O213" i="100"/>
  <c r="M122" i="98"/>
  <c r="M123" i="98"/>
  <c r="Q123" i="98"/>
  <c r="Q122" i="98"/>
  <c r="N122" i="98"/>
  <c r="N123" i="98"/>
  <c r="R122" i="98"/>
  <c r="R123" i="98"/>
  <c r="O123" i="98"/>
  <c r="O122" i="98"/>
  <c r="S123" i="98"/>
  <c r="S122" i="98"/>
  <c r="P123" i="98"/>
  <c r="P122" i="98"/>
  <c r="H209" i="100" l="1"/>
  <c r="H213" i="100"/>
  <c r="R210" i="100"/>
  <c r="S210" i="100" l="1"/>
  <c r="H210" i="100" s="1"/>
  <c r="F37" i="55" l="1"/>
  <c r="F36" i="55"/>
  <c r="S204" i="100"/>
  <c r="R204" i="100"/>
  <c r="Q204" i="100"/>
  <c r="P204" i="100"/>
  <c r="O204" i="100"/>
  <c r="S203" i="100"/>
  <c r="R203" i="100"/>
  <c r="Q203" i="100"/>
  <c r="P203" i="100"/>
  <c r="O203" i="100"/>
  <c r="S202" i="100"/>
  <c r="R202" i="100"/>
  <c r="Q202" i="100"/>
  <c r="P202" i="100"/>
  <c r="O202" i="100"/>
  <c r="S200" i="100"/>
  <c r="R200" i="100"/>
  <c r="Q200" i="100"/>
  <c r="P200" i="100"/>
  <c r="O200" i="100"/>
  <c r="S199" i="100"/>
  <c r="R199" i="100"/>
  <c r="Q199" i="100"/>
  <c r="P199" i="100"/>
  <c r="O199" i="100"/>
  <c r="S196" i="100"/>
  <c r="R196" i="100"/>
  <c r="Q196" i="100"/>
  <c r="P196" i="100"/>
  <c r="O196" i="100"/>
  <c r="C14" i="187" l="1"/>
  <c r="G195" i="85" s="1"/>
  <c r="C287" i="196"/>
  <c r="G257" i="85" s="1"/>
  <c r="C193" i="196"/>
  <c r="G253" i="85" s="1"/>
  <c r="C118" i="189"/>
  <c r="G209" i="85" s="1"/>
  <c r="C67" i="194"/>
  <c r="G240" i="85" s="1"/>
  <c r="C146" i="189"/>
  <c r="G210" i="85" s="1"/>
  <c r="C22" i="194"/>
  <c r="G237" i="85" s="1"/>
  <c r="C49" i="191"/>
  <c r="G217" i="85" s="1"/>
  <c r="C160" i="196"/>
  <c r="G251" i="85" s="1"/>
  <c r="C254" i="192"/>
  <c r="G229" i="85" s="1"/>
  <c r="C129" i="192"/>
  <c r="G225" i="85" s="1"/>
  <c r="C16" i="194"/>
  <c r="G236" i="85" s="1"/>
  <c r="C141" i="177"/>
  <c r="G137" i="85" s="1"/>
  <c r="C110" i="188"/>
  <c r="G206" i="85" s="1"/>
  <c r="C16" i="180"/>
  <c r="G149" i="85" s="1"/>
  <c r="C16" i="178"/>
  <c r="G141" i="85" s="1"/>
  <c r="C16" i="197"/>
  <c r="G262" i="85" s="1"/>
  <c r="C346" i="196"/>
  <c r="G259" i="85" s="1"/>
  <c r="C151" i="177"/>
  <c r="G138" i="85" s="1"/>
  <c r="C124" i="198"/>
  <c r="G274" i="85" s="1"/>
  <c r="C124" i="191"/>
  <c r="G220" i="85" s="1"/>
  <c r="C43" i="177"/>
  <c r="G134" i="85" s="1"/>
  <c r="C159" i="192"/>
  <c r="G226" i="85" s="1"/>
  <c r="C28" i="185"/>
  <c r="G175" i="85" s="1"/>
  <c r="C13" i="198"/>
  <c r="G270" i="85" s="1"/>
  <c r="C189" i="192"/>
  <c r="G227" i="85" s="1"/>
  <c r="C419" i="184"/>
  <c r="G169" i="85" s="1"/>
  <c r="C164" i="186"/>
  <c r="G189" i="85" s="1"/>
  <c r="C100" i="185"/>
  <c r="G181" i="85" s="1"/>
  <c r="C35" i="182"/>
  <c r="G158" i="85" s="1"/>
  <c r="C37" i="190"/>
  <c r="G215" i="85" s="1"/>
  <c r="C28" i="180"/>
  <c r="G150" i="85" s="1"/>
  <c r="C40" i="182"/>
  <c r="G159" i="85" s="1"/>
  <c r="C219" i="192"/>
  <c r="G228" i="85" s="1"/>
  <c r="C27" i="188"/>
  <c r="G197" i="85" s="1"/>
  <c r="C109" i="191"/>
  <c r="G219" i="85" s="1"/>
  <c r="C175" i="189"/>
  <c r="G211" i="85" s="1"/>
  <c r="C35" i="188"/>
  <c r="G198" i="85" s="1"/>
  <c r="C62" i="188"/>
  <c r="G201" i="85" s="1"/>
  <c r="C52" i="185"/>
  <c r="G177" i="85" s="1"/>
  <c r="C60" i="185"/>
  <c r="G178" i="85" s="1"/>
  <c r="C332" i="184"/>
  <c r="G166" i="85" s="1"/>
  <c r="C17" i="193"/>
  <c r="G231" i="85" s="1"/>
  <c r="C138" i="198"/>
  <c r="G275" i="85" s="1"/>
  <c r="C314" i="196"/>
  <c r="G258" i="85" s="1"/>
  <c r="C87" i="185"/>
  <c r="G180" i="85" s="1"/>
  <c r="C214" i="196"/>
  <c r="G255" i="85" s="1"/>
  <c r="C19" i="192"/>
  <c r="G224" i="85" s="1"/>
  <c r="C13" i="177"/>
  <c r="G131" i="85" s="1"/>
  <c r="C155" i="193"/>
  <c r="G233" i="85" s="1"/>
  <c r="C127" i="194"/>
  <c r="G242" i="85" s="1"/>
  <c r="C220" i="193"/>
  <c r="G235" i="85" s="1"/>
  <c r="C259" i="192"/>
  <c r="G230" i="85" s="1"/>
  <c r="C20" i="177"/>
  <c r="G132" i="85" s="1"/>
  <c r="C16" i="183"/>
  <c r="G161" i="85" s="1"/>
  <c r="C16" i="179"/>
  <c r="G145" i="85" s="1"/>
  <c r="C34" i="179"/>
  <c r="G147" i="85" s="1"/>
  <c r="C38" i="179"/>
  <c r="G148" i="85" s="1"/>
  <c r="C21" i="178"/>
  <c r="G142" i="85" s="1"/>
  <c r="C70" i="196"/>
  <c r="G248" i="85" s="1"/>
  <c r="C107" i="197"/>
  <c r="G267" i="85" s="1"/>
  <c r="C92" i="188"/>
  <c r="G204" i="85" s="1"/>
  <c r="C16" i="195"/>
  <c r="G244" i="85" s="1"/>
  <c r="C249" i="186"/>
  <c r="G193" i="85" s="1"/>
  <c r="C657" i="184"/>
  <c r="G173" i="85" s="1"/>
  <c r="C265" i="185"/>
  <c r="G184" i="85" s="1"/>
  <c r="C80" i="188"/>
  <c r="G203" i="85" s="1"/>
  <c r="C266" i="186"/>
  <c r="G194" i="85" s="1"/>
  <c r="C448" i="184"/>
  <c r="G170" i="85" s="1"/>
  <c r="C117" i="188"/>
  <c r="G207" i="85" s="1"/>
  <c r="C361" i="184"/>
  <c r="G167" i="85" s="1"/>
  <c r="C477" i="184"/>
  <c r="G171" i="85" s="1"/>
  <c r="C19" i="181"/>
  <c r="G155" i="85" s="1"/>
  <c r="C17" i="182"/>
  <c r="G156" i="85" s="1"/>
  <c r="C92" i="198"/>
  <c r="G273" i="85" s="1"/>
  <c r="C184" i="191"/>
  <c r="G222" i="85" s="1"/>
  <c r="C79" i="191"/>
  <c r="G218" i="85" s="1"/>
  <c r="C236" i="186"/>
  <c r="G192" i="85" s="1"/>
  <c r="C204" i="189"/>
  <c r="G212" i="85" s="1"/>
  <c r="C81" i="198"/>
  <c r="G272" i="85" s="1"/>
  <c r="C67" i="186"/>
  <c r="G187" i="85" s="1"/>
  <c r="C194" i="186"/>
  <c r="G191" i="85" s="1"/>
  <c r="C138" i="186"/>
  <c r="G188" i="85" s="1"/>
  <c r="C410" i="196"/>
  <c r="G261" i="85" s="1"/>
  <c r="C99" i="180"/>
  <c r="G153" i="85" s="1"/>
  <c r="C36" i="185"/>
  <c r="G176" i="85" s="1"/>
  <c r="C15" i="196"/>
  <c r="G247" i="85" s="1"/>
  <c r="C97" i="194"/>
  <c r="G241" i="85" s="1"/>
  <c r="C184" i="186"/>
  <c r="G190" i="85" s="1"/>
  <c r="C52" i="194"/>
  <c r="G238" i="85" s="1"/>
  <c r="C378" i="196"/>
  <c r="G260" i="85" s="1"/>
  <c r="C523" i="184"/>
  <c r="G172" i="85" s="1"/>
  <c r="C190" i="193"/>
  <c r="G234" i="85" s="1"/>
  <c r="C53" i="184"/>
  <c r="G164" i="85" s="1"/>
  <c r="C147" i="197"/>
  <c r="G269" i="85" s="1"/>
  <c r="C17" i="190"/>
  <c r="G213" i="85" s="1"/>
  <c r="C162" i="177"/>
  <c r="G140" i="85" s="1"/>
  <c r="C84" i="177"/>
  <c r="G135" i="85" s="1"/>
  <c r="C26" i="179"/>
  <c r="G146" i="85" s="1"/>
  <c r="C118" i="197"/>
  <c r="G268" i="85" s="1"/>
  <c r="C99" i="177"/>
  <c r="G136" i="85" s="1"/>
  <c r="C53" i="195"/>
  <c r="G246" i="85" s="1"/>
  <c r="C89" i="196"/>
  <c r="G249" i="85" s="1"/>
  <c r="C155" i="177"/>
  <c r="G139" i="85" s="1"/>
  <c r="C13" i="189"/>
  <c r="G208" i="85" s="1"/>
  <c r="C221" i="185"/>
  <c r="G183" i="85" s="1"/>
  <c r="C104" i="188"/>
  <c r="G205" i="85" s="1"/>
  <c r="C18" i="186"/>
  <c r="G186" i="85" s="1"/>
  <c r="C269" i="185"/>
  <c r="G185" i="85" s="1"/>
  <c r="C121" i="182"/>
  <c r="G160" i="85" s="1"/>
  <c r="C174" i="185"/>
  <c r="G182" i="85" s="1"/>
  <c r="C15" i="184"/>
  <c r="G163" i="85" s="1"/>
  <c r="C103" i="180"/>
  <c r="G154" i="85" s="1"/>
  <c r="C390" i="184"/>
  <c r="G168" i="85" s="1"/>
  <c r="C35" i="195"/>
  <c r="G245" i="85" s="1"/>
  <c r="C186" i="178"/>
  <c r="G144" i="85" s="1"/>
  <c r="C93" i="180"/>
  <c r="G152" i="85" s="1"/>
  <c r="C166" i="178"/>
  <c r="G143" i="85" s="1"/>
  <c r="C214" i="191"/>
  <c r="G223" i="85" s="1"/>
  <c r="C52" i="198"/>
  <c r="G271" i="85" s="1"/>
  <c r="C201" i="196"/>
  <c r="G254" i="85" s="1"/>
  <c r="C25" i="182"/>
  <c r="G157" i="85" s="1"/>
  <c r="C154" i="191"/>
  <c r="G221" i="85" s="1"/>
  <c r="C233" i="196"/>
  <c r="G256" i="85" s="1"/>
  <c r="C177" i="196"/>
  <c r="G252" i="85" s="1"/>
  <c r="C40" i="197"/>
  <c r="G264" i="85" s="1"/>
  <c r="C58" i="194"/>
  <c r="G239" i="85" s="1"/>
  <c r="C42" i="188"/>
  <c r="G199" i="85" s="1"/>
  <c r="C50" i="188"/>
  <c r="G200" i="85" s="1"/>
  <c r="C19" i="191"/>
  <c r="G216" i="85" s="1"/>
  <c r="C28" i="197"/>
  <c r="G263" i="85" s="1"/>
  <c r="C120" i="193"/>
  <c r="G232" i="85" s="1"/>
  <c r="C33" i="190"/>
  <c r="G214" i="85" s="1"/>
  <c r="C65" i="185"/>
  <c r="G179" i="85" s="1"/>
  <c r="C38" i="180"/>
  <c r="G151" i="85" s="1"/>
  <c r="C38" i="183"/>
  <c r="G162" i="85" s="1"/>
  <c r="C225" i="184"/>
  <c r="G165" i="85" s="1"/>
  <c r="C92" i="197"/>
  <c r="G266" i="85" s="1"/>
  <c r="C159" i="194"/>
  <c r="G243" i="85" s="1"/>
  <c r="C152" i="196"/>
  <c r="G250" i="85" s="1"/>
  <c r="C33" i="177"/>
  <c r="G133" i="85" s="1"/>
  <c r="C18" i="185"/>
  <c r="G174" i="85" s="1"/>
  <c r="C69" i="188"/>
  <c r="G202" i="85" s="1"/>
  <c r="C19" i="188"/>
  <c r="G196" i="85" s="1"/>
  <c r="C52" i="197"/>
  <c r="G265" i="85" s="1"/>
  <c r="H204" i="100"/>
  <c r="A2" i="106" l="1"/>
  <c r="A2" i="107"/>
  <c r="A2" i="92"/>
  <c r="A2" i="93"/>
  <c r="A2" i="94"/>
  <c r="A2" i="95"/>
  <c r="A2" i="96"/>
  <c r="A2" i="97"/>
  <c r="A2" i="100"/>
  <c r="A2" i="98"/>
  <c r="H11" i="55"/>
  <c r="H9" i="55"/>
  <c r="H7" i="55" l="1"/>
  <c r="J5" i="107"/>
  <c r="A1" i="107"/>
  <c r="C15" i="107" s="1"/>
  <c r="G282" i="85" s="1"/>
  <c r="A1" i="106"/>
  <c r="C119" i="106" s="1"/>
  <c r="G277" i="85" s="1"/>
  <c r="J5" i="100"/>
  <c r="A1" i="100"/>
  <c r="C134" i="100" s="1"/>
  <c r="G124" i="85" s="1"/>
  <c r="J5" i="98"/>
  <c r="A1" i="98"/>
  <c r="C108" i="98" s="1"/>
  <c r="G130" i="85" s="1"/>
  <c r="J5" i="97"/>
  <c r="A1" i="97"/>
  <c r="C2116" i="97" s="1"/>
  <c r="G117" i="85" s="1"/>
  <c r="E31" i="96"/>
  <c r="A1" i="96"/>
  <c r="S45" i="95"/>
  <c r="R45" i="95"/>
  <c r="Q45" i="95"/>
  <c r="P45" i="95"/>
  <c r="O45" i="95"/>
  <c r="N45" i="95"/>
  <c r="M45" i="95"/>
  <c r="L45" i="95"/>
  <c r="K45" i="95"/>
  <c r="S39" i="95"/>
  <c r="R39" i="95"/>
  <c r="Q39" i="95"/>
  <c r="P39" i="95"/>
  <c r="O39" i="95"/>
  <c r="N39" i="95"/>
  <c r="M39" i="95"/>
  <c r="L39" i="95"/>
  <c r="K39" i="95"/>
  <c r="S33" i="95"/>
  <c r="R33" i="95"/>
  <c r="Q33" i="95"/>
  <c r="P33" i="95"/>
  <c r="O33" i="95"/>
  <c r="N33" i="95"/>
  <c r="M33" i="95"/>
  <c r="L33" i="95"/>
  <c r="K33" i="95"/>
  <c r="S27" i="95"/>
  <c r="R27" i="95"/>
  <c r="Q27" i="95"/>
  <c r="P27" i="95"/>
  <c r="O27" i="95"/>
  <c r="N27" i="95"/>
  <c r="M27" i="95"/>
  <c r="L27" i="95"/>
  <c r="K27" i="95"/>
  <c r="A1" i="95"/>
  <c r="Q32" i="94"/>
  <c r="P32" i="94"/>
  <c r="J32" i="94"/>
  <c r="Q26" i="94"/>
  <c r="P26" i="94"/>
  <c r="O26" i="94"/>
  <c r="N26" i="94"/>
  <c r="L26" i="94"/>
  <c r="J26" i="94"/>
  <c r="A1" i="94"/>
  <c r="A1" i="93"/>
  <c r="A1" i="92"/>
  <c r="C2076" i="97" l="1"/>
  <c r="G115" i="85" s="1"/>
  <c r="C2096" i="97"/>
  <c r="G116" i="85" s="1"/>
  <c r="C2026" i="97"/>
  <c r="G113" i="85" s="1"/>
  <c r="C2049" i="97"/>
  <c r="G114" i="85" s="1"/>
  <c r="C1978" i="97"/>
  <c r="G111" i="85" s="1"/>
  <c r="C2003" i="97"/>
  <c r="G112" i="85" s="1"/>
  <c r="C1722" i="97"/>
  <c r="G109" i="85" s="1"/>
  <c r="C1850" i="97"/>
  <c r="G110" i="85" s="1"/>
  <c r="C1466" i="97"/>
  <c r="G107" i="85" s="1"/>
  <c r="C1594" i="97"/>
  <c r="G108" i="85" s="1"/>
  <c r="C1338" i="97"/>
  <c r="G106" i="85" s="1"/>
  <c r="C1082" i="97"/>
  <c r="G104" i="85" s="1"/>
  <c r="C1210" i="97"/>
  <c r="G105" i="85" s="1"/>
  <c r="C826" i="97"/>
  <c r="G102" i="85" s="1"/>
  <c r="C954" i="97"/>
  <c r="G103" i="85" s="1"/>
  <c r="C570" i="97"/>
  <c r="G100" i="85" s="1"/>
  <c r="C698" i="97"/>
  <c r="G101" i="85" s="1"/>
  <c r="C314" i="97"/>
  <c r="G98" i="85" s="1"/>
  <c r="C442" i="97"/>
  <c r="G99" i="85" s="1"/>
  <c r="C186" i="97"/>
  <c r="G97" i="85" s="1"/>
  <c r="C58" i="97"/>
  <c r="G96" i="85" s="1"/>
  <c r="G32" i="96"/>
  <c r="E293" i="106" s="1"/>
  <c r="C16" i="97"/>
  <c r="G94" i="85" s="1"/>
  <c r="C36" i="97"/>
  <c r="G95" i="85" s="1"/>
  <c r="C72" i="100"/>
  <c r="G122" i="85" s="1"/>
  <c r="C120" i="100"/>
  <c r="G123" i="85" s="1"/>
  <c r="C44" i="100"/>
  <c r="G120" i="85" s="1"/>
  <c r="C58" i="100"/>
  <c r="G121" i="85" s="1"/>
  <c r="C16" i="100"/>
  <c r="G118" i="85" s="1"/>
  <c r="C30" i="100"/>
  <c r="G119" i="85" s="1"/>
  <c r="C99" i="98"/>
  <c r="G128" i="85" s="1"/>
  <c r="C104" i="98"/>
  <c r="G129" i="85" s="1"/>
  <c r="C28" i="98"/>
  <c r="G126" i="85" s="1"/>
  <c r="C38" i="98"/>
  <c r="G127" i="85" s="1"/>
  <c r="C16" i="98"/>
  <c r="G125" i="85" s="1"/>
  <c r="C15" i="106"/>
  <c r="G276" i="85" s="1"/>
  <c r="H203" i="100"/>
  <c r="H199" i="100"/>
  <c r="H202" i="100"/>
  <c r="G30" i="96"/>
  <c r="H196" i="100"/>
  <c r="H200" i="100"/>
  <c r="C223" i="106" l="1"/>
  <c r="G278" i="85" s="1"/>
  <c r="G33" i="96"/>
  <c r="G34" i="96" s="1"/>
  <c r="E225" i="106"/>
  <c r="E259" i="106"/>
  <c r="G29" i="96"/>
  <c r="G28" i="96" s="1"/>
  <c r="H18" i="94" s="1"/>
  <c r="H17" i="94" s="1"/>
  <c r="E363" i="106" l="1"/>
  <c r="E397" i="106"/>
  <c r="E329" i="106"/>
  <c r="C327" i="106"/>
  <c r="G279" i="85" s="1"/>
  <c r="C431" i="106"/>
  <c r="G280" i="85" s="1"/>
  <c r="E501" i="106"/>
  <c r="E467" i="106"/>
  <c r="E433" i="106"/>
  <c r="H19" i="95"/>
  <c r="F32" i="95" s="1"/>
  <c r="F25" i="94"/>
  <c r="F31" i="94"/>
  <c r="G35" i="96"/>
  <c r="F24" i="94"/>
  <c r="H16" i="94"/>
  <c r="F30" i="94"/>
  <c r="H18" i="95" l="1"/>
  <c r="H17" i="95" s="1"/>
  <c r="F30" i="95" s="1"/>
  <c r="C535" i="106"/>
  <c r="G281" i="85" s="1"/>
  <c r="E605" i="106"/>
  <c r="E571" i="106"/>
  <c r="E537" i="106"/>
  <c r="F26" i="95"/>
  <c r="F38" i="95"/>
  <c r="F44" i="95"/>
  <c r="L5" i="98" a="1"/>
  <c r="S6" i="98" s="1"/>
  <c r="L5" i="107" a="1"/>
  <c r="F29" i="94"/>
  <c r="F23" i="94"/>
  <c r="L5" i="97" a="1"/>
  <c r="L5" i="100" a="1"/>
  <c r="H36" i="96"/>
  <c r="G36" i="96"/>
  <c r="J58" i="98" s="1"/>
  <c r="H58" i="180" s="1"/>
  <c r="J5" i="93" a="1"/>
  <c r="H33" i="195" l="1"/>
  <c r="H66" i="196"/>
  <c r="J890" i="97"/>
  <c r="J854" i="97"/>
  <c r="J883" i="97"/>
  <c r="J887" i="97"/>
  <c r="J851" i="97"/>
  <c r="J847" i="97"/>
  <c r="J885" i="97"/>
  <c r="J849" i="97"/>
  <c r="J872" i="97"/>
  <c r="J836" i="97"/>
  <c r="J869" i="97"/>
  <c r="J867" i="97"/>
  <c r="J865" i="97"/>
  <c r="J1931" i="97"/>
  <c r="J1894" i="97"/>
  <c r="J1858" i="97"/>
  <c r="J1819" i="97"/>
  <c r="J1767" i="97"/>
  <c r="J1731" i="97"/>
  <c r="J1692" i="97"/>
  <c r="J1653" i="97"/>
  <c r="J1617" i="97"/>
  <c r="J1527" i="97"/>
  <c r="J1505" i="97"/>
  <c r="J1407" i="97"/>
  <c r="J1397" i="97"/>
  <c r="J1382" i="97"/>
  <c r="J1368" i="97"/>
  <c r="J1386" i="97"/>
  <c r="J1781" i="97"/>
  <c r="J1409" i="97"/>
  <c r="J1930" i="97"/>
  <c r="J1893" i="97"/>
  <c r="J1857" i="97"/>
  <c r="J1803" i="97"/>
  <c r="J1766" i="97"/>
  <c r="J1730" i="97"/>
  <c r="J1691" i="97"/>
  <c r="J1639" i="97"/>
  <c r="J1603" i="97"/>
  <c r="J1525" i="97"/>
  <c r="J1494" i="97"/>
  <c r="J1405" i="97"/>
  <c r="J1396" i="97"/>
  <c r="J1381" i="97"/>
  <c r="J1367" i="97"/>
  <c r="J1949" i="97"/>
  <c r="J1875" i="97"/>
  <c r="J1784" i="97"/>
  <c r="J1748" i="97"/>
  <c r="J1657" i="97"/>
  <c r="J1530" i="97"/>
  <c r="J1489" i="97"/>
  <c r="J1362" i="97"/>
  <c r="J1655" i="97"/>
  <c r="J1360" i="97"/>
  <c r="J1967" i="97"/>
  <c r="J1929" i="97"/>
  <c r="J1891" i="97"/>
  <c r="J1855" i="97"/>
  <c r="J1802" i="97"/>
  <c r="J1765" i="97"/>
  <c r="J1729" i="97"/>
  <c r="J1675" i="97"/>
  <c r="J1638" i="97"/>
  <c r="J1602" i="97"/>
  <c r="J1523" i="97"/>
  <c r="J1493" i="97"/>
  <c r="J1404" i="97"/>
  <c r="J1391" i="97"/>
  <c r="J1380" i="97"/>
  <c r="J1365" i="97"/>
  <c r="J1837" i="97"/>
  <c r="J1621" i="97"/>
  <c r="J1400" i="97"/>
  <c r="J1507" i="97"/>
  <c r="J1966" i="97"/>
  <c r="J1913" i="97"/>
  <c r="J1877" i="97"/>
  <c r="J1839" i="97"/>
  <c r="J1801" i="97"/>
  <c r="J1763" i="97"/>
  <c r="J1727" i="97"/>
  <c r="J1674" i="97"/>
  <c r="J1637" i="97"/>
  <c r="J1601" i="97"/>
  <c r="J1512" i="97"/>
  <c r="J1492" i="97"/>
  <c r="J1403" i="97"/>
  <c r="J1389" i="97"/>
  <c r="J1379" i="97"/>
  <c r="J1364" i="97"/>
  <c r="J1911" i="97"/>
  <c r="J1710" i="97"/>
  <c r="J1510" i="97"/>
  <c r="J1373" i="97"/>
  <c r="J1947" i="97"/>
  <c r="J1859" i="97"/>
  <c r="J1745" i="97"/>
  <c r="J1528" i="97"/>
  <c r="J1398" i="97"/>
  <c r="J1965" i="97"/>
  <c r="J1912" i="97"/>
  <c r="J1876" i="97"/>
  <c r="J1838" i="97"/>
  <c r="J1785" i="97"/>
  <c r="J1749" i="97"/>
  <c r="J1711" i="97"/>
  <c r="J1673" i="97"/>
  <c r="J1635" i="97"/>
  <c r="J1599" i="97"/>
  <c r="J1511" i="97"/>
  <c r="J1491" i="97"/>
  <c r="J1401" i="97"/>
  <c r="J1387" i="97"/>
  <c r="J1378" i="97"/>
  <c r="J1363" i="97"/>
  <c r="J1383" i="97"/>
  <c r="J1948" i="97"/>
  <c r="J1909" i="97"/>
  <c r="J1873" i="97"/>
  <c r="J1821" i="97"/>
  <c r="J1783" i="97"/>
  <c r="J1747" i="97"/>
  <c r="J1709" i="97"/>
  <c r="J1656" i="97"/>
  <c r="J1620" i="97"/>
  <c r="J1529" i="97"/>
  <c r="J1509" i="97"/>
  <c r="J1487" i="97"/>
  <c r="J1399" i="97"/>
  <c r="J1385" i="97"/>
  <c r="J1371" i="97"/>
  <c r="J1361" i="97"/>
  <c r="J1895" i="97"/>
  <c r="J1820" i="97"/>
  <c r="J1693" i="97"/>
  <c r="J1619" i="97"/>
  <c r="J1369" i="97"/>
  <c r="J1325" i="97"/>
  <c r="J115" i="178" s="1" a="1"/>
  <c r="J1233" i="97"/>
  <c r="J1125" i="97"/>
  <c r="J763" i="97"/>
  <c r="J1051" i="97"/>
  <c r="J96" i="178" s="1" a="1"/>
  <c r="J961" i="97"/>
  <c r="J777" i="97"/>
  <c r="J77" i="178" s="1" a="1"/>
  <c r="J738" i="97"/>
  <c r="J705" i="97"/>
  <c r="J668" i="97"/>
  <c r="J631" i="97"/>
  <c r="J597" i="97"/>
  <c r="J575" i="97"/>
  <c r="J522" i="97"/>
  <c r="J487" i="97"/>
  <c r="J465" i="97"/>
  <c r="J429" i="97"/>
  <c r="J377" i="97"/>
  <c r="J355" i="97"/>
  <c r="J322" i="97"/>
  <c r="J243" i="97"/>
  <c r="J213" i="97"/>
  <c r="J127" i="97"/>
  <c r="J118" i="97"/>
  <c r="J107" i="97"/>
  <c r="J98" i="97"/>
  <c r="J87" i="97"/>
  <c r="J729" i="97"/>
  <c r="J337" i="97"/>
  <c r="J81" i="97"/>
  <c r="J467" i="97"/>
  <c r="J119" i="97"/>
  <c r="J1307" i="97"/>
  <c r="J114" i="178" s="1" a="1"/>
  <c r="J1217" i="97"/>
  <c r="J1123" i="97"/>
  <c r="J1033" i="97"/>
  <c r="J95" i="178" s="1" a="1"/>
  <c r="J959" i="97"/>
  <c r="J759" i="97"/>
  <c r="J723" i="97"/>
  <c r="J704" i="97"/>
  <c r="J667" i="97"/>
  <c r="J629" i="97"/>
  <c r="J596" i="97"/>
  <c r="J559" i="97"/>
  <c r="J521" i="97"/>
  <c r="J486" i="97"/>
  <c r="J413" i="97"/>
  <c r="J376" i="97"/>
  <c r="J321" i="97"/>
  <c r="J232" i="97"/>
  <c r="J212" i="97"/>
  <c r="J126" i="97"/>
  <c r="J117" i="97"/>
  <c r="J106" i="97"/>
  <c r="J94" i="97"/>
  <c r="J85" i="97"/>
  <c r="J1087" i="97"/>
  <c r="J741" i="97"/>
  <c r="J613" i="97"/>
  <c r="J503" i="97"/>
  <c r="J359" i="97"/>
  <c r="J130" i="97"/>
  <c r="J90" i="97"/>
  <c r="J632" i="97"/>
  <c r="J323" i="97"/>
  <c r="J99" i="97"/>
  <c r="J1289" i="97"/>
  <c r="J113" i="178" s="1" a="1"/>
  <c r="J1215" i="97"/>
  <c r="J1107" i="97"/>
  <c r="J747" i="97"/>
  <c r="J1015" i="97"/>
  <c r="J941" i="97"/>
  <c r="J88" i="178" s="1" a="1"/>
  <c r="J833" i="97"/>
  <c r="J758" i="97"/>
  <c r="J722" i="97"/>
  <c r="J703" i="97"/>
  <c r="J651" i="97"/>
  <c r="J595" i="97"/>
  <c r="J558" i="97"/>
  <c r="J485" i="97"/>
  <c r="J451" i="97"/>
  <c r="J412" i="97"/>
  <c r="J375" i="97"/>
  <c r="J341" i="97"/>
  <c r="J319" i="97"/>
  <c r="J231" i="97"/>
  <c r="J211" i="97"/>
  <c r="J125" i="97"/>
  <c r="J116" i="97"/>
  <c r="J105" i="97"/>
  <c r="J93" i="97"/>
  <c r="J84" i="97"/>
  <c r="J995" i="97"/>
  <c r="J540" i="97"/>
  <c r="J394" i="97"/>
  <c r="J248" i="97"/>
  <c r="J121" i="97"/>
  <c r="J577" i="97"/>
  <c r="J128" i="97"/>
  <c r="J1271" i="97"/>
  <c r="J1197" i="97"/>
  <c r="J106" i="178" s="1" a="1"/>
  <c r="J1105" i="97"/>
  <c r="J745" i="97"/>
  <c r="J1013" i="97"/>
  <c r="J923" i="97"/>
  <c r="J87" i="178" s="1" a="1"/>
  <c r="J831" i="97"/>
  <c r="J757" i="97"/>
  <c r="J721" i="97"/>
  <c r="J702" i="97"/>
  <c r="J650" i="97"/>
  <c r="J615" i="97"/>
  <c r="J593" i="97"/>
  <c r="J557" i="97"/>
  <c r="J505" i="97"/>
  <c r="J483" i="97"/>
  <c r="J450" i="97"/>
  <c r="J411" i="97"/>
  <c r="J373" i="97"/>
  <c r="J340" i="97"/>
  <c r="J250" i="97"/>
  <c r="J230" i="97"/>
  <c r="J209" i="97"/>
  <c r="J124" i="97"/>
  <c r="J112" i="97"/>
  <c r="J103" i="97"/>
  <c r="J92" i="97"/>
  <c r="J83" i="97"/>
  <c r="J1161" i="97"/>
  <c r="J104" i="178" s="1" a="1"/>
  <c r="J819" i="97"/>
  <c r="J447" i="97"/>
  <c r="J101" i="97"/>
  <c r="J430" i="97"/>
  <c r="J214" i="97"/>
  <c r="J88" i="97"/>
  <c r="J1269" i="97"/>
  <c r="J1179" i="97"/>
  <c r="J105" i="178" s="1" a="1"/>
  <c r="J1089" i="97"/>
  <c r="J997" i="97"/>
  <c r="J905" i="97"/>
  <c r="J86" i="178" s="1" a="1"/>
  <c r="J829" i="97"/>
  <c r="J756" i="97"/>
  <c r="J720" i="97"/>
  <c r="J687" i="97"/>
  <c r="J649" i="97"/>
  <c r="J614" i="97"/>
  <c r="J541" i="97"/>
  <c r="J504" i="97"/>
  <c r="J449" i="97"/>
  <c r="J395" i="97"/>
  <c r="J339" i="97"/>
  <c r="J249" i="97"/>
  <c r="J229" i="97"/>
  <c r="J207" i="97"/>
  <c r="J123" i="97"/>
  <c r="J111" i="97"/>
  <c r="J102" i="97"/>
  <c r="J91" i="97"/>
  <c r="J82" i="97"/>
  <c r="J1253" i="97"/>
  <c r="J686" i="97"/>
  <c r="J579" i="97"/>
  <c r="J469" i="97"/>
  <c r="J227" i="97"/>
  <c r="J110" i="97"/>
  <c r="J523" i="97"/>
  <c r="J357" i="97"/>
  <c r="J108" i="97"/>
  <c r="J1251" i="97"/>
  <c r="J1143" i="97"/>
  <c r="J727" i="97"/>
  <c r="J979" i="97"/>
  <c r="J813" i="97"/>
  <c r="J740" i="97"/>
  <c r="J711" i="97"/>
  <c r="J685" i="97"/>
  <c r="J633" i="97"/>
  <c r="J611" i="97"/>
  <c r="J578" i="97"/>
  <c r="J539" i="97"/>
  <c r="J501" i="97"/>
  <c r="J468" i="97"/>
  <c r="J431" i="97"/>
  <c r="J393" i="97"/>
  <c r="J358" i="97"/>
  <c r="J247" i="97"/>
  <c r="J225" i="97"/>
  <c r="J129" i="97"/>
  <c r="J120" i="97"/>
  <c r="J109" i="97"/>
  <c r="J100" i="97"/>
  <c r="J89" i="97"/>
  <c r="J80" i="97"/>
  <c r="J1235" i="97"/>
  <c r="J1141" i="97"/>
  <c r="J765" i="97"/>
  <c r="J1069" i="97"/>
  <c r="J97" i="178" s="1" a="1"/>
  <c r="J977" i="97"/>
  <c r="J795" i="97"/>
  <c r="J78" i="178" s="1" a="1"/>
  <c r="J739" i="97"/>
  <c r="J709" i="97"/>
  <c r="J669" i="97"/>
  <c r="J245" i="97"/>
  <c r="J2068" i="97"/>
  <c r="J2056" i="97"/>
  <c r="J2044" i="97"/>
  <c r="J2032" i="97"/>
  <c r="J2020" i="97"/>
  <c r="J2008" i="97"/>
  <c r="J1563" i="97"/>
  <c r="J1471" i="97"/>
  <c r="J267" i="97"/>
  <c r="J189" i="97"/>
  <c r="J2067" i="97"/>
  <c r="J2055" i="97"/>
  <c r="J2043" i="97"/>
  <c r="J2031" i="97"/>
  <c r="J2017" i="97"/>
  <c r="J2007" i="97"/>
  <c r="J1547" i="97"/>
  <c r="J1469" i="97"/>
  <c r="J266" i="97"/>
  <c r="J194" i="97"/>
  <c r="J2009" i="97"/>
  <c r="J283" i="97"/>
  <c r="J2066" i="97"/>
  <c r="J2054" i="97"/>
  <c r="J2040" i="97"/>
  <c r="J2030" i="97"/>
  <c r="J2016" i="97"/>
  <c r="J2006" i="97"/>
  <c r="J1546" i="97"/>
  <c r="J303" i="97"/>
  <c r="J265" i="97"/>
  <c r="J191" i="97"/>
  <c r="J2063" i="97"/>
  <c r="J2053" i="97"/>
  <c r="J2039" i="97"/>
  <c r="J2029" i="97"/>
  <c r="J2015" i="97"/>
  <c r="J1583" i="97"/>
  <c r="J1545" i="97"/>
  <c r="J302" i="97"/>
  <c r="J196" i="97"/>
  <c r="J2047" i="97"/>
  <c r="J2023" i="97"/>
  <c r="J1581" i="97"/>
  <c r="J285" i="97"/>
  <c r="J2045" i="97"/>
  <c r="J1473" i="97"/>
  <c r="J2062" i="97"/>
  <c r="J2052" i="97"/>
  <c r="J2038" i="97"/>
  <c r="J2024" i="97"/>
  <c r="J2014" i="97"/>
  <c r="J1582" i="97"/>
  <c r="J1476" i="97"/>
  <c r="J301" i="97"/>
  <c r="J195" i="97"/>
  <c r="J2061" i="97"/>
  <c r="J2037" i="97"/>
  <c r="J2013" i="97"/>
  <c r="J1475" i="97"/>
  <c r="J2059" i="97"/>
  <c r="J2021" i="97"/>
  <c r="J2070" i="97"/>
  <c r="J2060" i="97"/>
  <c r="J2046" i="97"/>
  <c r="J2036" i="97"/>
  <c r="J2022" i="97"/>
  <c r="J2010" i="97"/>
  <c r="J1565" i="97"/>
  <c r="J1474" i="97"/>
  <c r="J284" i="97"/>
  <c r="J193" i="97"/>
  <c r="J2069" i="97"/>
  <c r="J2033" i="97"/>
  <c r="J1564" i="97"/>
  <c r="H12" i="178"/>
  <c r="H12" i="180"/>
  <c r="H12" i="179"/>
  <c r="J39" i="100"/>
  <c r="P20" i="179" s="1"/>
  <c r="J57" i="98"/>
  <c r="H57" i="180" s="1"/>
  <c r="H65" i="196" s="1"/>
  <c r="J1994" i="97"/>
  <c r="J1990" i="97"/>
  <c r="J1986" i="97"/>
  <c r="J1982" i="97"/>
  <c r="J56" i="98"/>
  <c r="H56" i="180" s="1"/>
  <c r="H64" i="196" s="1"/>
  <c r="J1993" i="97"/>
  <c r="J1989" i="97"/>
  <c r="J1985" i="97"/>
  <c r="J1981" i="97"/>
  <c r="J1996" i="97"/>
  <c r="J1992" i="97"/>
  <c r="J1988" i="97"/>
  <c r="J1984" i="97"/>
  <c r="J1995" i="97"/>
  <c r="J1991" i="97"/>
  <c r="J1987" i="97"/>
  <c r="J1983" i="97"/>
  <c r="F31" i="95"/>
  <c r="J2126" i="97"/>
  <c r="J193" i="178" s="1" a="1"/>
  <c r="J2092" i="97"/>
  <c r="J2081" i="97"/>
  <c r="J1463" i="97"/>
  <c r="J1454" i="97"/>
  <c r="J1435" i="97"/>
  <c r="J1355" i="97"/>
  <c r="J1349" i="97"/>
  <c r="J1345" i="97"/>
  <c r="J175" i="97"/>
  <c r="J156" i="97"/>
  <c r="J137" i="97"/>
  <c r="J1461" i="97"/>
  <c r="J1419" i="97"/>
  <c r="J1353" i="97"/>
  <c r="J1344" i="97"/>
  <c r="J179" i="97"/>
  <c r="J174" i="97"/>
  <c r="J44" i="97"/>
  <c r="J2113" i="97"/>
  <c r="J2084" i="97"/>
  <c r="J1459" i="97"/>
  <c r="J1418" i="97"/>
  <c r="J1347" i="97"/>
  <c r="J2114" i="97"/>
  <c r="J2087" i="97"/>
  <c r="J1453" i="97"/>
  <c r="J155" i="97"/>
  <c r="J1437" i="97"/>
  <c r="J1351" i="97"/>
  <c r="J1343" i="97"/>
  <c r="J2083" i="97"/>
  <c r="J1436" i="97"/>
  <c r="J1342" i="97"/>
  <c r="J183" i="97"/>
  <c r="J138" i="97"/>
  <c r="J1417" i="97"/>
  <c r="J173" i="97"/>
  <c r="J43" i="97"/>
  <c r="J1350" i="97"/>
  <c r="J157" i="97"/>
  <c r="J41" i="97"/>
  <c r="J2105" i="97"/>
  <c r="J1455" i="97"/>
  <c r="J1346" i="97"/>
  <c r="J181" i="97"/>
  <c r="J139" i="97"/>
  <c r="F37" i="95"/>
  <c r="F43" i="95"/>
  <c r="F36" i="95"/>
  <c r="F42" i="95"/>
  <c r="F24" i="95"/>
  <c r="F25" i="95"/>
  <c r="J2091" i="97"/>
  <c r="J2079" i="97"/>
  <c r="J2090" i="97"/>
  <c r="J2089" i="97"/>
  <c r="J2088" i="97"/>
  <c r="J94" i="98"/>
  <c r="J97" i="98"/>
  <c r="J95" i="98"/>
  <c r="J96" i="98"/>
  <c r="J92" i="98"/>
  <c r="J101" i="98"/>
  <c r="H95" i="180" s="1"/>
  <c r="H23" i="188" s="1"/>
  <c r="H25" i="188" s="1"/>
  <c r="H121" i="188" s="1"/>
  <c r="H19" i="190" s="1"/>
  <c r="J60" i="98"/>
  <c r="J47" i="98"/>
  <c r="J46" i="98"/>
  <c r="H46" i="180" s="1"/>
  <c r="J45" i="98"/>
  <c r="H45" i="180" s="1"/>
  <c r="J44" i="98"/>
  <c r="H44" i="180" s="1"/>
  <c r="J43" i="98"/>
  <c r="H43" i="180" s="1"/>
  <c r="J36" i="98"/>
  <c r="H36" i="180" s="1"/>
  <c r="H25" i="184" s="1"/>
  <c r="J35" i="98"/>
  <c r="H35" i="180" s="1"/>
  <c r="H24" i="184" s="1"/>
  <c r="J34" i="98"/>
  <c r="H34" i="180" s="1"/>
  <c r="H23" i="184" s="1"/>
  <c r="J33" i="98"/>
  <c r="H33" i="180" s="1"/>
  <c r="H22" i="184" s="1"/>
  <c r="J26" i="98"/>
  <c r="H26" i="180" s="1"/>
  <c r="J25" i="98"/>
  <c r="H25" i="180" s="1"/>
  <c r="J24" i="98"/>
  <c r="H24" i="180" s="1"/>
  <c r="J21" i="98"/>
  <c r="H21" i="180" s="1"/>
  <c r="Q26" i="185" s="1"/>
  <c r="Q226" i="185" s="1"/>
  <c r="J20" i="98"/>
  <c r="H20" i="180" s="1"/>
  <c r="Q25" i="185" s="1"/>
  <c r="Q225" i="185" s="1"/>
  <c r="J19" i="98"/>
  <c r="H19" i="180" s="1"/>
  <c r="Q24" i="185" s="1"/>
  <c r="Q224" i="185" s="1"/>
  <c r="J184" i="100"/>
  <c r="S46" i="179" s="1"/>
  <c r="H170" i="185" s="1"/>
  <c r="Q217" i="185" s="1"/>
  <c r="J183" i="100"/>
  <c r="R46" i="179" s="1"/>
  <c r="H162" i="185" s="1"/>
  <c r="Q212" i="185" s="1"/>
  <c r="J182" i="100"/>
  <c r="Q46" i="179" s="1"/>
  <c r="H154" i="185" s="1"/>
  <c r="Q207" i="185" s="1"/>
  <c r="J181" i="100"/>
  <c r="P46" i="179" s="1"/>
  <c r="H146" i="185" s="1"/>
  <c r="Q202" i="185" s="1"/>
  <c r="J180" i="100"/>
  <c r="O46" i="179" s="1"/>
  <c r="H138" i="185" s="1"/>
  <c r="Q197" i="185" s="1"/>
  <c r="J179" i="100"/>
  <c r="N46" i="179" s="1"/>
  <c r="H130" i="185" s="1"/>
  <c r="Q192" i="185" s="1"/>
  <c r="J178" i="100"/>
  <c r="M46" i="179" s="1"/>
  <c r="H122" i="185" s="1"/>
  <c r="Q187" i="185" s="1"/>
  <c r="J177" i="100"/>
  <c r="L46" i="179" s="1"/>
  <c r="H114" i="185" s="1"/>
  <c r="Q182" i="185" s="1"/>
  <c r="J176" i="100"/>
  <c r="K46" i="179" s="1"/>
  <c r="H106" i="185" s="1"/>
  <c r="Q177" i="185" s="1"/>
  <c r="J172" i="100"/>
  <c r="S45" i="179" s="1"/>
  <c r="H169" i="185" s="1"/>
  <c r="J171" i="100"/>
  <c r="R45" i="179" s="1"/>
  <c r="H161" i="185" s="1"/>
  <c r="J170" i="100"/>
  <c r="Q45" i="179" s="1"/>
  <c r="H153" i="185" s="1"/>
  <c r="J169" i="100"/>
  <c r="P45" i="179" s="1"/>
  <c r="H145" i="185" s="1"/>
  <c r="J168" i="100"/>
  <c r="O45" i="179" s="1"/>
  <c r="H137" i="185" s="1"/>
  <c r="J167" i="100"/>
  <c r="N45" i="179" s="1"/>
  <c r="H129" i="185" s="1"/>
  <c r="J166" i="100"/>
  <c r="M45" i="179" s="1"/>
  <c r="H121" i="185" s="1"/>
  <c r="J165" i="100"/>
  <c r="L45" i="179" s="1"/>
  <c r="H113" i="185" s="1"/>
  <c r="J164" i="100"/>
  <c r="K45" i="179" s="1"/>
  <c r="H105" i="185" s="1"/>
  <c r="J160" i="100"/>
  <c r="S44" i="179" s="1"/>
  <c r="J159" i="100"/>
  <c r="R44" i="179" s="1"/>
  <c r="H160" i="185" s="1"/>
  <c r="J158" i="100"/>
  <c r="Q44" i="179" s="1"/>
  <c r="H152" i="185" s="1"/>
  <c r="J157" i="100"/>
  <c r="P44" i="179" s="1"/>
  <c r="H144" i="185" s="1"/>
  <c r="J156" i="100"/>
  <c r="O44" i="179" s="1"/>
  <c r="H136" i="185" s="1"/>
  <c r="J155" i="100"/>
  <c r="N44" i="179" s="1"/>
  <c r="H128" i="185" s="1"/>
  <c r="J154" i="100"/>
  <c r="M44" i="179" s="1"/>
  <c r="H120" i="185" s="1"/>
  <c r="J153" i="100"/>
  <c r="L44" i="179" s="1"/>
  <c r="H112" i="185" s="1"/>
  <c r="J152" i="100"/>
  <c r="K44" i="179" s="1"/>
  <c r="H104" i="185" s="1"/>
  <c r="J148" i="100"/>
  <c r="S43" i="179" s="1"/>
  <c r="H167" i="185" s="1"/>
  <c r="J147" i="100"/>
  <c r="R43" i="179" s="1"/>
  <c r="J146" i="100"/>
  <c r="Q43" i="179" s="1"/>
  <c r="J145" i="100"/>
  <c r="P43" i="179" s="1"/>
  <c r="J144" i="100"/>
  <c r="O43" i="179" s="1"/>
  <c r="J143" i="100"/>
  <c r="N43" i="179" s="1"/>
  <c r="J142" i="100"/>
  <c r="M43" i="179" s="1"/>
  <c r="J141" i="100"/>
  <c r="L43" i="179" s="1"/>
  <c r="J140" i="100"/>
  <c r="K43" i="179" s="1"/>
  <c r="J132" i="100"/>
  <c r="S36" i="179" s="1"/>
  <c r="S54" i="188" s="1"/>
  <c r="J131" i="100"/>
  <c r="R36" i="179" s="1"/>
  <c r="R54" i="188" s="1"/>
  <c r="J130" i="100"/>
  <c r="Q36" i="179" s="1"/>
  <c r="Q54" i="188" s="1"/>
  <c r="J129" i="100"/>
  <c r="P36" i="179" s="1"/>
  <c r="P54" i="188" s="1"/>
  <c r="J128" i="100"/>
  <c r="O36" i="179" s="1"/>
  <c r="O54" i="188" s="1"/>
  <c r="J127" i="100"/>
  <c r="N36" i="179" s="1"/>
  <c r="N54" i="188" s="1"/>
  <c r="J113" i="98"/>
  <c r="H108" i="180" s="1"/>
  <c r="H88" i="188" s="1"/>
  <c r="J112" i="98"/>
  <c r="H107" i="180" s="1"/>
  <c r="H87" i="188" s="1"/>
  <c r="J111" i="98"/>
  <c r="H106" i="180" s="1"/>
  <c r="H86" i="188" s="1"/>
  <c r="J106" i="98"/>
  <c r="H101" i="180" s="1"/>
  <c r="J98" i="188" s="1"/>
  <c r="J102" i="98"/>
  <c r="H96" i="180" s="1"/>
  <c r="H97" i="180" s="1"/>
  <c r="J90" i="98"/>
  <c r="J89" i="98"/>
  <c r="H89" i="180" s="1"/>
  <c r="J88" i="98"/>
  <c r="H88" i="180" s="1"/>
  <c r="J87" i="98"/>
  <c r="H87" i="180" s="1"/>
  <c r="J86" i="98"/>
  <c r="H86" i="180" s="1"/>
  <c r="J48" i="100"/>
  <c r="K22" i="179" s="1"/>
  <c r="J75" i="98"/>
  <c r="H75" i="180" s="1"/>
  <c r="J73" i="98"/>
  <c r="J72" i="98"/>
  <c r="H72" i="180" s="1"/>
  <c r="J71" i="98"/>
  <c r="H71" i="180" s="1"/>
  <c r="J70" i="98"/>
  <c r="H70" i="180" s="1"/>
  <c r="J69" i="98"/>
  <c r="H69" i="180" s="1"/>
  <c r="J68" i="98"/>
  <c r="H68" i="180" s="1"/>
  <c r="J67" i="98"/>
  <c r="H67" i="180" s="1"/>
  <c r="J66" i="98"/>
  <c r="H66" i="180" s="1"/>
  <c r="J65" i="98"/>
  <c r="H65" i="180" s="1"/>
  <c r="J64" i="98"/>
  <c r="H64" i="180" s="1"/>
  <c r="J63" i="98"/>
  <c r="H63" i="180" s="1"/>
  <c r="J62" i="98"/>
  <c r="H62" i="180" s="1"/>
  <c r="J59" i="98"/>
  <c r="H59" i="180" s="1"/>
  <c r="J55" i="98"/>
  <c r="H55" i="180" s="1"/>
  <c r="J54" i="98"/>
  <c r="H54" i="180" s="1"/>
  <c r="J53" i="98"/>
  <c r="H53" i="180" s="1"/>
  <c r="J52" i="98"/>
  <c r="H52" i="180" s="1"/>
  <c r="J51" i="98"/>
  <c r="H51" i="180" s="1"/>
  <c r="J50" i="98"/>
  <c r="H50" i="180" s="1"/>
  <c r="J126" i="100"/>
  <c r="M36" i="179" s="1"/>
  <c r="M54" i="188" s="1"/>
  <c r="J125" i="100"/>
  <c r="L36" i="179" s="1"/>
  <c r="L54" i="188" s="1"/>
  <c r="J114" i="100"/>
  <c r="O32" i="179" s="1"/>
  <c r="O46" i="183" s="1"/>
  <c r="J113" i="100"/>
  <c r="N32" i="179" s="1"/>
  <c r="N46" i="183" s="1"/>
  <c r="J112" i="100"/>
  <c r="M32" i="179" s="1"/>
  <c r="M46" i="183" s="1"/>
  <c r="J111" i="100"/>
  <c r="L32" i="179" s="1"/>
  <c r="L46" i="183" s="1"/>
  <c r="J105" i="100"/>
  <c r="Q31" i="179" s="1"/>
  <c r="Q45" i="183" s="1"/>
  <c r="J104" i="100"/>
  <c r="P31" i="179" s="1"/>
  <c r="P45" i="183" s="1"/>
  <c r="J103" i="100"/>
  <c r="O31" i="179" s="1"/>
  <c r="O45" i="183" s="1"/>
  <c r="J102" i="100"/>
  <c r="N31" i="179" s="1"/>
  <c r="N45" i="183" s="1"/>
  <c r="J101" i="100"/>
  <c r="M31" i="179" s="1"/>
  <c r="M45" i="183" s="1"/>
  <c r="J100" i="100"/>
  <c r="L31" i="179" s="1"/>
  <c r="L45" i="183" s="1"/>
  <c r="J95" i="100"/>
  <c r="R30" i="179" s="1"/>
  <c r="R44" i="183" s="1"/>
  <c r="J94" i="100"/>
  <c r="Q30" i="179" s="1"/>
  <c r="Q44" i="183" s="1"/>
  <c r="J93" i="100"/>
  <c r="P30" i="179" s="1"/>
  <c r="P44" i="183" s="1"/>
  <c r="J92" i="100"/>
  <c r="O30" i="179" s="1"/>
  <c r="O44" i="183" s="1"/>
  <c r="J91" i="100"/>
  <c r="N30" i="179" s="1"/>
  <c r="N44" i="183" s="1"/>
  <c r="J90" i="100"/>
  <c r="M30" i="179" s="1"/>
  <c r="M44" i="183" s="1"/>
  <c r="J89" i="100"/>
  <c r="L30" i="179" s="1"/>
  <c r="L44" i="183" s="1"/>
  <c r="J85" i="100"/>
  <c r="S29" i="179" s="1"/>
  <c r="S43" i="183" s="1"/>
  <c r="J84" i="100"/>
  <c r="R29" i="179" s="1"/>
  <c r="R43" i="183" s="1"/>
  <c r="J83" i="100"/>
  <c r="Q29" i="179" s="1"/>
  <c r="Q43" i="183" s="1"/>
  <c r="J82" i="100"/>
  <c r="P29" i="179" s="1"/>
  <c r="P43" i="183" s="1"/>
  <c r="J81" i="100"/>
  <c r="O29" i="179" s="1"/>
  <c r="O43" i="183" s="1"/>
  <c r="J80" i="100"/>
  <c r="N29" i="179" s="1"/>
  <c r="N43" i="183" s="1"/>
  <c r="J79" i="100"/>
  <c r="M29" i="179" s="1"/>
  <c r="M43" i="183" s="1"/>
  <c r="J78" i="100"/>
  <c r="L29" i="179" s="1"/>
  <c r="L43" i="183" s="1"/>
  <c r="J70" i="100"/>
  <c r="S24" i="179" s="1"/>
  <c r="J69" i="100"/>
  <c r="R24" i="179" s="1"/>
  <c r="J68" i="100"/>
  <c r="Q24" i="179" s="1"/>
  <c r="J67" i="100"/>
  <c r="P24" i="179" s="1"/>
  <c r="J66" i="100"/>
  <c r="O24" i="179" s="1"/>
  <c r="J65" i="100"/>
  <c r="N24" i="179" s="1"/>
  <c r="J64" i="100"/>
  <c r="M24" i="179" s="1"/>
  <c r="J63" i="100"/>
  <c r="L24" i="179" s="1"/>
  <c r="J62" i="100"/>
  <c r="K24" i="179" s="1"/>
  <c r="J56" i="100"/>
  <c r="S22" i="179" s="1"/>
  <c r="S27" i="182" s="1"/>
  <c r="S29" i="182" s="1"/>
  <c r="J55" i="100"/>
  <c r="R22" i="179" s="1"/>
  <c r="R27" i="182" s="1"/>
  <c r="R29" i="182" s="1"/>
  <c r="J54" i="100"/>
  <c r="Q22" i="179" s="1"/>
  <c r="Q27" i="182" s="1"/>
  <c r="Q29" i="182" s="1"/>
  <c r="J52" i="100"/>
  <c r="O22" i="179" s="1"/>
  <c r="O27" i="182" s="1"/>
  <c r="J51" i="100"/>
  <c r="N22" i="179" s="1"/>
  <c r="N27" i="182" s="1"/>
  <c r="N29" i="182" s="1"/>
  <c r="J50" i="100"/>
  <c r="M22" i="179" s="1"/>
  <c r="M27" i="182" s="1"/>
  <c r="M29" i="182" s="1"/>
  <c r="J49" i="100"/>
  <c r="L22" i="179" s="1"/>
  <c r="L27" i="182" s="1"/>
  <c r="L29" i="182" s="1"/>
  <c r="J83" i="98"/>
  <c r="J82" i="98"/>
  <c r="H82" i="180" s="1"/>
  <c r="J81" i="98"/>
  <c r="H81" i="180" s="1"/>
  <c r="J80" i="98"/>
  <c r="H80" i="180" s="1"/>
  <c r="J79" i="98"/>
  <c r="H79" i="180" s="1"/>
  <c r="J78" i="98"/>
  <c r="H78" i="180" s="1"/>
  <c r="J69" i="97"/>
  <c r="J63" i="97"/>
  <c r="J71" i="97"/>
  <c r="J65" i="97"/>
  <c r="J73" i="97"/>
  <c r="J67" i="97"/>
  <c r="J75" i="97"/>
  <c r="J24" i="97"/>
  <c r="J22" i="97"/>
  <c r="J39" i="97"/>
  <c r="J20" i="97"/>
  <c r="J21" i="97"/>
  <c r="J74" i="97"/>
  <c r="J72" i="97"/>
  <c r="J26" i="97"/>
  <c r="J62" i="97"/>
  <c r="J25" i="97"/>
  <c r="J19" i="97"/>
  <c r="J23" i="100"/>
  <c r="N18" i="179" s="1"/>
  <c r="N19" i="182" s="1"/>
  <c r="J76" i="98"/>
  <c r="J64" i="97"/>
  <c r="J76" i="97"/>
  <c r="J46" i="97"/>
  <c r="J23" i="97"/>
  <c r="J26" i="100"/>
  <c r="Q18" i="179" s="1"/>
  <c r="Q19" i="182" s="1"/>
  <c r="J70" i="97"/>
  <c r="J45" i="97"/>
  <c r="J21" i="100"/>
  <c r="L18" i="179" s="1"/>
  <c r="L19" i="182" s="1"/>
  <c r="J66" i="97"/>
  <c r="J20" i="100"/>
  <c r="K18" i="179" s="1"/>
  <c r="J48" i="98"/>
  <c r="J84" i="98"/>
  <c r="J91" i="98"/>
  <c r="N5" i="98"/>
  <c r="R5" i="98"/>
  <c r="L5" i="98"/>
  <c r="L6" i="98"/>
  <c r="M5" i="98"/>
  <c r="O5" i="98"/>
  <c r="Q5" i="98"/>
  <c r="R6" i="98"/>
  <c r="S5" i="98"/>
  <c r="Q6" i="98"/>
  <c r="P5" i="98"/>
  <c r="O6" i="98"/>
  <c r="M6" i="98"/>
  <c r="N6" i="98"/>
  <c r="P6" i="98"/>
  <c r="Q6" i="100"/>
  <c r="M6" i="100"/>
  <c r="Q5" i="100"/>
  <c r="M5" i="100"/>
  <c r="R5" i="100"/>
  <c r="P6" i="100"/>
  <c r="L6" i="100"/>
  <c r="P5" i="100"/>
  <c r="L5" i="100"/>
  <c r="R6" i="100"/>
  <c r="N5" i="100"/>
  <c r="S6" i="100"/>
  <c r="O6" i="100"/>
  <c r="S5" i="100"/>
  <c r="O5" i="100"/>
  <c r="N6" i="100"/>
  <c r="N5" i="93"/>
  <c r="J5" i="93"/>
  <c r="K5" i="93"/>
  <c r="M5" i="93"/>
  <c r="L5" i="93"/>
  <c r="S6" i="97"/>
  <c r="O6" i="97"/>
  <c r="S5" i="97"/>
  <c r="O5" i="97"/>
  <c r="R6" i="97"/>
  <c r="N6" i="97"/>
  <c r="R5" i="97"/>
  <c r="N5" i="97"/>
  <c r="Q6" i="97"/>
  <c r="M6" i="97"/>
  <c r="Q5" i="97"/>
  <c r="M5" i="97"/>
  <c r="P6" i="97"/>
  <c r="L6" i="97"/>
  <c r="P5" i="97"/>
  <c r="L5" i="97"/>
  <c r="O5" i="107"/>
  <c r="N5" i="107"/>
  <c r="P5" i="107"/>
  <c r="M5" i="107"/>
  <c r="L5" i="107"/>
  <c r="J6" i="100"/>
  <c r="J6" i="98"/>
  <c r="J6" i="97"/>
  <c r="J92" i="178" l="1" a="1"/>
  <c r="J91" i="178" a="1"/>
  <c r="U91" i="178" s="1"/>
  <c r="H32" i="195"/>
  <c r="J103" i="178" a="1"/>
  <c r="Y103" i="178" s="1"/>
  <c r="J142" i="178" a="1"/>
  <c r="J142" i="178" s="1"/>
  <c r="J133" i="178" a="1"/>
  <c r="J66" i="178" a="1"/>
  <c r="N66" i="178" s="1"/>
  <c r="N98" i="184" s="1"/>
  <c r="J37" i="178" a="1"/>
  <c r="J37" i="178" s="1"/>
  <c r="J69" i="184" s="1"/>
  <c r="J48" i="178" a="1"/>
  <c r="Y48" i="178" s="1"/>
  <c r="J94" i="178" a="1"/>
  <c r="J94" i="178" s="1"/>
  <c r="J124" i="178" a="1"/>
  <c r="W124" i="178" s="1"/>
  <c r="W156" i="184" s="1"/>
  <c r="J68" i="178" a="1"/>
  <c r="W68" i="178" s="1"/>
  <c r="J173" i="178" a="1"/>
  <c r="J79" i="178" a="1"/>
  <c r="J79" i="178" s="1"/>
  <c r="J109" i="178" a="1"/>
  <c r="N109" i="178" s="1"/>
  <c r="N141" i="184" s="1"/>
  <c r="N575" i="184" s="1"/>
  <c r="V33" i="198" s="1"/>
  <c r="J58" i="178" a="1"/>
  <c r="R58" i="178" s="1"/>
  <c r="J144" i="178" a="1"/>
  <c r="N144" i="178" s="1"/>
  <c r="N176" i="184" s="1"/>
  <c r="N653" i="184" s="1"/>
  <c r="T50" i="198" s="1"/>
  <c r="J102" i="178" a="1"/>
  <c r="X102" i="178" s="1"/>
  <c r="J160" i="178" a="1"/>
  <c r="P160" i="178" s="1"/>
  <c r="P192" i="184" s="1"/>
  <c r="P643" i="184" s="1"/>
  <c r="AF48" i="198" s="1"/>
  <c r="H90" i="188"/>
  <c r="H122" i="188" s="1"/>
  <c r="H20" i="190" s="1"/>
  <c r="J41" i="178" a="1"/>
  <c r="N41" i="178" s="1"/>
  <c r="N73" i="184" s="1"/>
  <c r="J157" i="178" a="1"/>
  <c r="J157" i="178" s="1"/>
  <c r="J56" i="178" a="1"/>
  <c r="P56" i="178" s="1"/>
  <c r="P88" i="184" s="1"/>
  <c r="P548" i="184" s="1"/>
  <c r="AE25" i="198" s="1"/>
  <c r="J75" i="178" a="1"/>
  <c r="Y75" i="178" s="1"/>
  <c r="J110" i="178" a="1"/>
  <c r="U110" i="178" s="1"/>
  <c r="J141" i="178" a="1"/>
  <c r="T141" i="178" s="1"/>
  <c r="J35" i="178" a="1"/>
  <c r="T35" i="178" s="1"/>
  <c r="J129" i="178" a="1"/>
  <c r="P129" i="178" s="1"/>
  <c r="P161" i="184" s="1"/>
  <c r="J55" i="178" a="1"/>
  <c r="R55" i="178" s="1"/>
  <c r="J100" i="178" a="1"/>
  <c r="L100" i="178" s="1"/>
  <c r="L132" i="184" s="1"/>
  <c r="L574" i="184" s="1"/>
  <c r="O33" i="198" s="1"/>
  <c r="J156" i="178" a="1"/>
  <c r="P156" i="178" s="1"/>
  <c r="P188" i="184" s="1"/>
  <c r="P619" i="184" s="1"/>
  <c r="AF44" i="198" s="1"/>
  <c r="J161" i="178" a="1"/>
  <c r="N161" i="178" s="1"/>
  <c r="N193" i="184" s="1"/>
  <c r="N649" i="184" s="1"/>
  <c r="V49" i="198" s="1"/>
  <c r="J49" i="178" a="1"/>
  <c r="O49" i="178" s="1"/>
  <c r="O81" i="184" s="1"/>
  <c r="M193" i="178"/>
  <c r="T193" i="178"/>
  <c r="J193" i="178"/>
  <c r="Y193" i="178"/>
  <c r="L193" i="178"/>
  <c r="Q193" i="178"/>
  <c r="X193" i="178"/>
  <c r="W193" i="178"/>
  <c r="P193" i="178"/>
  <c r="O193" i="178"/>
  <c r="N193" i="178"/>
  <c r="K193" i="178"/>
  <c r="S193" i="178"/>
  <c r="R193" i="178"/>
  <c r="U193" i="178"/>
  <c r="V193" i="178"/>
  <c r="J86" i="178"/>
  <c r="J118" i="184" s="1"/>
  <c r="J596" i="184" s="1"/>
  <c r="J37" i="198" s="1"/>
  <c r="V86" i="178"/>
  <c r="W86" i="178"/>
  <c r="X86" i="178"/>
  <c r="Y86" i="178"/>
  <c r="O86" i="178"/>
  <c r="O118" i="184" s="1"/>
  <c r="O596" i="184" s="1"/>
  <c r="X37" i="198" s="1"/>
  <c r="X109" i="198" s="1"/>
  <c r="N86" i="178"/>
  <c r="N118" i="184" s="1"/>
  <c r="Q86" i="178"/>
  <c r="Q118" i="184" s="1"/>
  <c r="Q596" i="184" s="1"/>
  <c r="AG37" i="198" s="1"/>
  <c r="P86" i="178"/>
  <c r="P118" i="184" s="1"/>
  <c r="P596" i="184" s="1"/>
  <c r="AC37" i="198" s="1"/>
  <c r="AC109" i="198" s="1"/>
  <c r="L86" i="178"/>
  <c r="L118" i="184" s="1"/>
  <c r="L596" i="184" s="1"/>
  <c r="M37" i="198" s="1"/>
  <c r="S86" i="178"/>
  <c r="K86" i="178"/>
  <c r="R86" i="178"/>
  <c r="M86" i="178"/>
  <c r="T86" i="178"/>
  <c r="U86" i="178"/>
  <c r="K142" i="178"/>
  <c r="T142" i="178"/>
  <c r="L142" i="178"/>
  <c r="L174" i="184" s="1"/>
  <c r="L641" i="184" s="1"/>
  <c r="N48" i="198" s="1"/>
  <c r="Q142" i="178"/>
  <c r="X142" i="178"/>
  <c r="P142" i="178"/>
  <c r="P174" i="184" s="1"/>
  <c r="P641" i="184" s="1"/>
  <c r="AD48" i="198" s="1"/>
  <c r="W142" i="178"/>
  <c r="S142" i="178"/>
  <c r="O142" i="178"/>
  <c r="O174" i="184" s="1"/>
  <c r="O641" i="184" s="1"/>
  <c r="Y48" i="198" s="1"/>
  <c r="H73" i="180"/>
  <c r="K91" i="178"/>
  <c r="M91" i="178"/>
  <c r="P91" i="178"/>
  <c r="P123" i="184" s="1"/>
  <c r="P573" i="184" s="1"/>
  <c r="AD33" i="198" s="1"/>
  <c r="AD105" i="198" s="1"/>
  <c r="W91" i="178"/>
  <c r="Q91" i="178"/>
  <c r="S91" i="178"/>
  <c r="L91" i="178"/>
  <c r="L123" i="184" s="1"/>
  <c r="L573" i="184" s="1"/>
  <c r="N33" i="198" s="1"/>
  <c r="H115" i="180"/>
  <c r="H116" i="180"/>
  <c r="J190" i="178" a="1"/>
  <c r="J182" i="178" a="1"/>
  <c r="J78" i="178"/>
  <c r="X78" i="178"/>
  <c r="W78" i="178"/>
  <c r="Y78" i="178"/>
  <c r="Q78" i="178"/>
  <c r="N78" i="178"/>
  <c r="N110" i="184" s="1"/>
  <c r="N601" i="184" s="1"/>
  <c r="R38" i="198" s="1"/>
  <c r="O78" i="178"/>
  <c r="O110" i="184" s="1"/>
  <c r="O601" i="184" s="1"/>
  <c r="W38" i="198" s="1"/>
  <c r="W110" i="198" s="1"/>
  <c r="P78" i="178"/>
  <c r="P110" i="184" s="1"/>
  <c r="P601" i="184" s="1"/>
  <c r="AB38" i="198" s="1"/>
  <c r="AB110" i="198" s="1"/>
  <c r="V78" i="178"/>
  <c r="L78" i="178"/>
  <c r="L110" i="184" s="1"/>
  <c r="L601" i="184" s="1"/>
  <c r="L38" i="198" s="1"/>
  <c r="S78" i="178"/>
  <c r="K78" i="178"/>
  <c r="K110" i="184" s="1"/>
  <c r="K601" i="184" s="1"/>
  <c r="K38" i="198" s="1"/>
  <c r="R78" i="178"/>
  <c r="R110" i="184" s="1"/>
  <c r="M78" i="178"/>
  <c r="M110" i="184" s="1"/>
  <c r="M601" i="184" s="1"/>
  <c r="Q38" i="198" s="1"/>
  <c r="T78" i="178"/>
  <c r="T110" i="184" s="1"/>
  <c r="U78" i="178"/>
  <c r="J27" i="178" a="1"/>
  <c r="J64" i="178" a="1"/>
  <c r="J53" i="178" a="1"/>
  <c r="J65" i="178" a="1"/>
  <c r="K95" i="178"/>
  <c r="O95" i="178"/>
  <c r="O127" i="184" s="1"/>
  <c r="O597" i="184" s="1"/>
  <c r="Y37" i="198" s="1"/>
  <c r="Y109" i="198" s="1"/>
  <c r="Q95" i="178"/>
  <c r="Y95" i="178"/>
  <c r="T95" i="178"/>
  <c r="V95" i="178"/>
  <c r="L95" i="178"/>
  <c r="L127" i="184" s="1"/>
  <c r="L597" i="184" s="1"/>
  <c r="N37" i="198" s="1"/>
  <c r="N95" i="178"/>
  <c r="N127" i="184" s="1"/>
  <c r="N597" i="184" s="1"/>
  <c r="T37" i="198" s="1"/>
  <c r="R95" i="178"/>
  <c r="J95" i="178"/>
  <c r="S95" i="178"/>
  <c r="P95" i="178"/>
  <c r="P127" i="184" s="1"/>
  <c r="P597" i="184" s="1"/>
  <c r="AD37" i="198" s="1"/>
  <c r="AD109" i="198" s="1"/>
  <c r="U95" i="178"/>
  <c r="W95" i="178"/>
  <c r="M95" i="178"/>
  <c r="X95" i="178"/>
  <c r="J45" i="178" a="1"/>
  <c r="J83" i="178" a="1"/>
  <c r="J148" i="178" a="1"/>
  <c r="J147" i="178" a="1"/>
  <c r="J132" i="178" a="1"/>
  <c r="J158" i="178" a="1"/>
  <c r="J141" i="178"/>
  <c r="H60" i="180"/>
  <c r="J178" i="178" a="1"/>
  <c r="J44" i="178" a="1"/>
  <c r="K115" i="178"/>
  <c r="X115" i="178"/>
  <c r="P115" i="178"/>
  <c r="P147" i="184" s="1"/>
  <c r="P611" i="184" s="1"/>
  <c r="AF39" i="198" s="1"/>
  <c r="AF111" i="198" s="1"/>
  <c r="V115" i="178"/>
  <c r="W115" i="178"/>
  <c r="N115" i="178"/>
  <c r="N147" i="184" s="1"/>
  <c r="N611" i="184" s="1"/>
  <c r="V39" i="198" s="1"/>
  <c r="O115" i="178"/>
  <c r="O147" i="184" s="1"/>
  <c r="O611" i="184" s="1"/>
  <c r="AA39" i="198" s="1"/>
  <c r="AA111" i="198" s="1"/>
  <c r="J115" i="178"/>
  <c r="S115" i="178"/>
  <c r="U115" i="178"/>
  <c r="Y115" i="178"/>
  <c r="T115" i="178"/>
  <c r="R115" i="178"/>
  <c r="Q115" i="178"/>
  <c r="M115" i="178"/>
  <c r="L115" i="178"/>
  <c r="L147" i="184" s="1"/>
  <c r="L611" i="184" s="1"/>
  <c r="P39" i="198" s="1"/>
  <c r="H47" i="180"/>
  <c r="H48" i="180" s="1"/>
  <c r="J32" i="178" a="1"/>
  <c r="J125" i="178" a="1"/>
  <c r="J59" i="178" a="1"/>
  <c r="J67" i="178" a="1"/>
  <c r="J38" i="178" a="1"/>
  <c r="J62" i="178" a="1"/>
  <c r="J85" i="178" a="1"/>
  <c r="J130" i="178" a="1"/>
  <c r="J149" i="178" a="1"/>
  <c r="J35" i="184"/>
  <c r="N35" i="184"/>
  <c r="R35" i="184"/>
  <c r="Q35" i="184"/>
  <c r="L35" i="184"/>
  <c r="P35" i="184"/>
  <c r="Y35" i="184"/>
  <c r="T35" i="184"/>
  <c r="O35" i="184"/>
  <c r="K35" i="184"/>
  <c r="U35" i="184"/>
  <c r="V35" i="184"/>
  <c r="M35" i="184"/>
  <c r="W35" i="184"/>
  <c r="S35" i="184"/>
  <c r="X35" i="184"/>
  <c r="O100" i="178"/>
  <c r="O132" i="184" s="1"/>
  <c r="O574" i="184" s="1"/>
  <c r="Z33" i="198" s="1"/>
  <c r="Z105" i="198" s="1"/>
  <c r="P100" i="178"/>
  <c r="P132" i="184" s="1"/>
  <c r="P574" i="184" s="1"/>
  <c r="AE33" i="198" s="1"/>
  <c r="AE105" i="198" s="1"/>
  <c r="J100" i="178"/>
  <c r="Y100" i="178"/>
  <c r="R100" i="178"/>
  <c r="M100" i="178"/>
  <c r="N24" i="185"/>
  <c r="N224" i="185" s="1"/>
  <c r="P24" i="185"/>
  <c r="P224" i="185" s="1"/>
  <c r="R24" i="185"/>
  <c r="R224" i="185" s="1"/>
  <c r="V24" i="185"/>
  <c r="V224" i="185" s="1"/>
  <c r="O24" i="185"/>
  <c r="O224" i="185" s="1"/>
  <c r="X24" i="185"/>
  <c r="X224" i="185" s="1"/>
  <c r="L24" i="185"/>
  <c r="L224" i="185" s="1"/>
  <c r="M24" i="185"/>
  <c r="M224" i="185" s="1"/>
  <c r="W24" i="185"/>
  <c r="W224" i="185" s="1"/>
  <c r="T24" i="185"/>
  <c r="T224" i="185" s="1"/>
  <c r="U24" i="185"/>
  <c r="U224" i="185" s="1"/>
  <c r="K24" i="185"/>
  <c r="K224" i="185" s="1"/>
  <c r="Y24" i="185"/>
  <c r="Y224" i="185" s="1"/>
  <c r="J24" i="185"/>
  <c r="J224" i="185" s="1"/>
  <c r="S24" i="185"/>
  <c r="S224" i="185" s="1"/>
  <c r="P41" i="178"/>
  <c r="P73" i="184" s="1"/>
  <c r="J41" i="178"/>
  <c r="J73" i="184" s="1"/>
  <c r="M41" i="178"/>
  <c r="L133" i="178"/>
  <c r="L165" i="184" s="1"/>
  <c r="L640" i="184" s="1"/>
  <c r="M48" i="198" s="1"/>
  <c r="K133" i="178"/>
  <c r="O133" i="178"/>
  <c r="O165" i="184" s="1"/>
  <c r="R133" i="178"/>
  <c r="N133" i="178"/>
  <c r="N165" i="184" s="1"/>
  <c r="Q133" i="178"/>
  <c r="Q165" i="184" s="1"/>
  <c r="Q640" i="184" s="1"/>
  <c r="AG48" i="198" s="1"/>
  <c r="U133" i="178"/>
  <c r="X133" i="178"/>
  <c r="M133" i="178"/>
  <c r="P133" i="178"/>
  <c r="P165" i="184" s="1"/>
  <c r="S133" i="178"/>
  <c r="Y133" i="178"/>
  <c r="T133" i="178"/>
  <c r="J133" i="178"/>
  <c r="J165" i="184" s="1"/>
  <c r="J640" i="184" s="1"/>
  <c r="J48" i="198" s="1"/>
  <c r="W133" i="178"/>
  <c r="V133" i="178"/>
  <c r="J39" i="178" a="1"/>
  <c r="J184" i="178" a="1"/>
  <c r="J134" i="178" a="1"/>
  <c r="L48" i="178"/>
  <c r="L80" i="184" s="1"/>
  <c r="K48" i="178"/>
  <c r="J74" i="178" a="1"/>
  <c r="K105" i="178"/>
  <c r="O105" i="178"/>
  <c r="O137" i="184" s="1"/>
  <c r="O604" i="184" s="1"/>
  <c r="Z38" i="198" s="1"/>
  <c r="Z110" i="198" s="1"/>
  <c r="L105" i="178"/>
  <c r="L137" i="184" s="1"/>
  <c r="L604" i="184" s="1"/>
  <c r="O38" i="198" s="1"/>
  <c r="V105" i="178"/>
  <c r="R105" i="178"/>
  <c r="N105" i="178"/>
  <c r="N137" i="184" s="1"/>
  <c r="N604" i="184" s="1"/>
  <c r="U38" i="198" s="1"/>
  <c r="P105" i="178"/>
  <c r="P137" i="184" s="1"/>
  <c r="P604" i="184" s="1"/>
  <c r="AE38" i="198" s="1"/>
  <c r="AE110" i="198" s="1"/>
  <c r="W105" i="178"/>
  <c r="S105" i="178"/>
  <c r="U105" i="178"/>
  <c r="Q105" i="178"/>
  <c r="Y105" i="178"/>
  <c r="M105" i="178"/>
  <c r="T105" i="178"/>
  <c r="J105" i="178"/>
  <c r="X105" i="178"/>
  <c r="J104" i="178"/>
  <c r="W104" i="178"/>
  <c r="X104" i="178"/>
  <c r="Y104" i="178"/>
  <c r="T104" i="178"/>
  <c r="L104" i="178"/>
  <c r="L136" i="184" s="1"/>
  <c r="L598" i="184" s="1"/>
  <c r="O37" i="198" s="1"/>
  <c r="Q104" i="178"/>
  <c r="O104" i="178"/>
  <c r="O136" i="184" s="1"/>
  <c r="O598" i="184" s="1"/>
  <c r="Z37" i="198" s="1"/>
  <c r="Z109" i="198" s="1"/>
  <c r="S104" i="178"/>
  <c r="K104" i="178"/>
  <c r="V104" i="178"/>
  <c r="R104" i="178"/>
  <c r="U104" i="178"/>
  <c r="N104" i="178"/>
  <c r="N136" i="184" s="1"/>
  <c r="N598" i="184" s="1"/>
  <c r="U37" i="198" s="1"/>
  <c r="M104" i="178"/>
  <c r="P104" i="178"/>
  <c r="P136" i="184" s="1"/>
  <c r="P598" i="184" s="1"/>
  <c r="AE37" i="198" s="1"/>
  <c r="AE109" i="198" s="1"/>
  <c r="J63" i="178" a="1"/>
  <c r="J87" i="178"/>
  <c r="J119" i="184" s="1"/>
  <c r="J602" i="184" s="1"/>
  <c r="J38" i="198" s="1"/>
  <c r="W87" i="178"/>
  <c r="V87" i="178"/>
  <c r="X87" i="178"/>
  <c r="Y87" i="178"/>
  <c r="P87" i="178"/>
  <c r="P119" i="184" s="1"/>
  <c r="P602" i="184" s="1"/>
  <c r="AC38" i="198" s="1"/>
  <c r="AC110" i="198" s="1"/>
  <c r="Q87" i="178"/>
  <c r="Q119" i="184" s="1"/>
  <c r="Q602" i="184" s="1"/>
  <c r="AG38" i="198" s="1"/>
  <c r="O87" i="178"/>
  <c r="O119" i="184" s="1"/>
  <c r="O602" i="184" s="1"/>
  <c r="X38" i="198" s="1"/>
  <c r="X110" i="198" s="1"/>
  <c r="N87" i="178"/>
  <c r="N119" i="184" s="1"/>
  <c r="T87" i="178"/>
  <c r="L87" i="178"/>
  <c r="L119" i="184" s="1"/>
  <c r="L602" i="184" s="1"/>
  <c r="M38" i="198" s="1"/>
  <c r="S87" i="178"/>
  <c r="K87" i="178"/>
  <c r="R87" i="178"/>
  <c r="U87" i="178"/>
  <c r="M87" i="178"/>
  <c r="J102" i="178"/>
  <c r="U102" i="178"/>
  <c r="P102" i="178"/>
  <c r="P134" i="184" s="1"/>
  <c r="P586" i="184" s="1"/>
  <c r="AE35" i="198" s="1"/>
  <c r="AE107" i="198" s="1"/>
  <c r="T102" i="178"/>
  <c r="Q102" i="178"/>
  <c r="S102" i="178"/>
  <c r="R102" i="178"/>
  <c r="N102" i="178"/>
  <c r="N134" i="184" s="1"/>
  <c r="N586" i="184" s="1"/>
  <c r="U35" i="198" s="1"/>
  <c r="Q157" i="178"/>
  <c r="S157" i="178"/>
  <c r="X157" i="178"/>
  <c r="K157" i="178"/>
  <c r="W157" i="178"/>
  <c r="Y157" i="178"/>
  <c r="N157" i="178"/>
  <c r="N189" i="184" s="1"/>
  <c r="N625" i="184" s="1"/>
  <c r="V45" i="198" s="1"/>
  <c r="P157" i="178"/>
  <c r="P189" i="184" s="1"/>
  <c r="P625" i="184" s="1"/>
  <c r="AF45" i="198" s="1"/>
  <c r="U157" i="178"/>
  <c r="O157" i="178"/>
  <c r="O189" i="184" s="1"/>
  <c r="O625" i="184" s="1"/>
  <c r="AA45" i="198" s="1"/>
  <c r="T157" i="178"/>
  <c r="R157" i="178"/>
  <c r="M157" i="178"/>
  <c r="V157" i="178"/>
  <c r="L157" i="178"/>
  <c r="L189" i="184" s="1"/>
  <c r="L625" i="184" s="1"/>
  <c r="P45" i="198" s="1"/>
  <c r="J151" i="178" a="1"/>
  <c r="J153" i="178" a="1"/>
  <c r="J152" i="178" a="1"/>
  <c r="J106" i="178"/>
  <c r="O106" i="178"/>
  <c r="O138" i="184" s="1"/>
  <c r="O610" i="184" s="1"/>
  <c r="Z39" i="198" s="1"/>
  <c r="Z111" i="198" s="1"/>
  <c r="L106" i="178"/>
  <c r="L138" i="184" s="1"/>
  <c r="L610" i="184" s="1"/>
  <c r="O39" i="198" s="1"/>
  <c r="X106" i="178"/>
  <c r="Q106" i="178"/>
  <c r="V106" i="178"/>
  <c r="S106" i="178"/>
  <c r="N106" i="178"/>
  <c r="N138" i="184" s="1"/>
  <c r="N610" i="184" s="1"/>
  <c r="U39" i="198" s="1"/>
  <c r="K106" i="178"/>
  <c r="Y106" i="178"/>
  <c r="R106" i="178"/>
  <c r="P106" i="178"/>
  <c r="P138" i="184" s="1"/>
  <c r="P610" i="184" s="1"/>
  <c r="AE39" i="198" s="1"/>
  <c r="AE111" i="198" s="1"/>
  <c r="M106" i="178"/>
  <c r="W106" i="178"/>
  <c r="U106" i="178"/>
  <c r="T106" i="178"/>
  <c r="J54" i="178" a="1"/>
  <c r="L88" i="178"/>
  <c r="L120" i="184" s="1"/>
  <c r="L608" i="184" s="1"/>
  <c r="M39" i="198" s="1"/>
  <c r="J88" i="178"/>
  <c r="J120" i="184" s="1"/>
  <c r="J608" i="184" s="1"/>
  <c r="J39" i="198" s="1"/>
  <c r="N88" i="178"/>
  <c r="N120" i="184" s="1"/>
  <c r="Y88" i="178"/>
  <c r="S88" i="178"/>
  <c r="Q88" i="178"/>
  <c r="Q120" i="184" s="1"/>
  <c r="Q608" i="184" s="1"/>
  <c r="AG39" i="198" s="1"/>
  <c r="R88" i="178"/>
  <c r="P88" i="178"/>
  <c r="P120" i="184" s="1"/>
  <c r="P608" i="184" s="1"/>
  <c r="AC39" i="198" s="1"/>
  <c r="AC111" i="198" s="1"/>
  <c r="U88" i="178"/>
  <c r="W88" i="178"/>
  <c r="M88" i="178"/>
  <c r="X88" i="178"/>
  <c r="K88" i="178"/>
  <c r="V88" i="178"/>
  <c r="T88" i="178"/>
  <c r="O88" i="178"/>
  <c r="O120" i="184" s="1"/>
  <c r="O608" i="184" s="1"/>
  <c r="X39" i="198" s="1"/>
  <c r="X111" i="198" s="1"/>
  <c r="J122" i="178" a="1"/>
  <c r="J19" i="178" a="1"/>
  <c r="H90" i="180"/>
  <c r="Y25" i="185"/>
  <c r="Y225" i="185" s="1"/>
  <c r="S25" i="185"/>
  <c r="S225" i="185" s="1"/>
  <c r="J25" i="185"/>
  <c r="J225" i="185" s="1"/>
  <c r="N25" i="185"/>
  <c r="N225" i="185" s="1"/>
  <c r="P25" i="185"/>
  <c r="P225" i="185" s="1"/>
  <c r="R25" i="185"/>
  <c r="R225" i="185" s="1"/>
  <c r="V25" i="185"/>
  <c r="V225" i="185" s="1"/>
  <c r="O25" i="185"/>
  <c r="O225" i="185" s="1"/>
  <c r="X25" i="185"/>
  <c r="X225" i="185" s="1"/>
  <c r="T25" i="185"/>
  <c r="T225" i="185" s="1"/>
  <c r="U25" i="185"/>
  <c r="U225" i="185" s="1"/>
  <c r="L25" i="185"/>
  <c r="L225" i="185" s="1"/>
  <c r="W25" i="185"/>
  <c r="W225" i="185" s="1"/>
  <c r="K25" i="185"/>
  <c r="K225" i="185" s="1"/>
  <c r="M25" i="185"/>
  <c r="M225" i="185" s="1"/>
  <c r="J31" i="178" a="1"/>
  <c r="J30" i="178" a="1"/>
  <c r="J40" i="178" a="1"/>
  <c r="J92" i="178"/>
  <c r="T92" i="178"/>
  <c r="X92" i="178"/>
  <c r="L92" i="178"/>
  <c r="L124" i="184" s="1"/>
  <c r="L579" i="184" s="1"/>
  <c r="N34" i="198" s="1"/>
  <c r="P92" i="178"/>
  <c r="P124" i="184" s="1"/>
  <c r="P579" i="184" s="1"/>
  <c r="AD34" i="198" s="1"/>
  <c r="AD106" i="198" s="1"/>
  <c r="Q92" i="178"/>
  <c r="W92" i="178"/>
  <c r="N92" i="178"/>
  <c r="N124" i="184" s="1"/>
  <c r="N579" i="184" s="1"/>
  <c r="T34" i="198" s="1"/>
  <c r="O92" i="178"/>
  <c r="O124" i="184" s="1"/>
  <c r="O579" i="184" s="1"/>
  <c r="Y34" i="198" s="1"/>
  <c r="Y106" i="198" s="1"/>
  <c r="M92" i="178"/>
  <c r="V92" i="178"/>
  <c r="K92" i="178"/>
  <c r="U92" i="178"/>
  <c r="R92" i="178"/>
  <c r="Y92" i="178"/>
  <c r="S92" i="178"/>
  <c r="J76" i="178" a="1"/>
  <c r="J112" i="178" a="1"/>
  <c r="W94" i="178"/>
  <c r="L94" i="178"/>
  <c r="L126" i="184" s="1"/>
  <c r="L591" i="184" s="1"/>
  <c r="N36" i="198" s="1"/>
  <c r="O94" i="178"/>
  <c r="O126" i="184" s="1"/>
  <c r="O591" i="184" s="1"/>
  <c r="Y36" i="198" s="1"/>
  <c r="Y141" i="198" s="1"/>
  <c r="Q94" i="178"/>
  <c r="K94" i="178"/>
  <c r="V94" i="178"/>
  <c r="U94" i="178"/>
  <c r="X94" i="178"/>
  <c r="N94" i="178"/>
  <c r="N126" i="184" s="1"/>
  <c r="N591" i="184" s="1"/>
  <c r="T36" i="198" s="1"/>
  <c r="T94" i="178"/>
  <c r="M94" i="178"/>
  <c r="Y94" i="178"/>
  <c r="J29" i="178" a="1"/>
  <c r="K109" i="178"/>
  <c r="J46" i="178" a="1"/>
  <c r="J96" i="178"/>
  <c r="O96" i="178"/>
  <c r="O128" i="184" s="1"/>
  <c r="O603" i="184" s="1"/>
  <c r="Y38" i="198" s="1"/>
  <c r="Y110" i="198" s="1"/>
  <c r="N96" i="178"/>
  <c r="N128" i="184" s="1"/>
  <c r="N603" i="184" s="1"/>
  <c r="T38" i="198" s="1"/>
  <c r="U96" i="178"/>
  <c r="Q96" i="178"/>
  <c r="V96" i="178"/>
  <c r="P96" i="178"/>
  <c r="P128" i="184" s="1"/>
  <c r="P603" i="184" s="1"/>
  <c r="AD38" i="198" s="1"/>
  <c r="AD110" i="198" s="1"/>
  <c r="L96" i="178"/>
  <c r="L128" i="184" s="1"/>
  <c r="L603" i="184" s="1"/>
  <c r="N38" i="198" s="1"/>
  <c r="M96" i="178"/>
  <c r="T96" i="178"/>
  <c r="S96" i="178"/>
  <c r="K96" i="178"/>
  <c r="Y96" i="178"/>
  <c r="X96" i="178"/>
  <c r="W96" i="178"/>
  <c r="R96" i="178"/>
  <c r="J159" i="178" a="1"/>
  <c r="J121" i="178" a="1"/>
  <c r="J131" i="178" a="1"/>
  <c r="J93" i="178" a="1"/>
  <c r="J123" i="178" a="1"/>
  <c r="J18" i="178" a="1"/>
  <c r="Y26" i="185"/>
  <c r="Y226" i="185" s="1"/>
  <c r="K26" i="185"/>
  <c r="K226" i="185" s="1"/>
  <c r="S26" i="185"/>
  <c r="S226" i="185" s="1"/>
  <c r="J26" i="185"/>
  <c r="J226" i="185" s="1"/>
  <c r="V26" i="185"/>
  <c r="V226" i="185" s="1"/>
  <c r="O26" i="185"/>
  <c r="O226" i="185" s="1"/>
  <c r="X26" i="185"/>
  <c r="X226" i="185" s="1"/>
  <c r="M26" i="185"/>
  <c r="M226" i="185" s="1"/>
  <c r="P26" i="185"/>
  <c r="P226" i="185" s="1"/>
  <c r="U26" i="185"/>
  <c r="U226" i="185" s="1"/>
  <c r="N26" i="185"/>
  <c r="N226" i="185" s="1"/>
  <c r="R26" i="185"/>
  <c r="R226" i="185" s="1"/>
  <c r="L26" i="185"/>
  <c r="L226" i="185" s="1"/>
  <c r="W26" i="185"/>
  <c r="W226" i="185" s="1"/>
  <c r="T26" i="185"/>
  <c r="T226" i="185" s="1"/>
  <c r="J191" i="178" a="1"/>
  <c r="J126" i="178" a="1"/>
  <c r="H31" i="195"/>
  <c r="J183" i="178" a="1"/>
  <c r="J179" i="178" a="1"/>
  <c r="J174" i="178" a="1"/>
  <c r="K97" i="178"/>
  <c r="Y97" i="178"/>
  <c r="R97" i="178"/>
  <c r="X97" i="178"/>
  <c r="Q97" i="178"/>
  <c r="W97" i="178"/>
  <c r="P97" i="178"/>
  <c r="P129" i="184" s="1"/>
  <c r="P609" i="184" s="1"/>
  <c r="AD39" i="198" s="1"/>
  <c r="AD111" i="198" s="1"/>
  <c r="U97" i="178"/>
  <c r="S97" i="178"/>
  <c r="M97" i="178"/>
  <c r="V97" i="178"/>
  <c r="T97" i="178"/>
  <c r="O97" i="178"/>
  <c r="O129" i="184" s="1"/>
  <c r="O609" i="184" s="1"/>
  <c r="Y39" i="198" s="1"/>
  <c r="Y111" i="198" s="1"/>
  <c r="N97" i="178"/>
  <c r="N129" i="184" s="1"/>
  <c r="N609" i="184" s="1"/>
  <c r="T39" i="198" s="1"/>
  <c r="J97" i="178"/>
  <c r="L97" i="178"/>
  <c r="L129" i="184" s="1"/>
  <c r="L609" i="184" s="1"/>
  <c r="N39" i="198" s="1"/>
  <c r="J111" i="178" a="1"/>
  <c r="J36" i="178" a="1"/>
  <c r="J82" i="178" a="1"/>
  <c r="J47" i="178" a="1"/>
  <c r="J113" i="178"/>
  <c r="W113" i="178"/>
  <c r="Y113" i="178"/>
  <c r="K113" i="178"/>
  <c r="Q113" i="178"/>
  <c r="O113" i="178"/>
  <c r="O145" i="184" s="1"/>
  <c r="O599" i="184" s="1"/>
  <c r="AA37" i="198" s="1"/>
  <c r="AA109" i="198" s="1"/>
  <c r="X113" i="178"/>
  <c r="S113" i="178"/>
  <c r="V113" i="178"/>
  <c r="P113" i="178"/>
  <c r="P145" i="184" s="1"/>
  <c r="P599" i="184" s="1"/>
  <c r="AF37" i="198" s="1"/>
  <c r="AF109" i="198" s="1"/>
  <c r="N113" i="178"/>
  <c r="N145" i="184" s="1"/>
  <c r="N599" i="184" s="1"/>
  <c r="V37" i="198" s="1"/>
  <c r="U113" i="178"/>
  <c r="M113" i="178"/>
  <c r="L113" i="178"/>
  <c r="L145" i="184" s="1"/>
  <c r="L599" i="184" s="1"/>
  <c r="P37" i="198" s="1"/>
  <c r="T113" i="178"/>
  <c r="R113" i="178"/>
  <c r="J114" i="178"/>
  <c r="M114" i="178"/>
  <c r="X114" i="178"/>
  <c r="R114" i="178"/>
  <c r="Y114" i="178"/>
  <c r="U114" i="178"/>
  <c r="P114" i="178"/>
  <c r="P146" i="184" s="1"/>
  <c r="P605" i="184" s="1"/>
  <c r="AF38" i="198" s="1"/>
  <c r="AF110" i="198" s="1"/>
  <c r="W114" i="178"/>
  <c r="N114" i="178"/>
  <c r="N146" i="184" s="1"/>
  <c r="N605" i="184" s="1"/>
  <c r="V38" i="198" s="1"/>
  <c r="O114" i="178"/>
  <c r="O146" i="184" s="1"/>
  <c r="O605" i="184" s="1"/>
  <c r="AA38" i="198" s="1"/>
  <c r="AA110" i="198" s="1"/>
  <c r="T114" i="178"/>
  <c r="S114" i="178"/>
  <c r="Q114" i="178"/>
  <c r="V114" i="178"/>
  <c r="L114" i="178"/>
  <c r="L146" i="184" s="1"/>
  <c r="L605" i="184" s="1"/>
  <c r="P38" i="198" s="1"/>
  <c r="K114" i="178"/>
  <c r="J28" i="178" a="1"/>
  <c r="J138" i="178" a="1"/>
  <c r="J173" i="178"/>
  <c r="M173" i="178"/>
  <c r="M666" i="184" s="1"/>
  <c r="L173" i="178"/>
  <c r="L666" i="184" s="1"/>
  <c r="K173" i="178"/>
  <c r="K666" i="184" s="1"/>
  <c r="N173" i="178"/>
  <c r="N666" i="184" s="1"/>
  <c r="Q55" i="178"/>
  <c r="L55" i="178"/>
  <c r="L87" i="184" s="1"/>
  <c r="P55" i="178"/>
  <c r="P87" i="184" s="1"/>
  <c r="L77" i="178"/>
  <c r="L109" i="184" s="1"/>
  <c r="L595" i="184" s="1"/>
  <c r="L37" i="198" s="1"/>
  <c r="J77" i="178"/>
  <c r="U77" i="178"/>
  <c r="Y77" i="178"/>
  <c r="M77" i="178"/>
  <c r="M109" i="184" s="1"/>
  <c r="M595" i="184" s="1"/>
  <c r="Q37" i="198" s="1"/>
  <c r="Q77" i="178"/>
  <c r="T77" i="178"/>
  <c r="T109" i="184" s="1"/>
  <c r="X77" i="178"/>
  <c r="P77" i="178"/>
  <c r="P109" i="184" s="1"/>
  <c r="P595" i="184" s="1"/>
  <c r="AB37" i="198" s="1"/>
  <c r="AB109" i="198" s="1"/>
  <c r="V77" i="178"/>
  <c r="O77" i="178"/>
  <c r="O109" i="184" s="1"/>
  <c r="O595" i="184" s="1"/>
  <c r="W37" i="198" s="1"/>
  <c r="W109" i="198" s="1"/>
  <c r="S77" i="178"/>
  <c r="K77" i="178"/>
  <c r="K109" i="184" s="1"/>
  <c r="K595" i="184" s="1"/>
  <c r="K37" i="198" s="1"/>
  <c r="R77" i="178"/>
  <c r="R109" i="184" s="1"/>
  <c r="N77" i="178"/>
  <c r="N109" i="184" s="1"/>
  <c r="N595" i="184" s="1"/>
  <c r="R37" i="198" s="1"/>
  <c r="W77" i="178"/>
  <c r="J26" i="178" a="1"/>
  <c r="H83" i="180"/>
  <c r="V34" i="184"/>
  <c r="R34" i="184"/>
  <c r="Q34" i="184"/>
  <c r="L34" i="184"/>
  <c r="P34" i="184"/>
  <c r="Y34" i="184"/>
  <c r="T34" i="184"/>
  <c r="X34" i="184"/>
  <c r="M34" i="184"/>
  <c r="O34" i="184"/>
  <c r="K34" i="184"/>
  <c r="U34" i="184"/>
  <c r="N34" i="184"/>
  <c r="W34" i="184"/>
  <c r="J34" i="184"/>
  <c r="S34" i="184"/>
  <c r="J120" i="178" a="1"/>
  <c r="J164" i="178" a="1"/>
  <c r="Y164" i="178" s="1"/>
  <c r="Y23" i="195" s="1"/>
  <c r="Y59" i="195" s="1"/>
  <c r="J135" i="178" a="1"/>
  <c r="J177" i="178" a="1"/>
  <c r="J172" i="178" a="1"/>
  <c r="T56" i="178"/>
  <c r="L79" i="178"/>
  <c r="L111" i="184" s="1"/>
  <c r="L607" i="184" s="1"/>
  <c r="L39" i="198" s="1"/>
  <c r="R79" i="178"/>
  <c r="R111" i="184" s="1"/>
  <c r="M79" i="178"/>
  <c r="M111" i="184" s="1"/>
  <c r="M607" i="184" s="1"/>
  <c r="Q39" i="198" s="1"/>
  <c r="X79" i="178"/>
  <c r="J84" i="178" a="1"/>
  <c r="J73" i="178" a="1"/>
  <c r="J101" i="178" a="1"/>
  <c r="J57" i="178" a="1"/>
  <c r="J50" i="178" a="1"/>
  <c r="J140" i="178" a="1"/>
  <c r="J162" i="178" a="1"/>
  <c r="J143" i="178" a="1"/>
  <c r="J150" i="178" a="1"/>
  <c r="J139" i="178" a="1"/>
  <c r="X209" i="185"/>
  <c r="O209" i="185"/>
  <c r="Y209" i="185"/>
  <c r="T209" i="185"/>
  <c r="N209" i="185"/>
  <c r="L209" i="185"/>
  <c r="U209" i="185"/>
  <c r="K209" i="185"/>
  <c r="V209" i="185"/>
  <c r="J209" i="185"/>
  <c r="W209" i="185"/>
  <c r="P209" i="185"/>
  <c r="H156" i="185"/>
  <c r="Q209" i="185" s="1"/>
  <c r="M209" i="185"/>
  <c r="S209" i="185"/>
  <c r="R209" i="185"/>
  <c r="N31" i="188"/>
  <c r="H48" i="186"/>
  <c r="N53" i="183"/>
  <c r="N55" i="183"/>
  <c r="N59" i="183"/>
  <c r="N57" i="183"/>
  <c r="N54" i="183"/>
  <c r="N51" i="183"/>
  <c r="N66" i="183"/>
  <c r="N65" i="183"/>
  <c r="N61" i="183"/>
  <c r="N62" i="183"/>
  <c r="N58" i="183"/>
  <c r="N63" i="183"/>
  <c r="N60" i="183"/>
  <c r="N52" i="183"/>
  <c r="N56" i="183"/>
  <c r="N64" i="183"/>
  <c r="H119" i="185"/>
  <c r="M57" i="179"/>
  <c r="R183" i="185"/>
  <c r="Y183" i="185"/>
  <c r="N183" i="185"/>
  <c r="X183" i="185"/>
  <c r="S183" i="185"/>
  <c r="K183" i="185"/>
  <c r="V183" i="185"/>
  <c r="J183" i="185"/>
  <c r="T183" i="185"/>
  <c r="U183" i="185"/>
  <c r="P183" i="185"/>
  <c r="W183" i="185"/>
  <c r="M183" i="185"/>
  <c r="L183" i="185"/>
  <c r="O183" i="185"/>
  <c r="H108" i="185"/>
  <c r="Q179" i="185" s="1"/>
  <c r="K179" i="185"/>
  <c r="S179" i="185"/>
  <c r="J179" i="185"/>
  <c r="U179" i="185"/>
  <c r="P179" i="185"/>
  <c r="T179" i="185"/>
  <c r="Y179" i="185"/>
  <c r="L179" i="185"/>
  <c r="N179" i="185"/>
  <c r="R179" i="185"/>
  <c r="W179" i="185"/>
  <c r="M179" i="185"/>
  <c r="O179" i="185"/>
  <c r="V179" i="185"/>
  <c r="X179" i="185"/>
  <c r="H172" i="185"/>
  <c r="Q219" i="185" s="1"/>
  <c r="X219" i="185"/>
  <c r="O219" i="185"/>
  <c r="S219" i="185"/>
  <c r="W219" i="185"/>
  <c r="Y219" i="185"/>
  <c r="N219" i="185"/>
  <c r="L219" i="185"/>
  <c r="P219" i="185"/>
  <c r="J219" i="185"/>
  <c r="K219" i="185"/>
  <c r="U219" i="185"/>
  <c r="R219" i="185"/>
  <c r="T219" i="185"/>
  <c r="M219" i="185"/>
  <c r="V219" i="185"/>
  <c r="H164" i="185"/>
  <c r="Q214" i="185" s="1"/>
  <c r="V214" i="185"/>
  <c r="R214" i="185"/>
  <c r="T214" i="185"/>
  <c r="J214" i="185"/>
  <c r="P214" i="185"/>
  <c r="W214" i="185"/>
  <c r="S214" i="185"/>
  <c r="U214" i="185"/>
  <c r="X214" i="185"/>
  <c r="K214" i="185"/>
  <c r="M214" i="185"/>
  <c r="O214" i="185"/>
  <c r="L214" i="185"/>
  <c r="Y214" i="185"/>
  <c r="N214" i="185"/>
  <c r="O29" i="182"/>
  <c r="P28" i="182"/>
  <c r="P29" i="182" s="1"/>
  <c r="O57" i="183"/>
  <c r="O53" i="183"/>
  <c r="O55" i="183"/>
  <c r="O52" i="183"/>
  <c r="O58" i="183"/>
  <c r="O56" i="183"/>
  <c r="O61" i="183"/>
  <c r="O63" i="183"/>
  <c r="O54" i="183"/>
  <c r="O64" i="183"/>
  <c r="O51" i="183"/>
  <c r="O62" i="183"/>
  <c r="O59" i="183"/>
  <c r="O66" i="183"/>
  <c r="O60" i="183"/>
  <c r="O65" i="183"/>
  <c r="H127" i="185"/>
  <c r="N56" i="179"/>
  <c r="R188" i="185"/>
  <c r="W188" i="185"/>
  <c r="V188" i="185"/>
  <c r="L188" i="185"/>
  <c r="X188" i="185"/>
  <c r="M188" i="185"/>
  <c r="S188" i="185"/>
  <c r="O188" i="185"/>
  <c r="T188" i="185"/>
  <c r="J188" i="185"/>
  <c r="P188" i="185"/>
  <c r="U188" i="185"/>
  <c r="K188" i="185"/>
  <c r="Y188" i="185"/>
  <c r="N188" i="185"/>
  <c r="L184" i="185"/>
  <c r="K184" i="185"/>
  <c r="T184" i="185"/>
  <c r="H116" i="185"/>
  <c r="Q184" i="185" s="1"/>
  <c r="V184" i="185"/>
  <c r="U184" i="185"/>
  <c r="M184" i="185"/>
  <c r="J184" i="185"/>
  <c r="O184" i="185"/>
  <c r="S184" i="185"/>
  <c r="Y184" i="185"/>
  <c r="R184" i="185"/>
  <c r="N184" i="185"/>
  <c r="W184" i="185"/>
  <c r="X184" i="185"/>
  <c r="P184" i="185"/>
  <c r="M31" i="188"/>
  <c r="H47" i="186"/>
  <c r="U178" i="185"/>
  <c r="T178" i="185"/>
  <c r="R178" i="185"/>
  <c r="Y178" i="185"/>
  <c r="N178" i="185"/>
  <c r="S178" i="185"/>
  <c r="W178" i="185"/>
  <c r="J178" i="185"/>
  <c r="V178" i="185"/>
  <c r="M178" i="185"/>
  <c r="K178" i="185"/>
  <c r="X178" i="185"/>
  <c r="L178" i="185"/>
  <c r="P178" i="185"/>
  <c r="O178" i="185"/>
  <c r="K19" i="182"/>
  <c r="H50" i="179" a="1"/>
  <c r="H50" i="179" s="1"/>
  <c r="Q31" i="188"/>
  <c r="H51" i="186"/>
  <c r="Q135" i="182"/>
  <c r="Q136" i="182"/>
  <c r="Q134" i="182"/>
  <c r="Q129" i="182"/>
  <c r="Q132" i="182"/>
  <c r="Q138" i="182"/>
  <c r="Q127" i="182"/>
  <c r="Q126" i="182"/>
  <c r="Q137" i="182"/>
  <c r="Q140" i="182"/>
  <c r="Q133" i="182"/>
  <c r="Q131" i="182"/>
  <c r="Q139" i="182"/>
  <c r="Q128" i="182"/>
  <c r="Q130" i="182"/>
  <c r="Q141" i="182"/>
  <c r="P53" i="183"/>
  <c r="P57" i="183"/>
  <c r="P59" i="183"/>
  <c r="P61" i="183"/>
  <c r="P63" i="183"/>
  <c r="P56" i="183"/>
  <c r="P51" i="183"/>
  <c r="P62" i="183"/>
  <c r="P60" i="183"/>
  <c r="P66" i="183"/>
  <c r="P55" i="183"/>
  <c r="P52" i="183"/>
  <c r="P65" i="183"/>
  <c r="P64" i="183"/>
  <c r="P58" i="183"/>
  <c r="P54" i="183"/>
  <c r="O56" i="179"/>
  <c r="H135" i="185"/>
  <c r="J193" i="185"/>
  <c r="S193" i="185"/>
  <c r="Y193" i="185"/>
  <c r="N193" i="185"/>
  <c r="W193" i="185"/>
  <c r="L193" i="185"/>
  <c r="M193" i="185"/>
  <c r="T193" i="185"/>
  <c r="X193" i="185"/>
  <c r="K193" i="185"/>
  <c r="U193" i="185"/>
  <c r="R193" i="185"/>
  <c r="P193" i="185"/>
  <c r="O193" i="185"/>
  <c r="V193" i="185"/>
  <c r="X189" i="185"/>
  <c r="M189" i="185"/>
  <c r="R189" i="185"/>
  <c r="L189" i="185"/>
  <c r="T189" i="185"/>
  <c r="H124" i="185"/>
  <c r="Q189" i="185" s="1"/>
  <c r="O189" i="185"/>
  <c r="U189" i="185"/>
  <c r="S189" i="185"/>
  <c r="Y189" i="185"/>
  <c r="N189" i="185"/>
  <c r="J189" i="185"/>
  <c r="K189" i="185"/>
  <c r="V189" i="185"/>
  <c r="P189" i="185"/>
  <c r="W189" i="185"/>
  <c r="H46" i="186"/>
  <c r="L31" i="188"/>
  <c r="K56" i="179"/>
  <c r="H103" i="185"/>
  <c r="S56" i="179"/>
  <c r="H168" i="185"/>
  <c r="H171" i="185" s="1"/>
  <c r="Q218" i="185" s="1"/>
  <c r="H52" i="186"/>
  <c r="R134" i="182"/>
  <c r="R141" i="182"/>
  <c r="R136" i="182"/>
  <c r="R31" i="188"/>
  <c r="R135" i="182"/>
  <c r="R138" i="182"/>
  <c r="R126" i="182"/>
  <c r="R140" i="182"/>
  <c r="R127" i="182"/>
  <c r="R139" i="182"/>
  <c r="R129" i="182"/>
  <c r="R133" i="182"/>
  <c r="R130" i="182"/>
  <c r="R132" i="182"/>
  <c r="R128" i="182"/>
  <c r="R131" i="182"/>
  <c r="R137" i="182"/>
  <c r="Q53" i="183"/>
  <c r="Q57" i="183"/>
  <c r="Q59" i="183"/>
  <c r="Q61" i="183"/>
  <c r="Q51" i="183"/>
  <c r="Q55" i="183"/>
  <c r="Q62" i="183"/>
  <c r="Q64" i="183"/>
  <c r="Q65" i="183"/>
  <c r="Q60" i="183"/>
  <c r="Q58" i="183"/>
  <c r="Q63" i="183"/>
  <c r="Q52" i="183"/>
  <c r="Q56" i="183"/>
  <c r="Q66" i="183"/>
  <c r="Q54" i="183"/>
  <c r="P57" i="179"/>
  <c r="H143" i="185"/>
  <c r="L198" i="185"/>
  <c r="R198" i="185"/>
  <c r="K198" i="185"/>
  <c r="U198" i="185"/>
  <c r="V198" i="185"/>
  <c r="X198" i="185"/>
  <c r="T198" i="185"/>
  <c r="J198" i="185"/>
  <c r="S198" i="185"/>
  <c r="O198" i="185"/>
  <c r="W198" i="185"/>
  <c r="Y198" i="185"/>
  <c r="P198" i="185"/>
  <c r="N198" i="185"/>
  <c r="M198" i="185"/>
  <c r="R194" i="185"/>
  <c r="M194" i="185"/>
  <c r="S194" i="185"/>
  <c r="Y194" i="185"/>
  <c r="N194" i="185"/>
  <c r="H132" i="185"/>
  <c r="Q194" i="185" s="1"/>
  <c r="T194" i="185"/>
  <c r="K194" i="185"/>
  <c r="J194" i="185"/>
  <c r="V194" i="185"/>
  <c r="P194" i="185"/>
  <c r="U194" i="185"/>
  <c r="L194" i="185"/>
  <c r="X194" i="185"/>
  <c r="O194" i="185"/>
  <c r="W194" i="185"/>
  <c r="L59" i="183"/>
  <c r="L60" i="183"/>
  <c r="L66" i="183"/>
  <c r="L56" i="183"/>
  <c r="L64" i="183"/>
  <c r="L52" i="183"/>
  <c r="L58" i="183"/>
  <c r="L51" i="183"/>
  <c r="L65" i="183"/>
  <c r="L54" i="183"/>
  <c r="L63" i="183"/>
  <c r="L61" i="183"/>
  <c r="L57" i="183"/>
  <c r="L53" i="183"/>
  <c r="L55" i="183"/>
  <c r="L62" i="183"/>
  <c r="U213" i="185"/>
  <c r="J213" i="185"/>
  <c r="K213" i="185"/>
  <c r="V213" i="185"/>
  <c r="W213" i="185"/>
  <c r="L213" i="185"/>
  <c r="M213" i="185"/>
  <c r="T213" i="185"/>
  <c r="X213" i="185"/>
  <c r="O213" i="185"/>
  <c r="R213" i="185"/>
  <c r="Y213" i="185"/>
  <c r="N213" i="185"/>
  <c r="P213" i="185"/>
  <c r="S213" i="185"/>
  <c r="M55" i="183"/>
  <c r="M66" i="183"/>
  <c r="M57" i="183"/>
  <c r="M59" i="183"/>
  <c r="M61" i="183"/>
  <c r="M63" i="183"/>
  <c r="M51" i="183"/>
  <c r="M53" i="183"/>
  <c r="M65" i="183"/>
  <c r="M64" i="183"/>
  <c r="M58" i="183"/>
  <c r="M54" i="183"/>
  <c r="M56" i="183"/>
  <c r="M60" i="183"/>
  <c r="M62" i="183"/>
  <c r="M52" i="183"/>
  <c r="H111" i="185"/>
  <c r="L57" i="179"/>
  <c r="S136" i="182"/>
  <c r="S133" i="182"/>
  <c r="S140" i="182"/>
  <c r="S31" i="188"/>
  <c r="H53" i="186"/>
  <c r="S127" i="182"/>
  <c r="S139" i="182"/>
  <c r="S131" i="182"/>
  <c r="S137" i="182"/>
  <c r="S128" i="182"/>
  <c r="S129" i="182"/>
  <c r="S135" i="182"/>
  <c r="S132" i="182"/>
  <c r="S138" i="182"/>
  <c r="S126" i="182"/>
  <c r="S134" i="182"/>
  <c r="S141" i="182"/>
  <c r="S130" i="182"/>
  <c r="R53" i="183"/>
  <c r="R57" i="183"/>
  <c r="R62" i="183"/>
  <c r="R59" i="183"/>
  <c r="R61" i="183"/>
  <c r="R55" i="183"/>
  <c r="R60" i="183"/>
  <c r="R63" i="183"/>
  <c r="R52" i="183"/>
  <c r="R65" i="183"/>
  <c r="R56" i="183"/>
  <c r="R54" i="183"/>
  <c r="R66" i="183"/>
  <c r="R64" i="183"/>
  <c r="R51" i="183"/>
  <c r="R58" i="183"/>
  <c r="Q56" i="179"/>
  <c r="H151" i="185"/>
  <c r="X203" i="185"/>
  <c r="P203" i="185"/>
  <c r="M203" i="185"/>
  <c r="R203" i="185"/>
  <c r="L203" i="185"/>
  <c r="T203" i="185"/>
  <c r="S203" i="185"/>
  <c r="Y203" i="185"/>
  <c r="N203" i="185"/>
  <c r="J203" i="185"/>
  <c r="K203" i="185"/>
  <c r="W203" i="185"/>
  <c r="O203" i="185"/>
  <c r="V203" i="185"/>
  <c r="U203" i="185"/>
  <c r="M199" i="185"/>
  <c r="T199" i="185"/>
  <c r="K199" i="185"/>
  <c r="X199" i="185"/>
  <c r="V199" i="185"/>
  <c r="O199" i="185"/>
  <c r="P199" i="185"/>
  <c r="Y199" i="185"/>
  <c r="H140" i="185"/>
  <c r="Q199" i="185" s="1"/>
  <c r="N199" i="185"/>
  <c r="J199" i="185"/>
  <c r="W199" i="185"/>
  <c r="U199" i="185"/>
  <c r="L199" i="185"/>
  <c r="S199" i="185"/>
  <c r="R199" i="185"/>
  <c r="L217" i="185"/>
  <c r="J217" i="185"/>
  <c r="W217" i="185"/>
  <c r="X217" i="185"/>
  <c r="S217" i="185"/>
  <c r="Y217" i="185"/>
  <c r="N217" i="185"/>
  <c r="M217" i="185"/>
  <c r="O217" i="185"/>
  <c r="P217" i="185"/>
  <c r="K217" i="185"/>
  <c r="R217" i="185"/>
  <c r="U217" i="185"/>
  <c r="V217" i="185"/>
  <c r="T217" i="185"/>
  <c r="H22" i="193" a="1"/>
  <c r="S61" i="183"/>
  <c r="S55" i="183"/>
  <c r="S57" i="183"/>
  <c r="S52" i="183"/>
  <c r="S59" i="183"/>
  <c r="S58" i="183"/>
  <c r="S56" i="183"/>
  <c r="S64" i="183"/>
  <c r="S62" i="183"/>
  <c r="S54" i="183"/>
  <c r="S65" i="183"/>
  <c r="S66" i="183"/>
  <c r="S51" i="183"/>
  <c r="S63" i="183"/>
  <c r="S60" i="183"/>
  <c r="S53" i="183"/>
  <c r="H52" i="179"/>
  <c r="K27" i="182"/>
  <c r="H159" i="185"/>
  <c r="R56" i="179"/>
  <c r="R208" i="185"/>
  <c r="L208" i="185"/>
  <c r="S208" i="185"/>
  <c r="Y208" i="185"/>
  <c r="X208" i="185"/>
  <c r="N208" i="185"/>
  <c r="M208" i="185"/>
  <c r="K208" i="185"/>
  <c r="V208" i="185"/>
  <c r="O208" i="185"/>
  <c r="J208" i="185"/>
  <c r="P208" i="185"/>
  <c r="U208" i="185"/>
  <c r="W208" i="185"/>
  <c r="T208" i="185"/>
  <c r="H148" i="185"/>
  <c r="Q204" i="185" s="1"/>
  <c r="T204" i="185"/>
  <c r="M204" i="185"/>
  <c r="S204" i="185"/>
  <c r="Y204" i="185"/>
  <c r="N204" i="185"/>
  <c r="U204" i="185"/>
  <c r="J204" i="185"/>
  <c r="O204" i="185"/>
  <c r="X204" i="185"/>
  <c r="P204" i="185"/>
  <c r="W204" i="185"/>
  <c r="L204" i="185"/>
  <c r="R204" i="185"/>
  <c r="V204" i="185"/>
  <c r="K204" i="185"/>
  <c r="H37" i="182"/>
  <c r="H39" i="181"/>
  <c r="P46" i="188"/>
  <c r="AK199" i="196"/>
  <c r="AJ199" i="196"/>
  <c r="L199" i="196"/>
  <c r="AN199" i="196"/>
  <c r="Q199" i="196"/>
  <c r="AH199" i="196"/>
  <c r="AG199" i="196"/>
  <c r="W199" i="196"/>
  <c r="AO199" i="196"/>
  <c r="AB199" i="196"/>
  <c r="R199" i="196"/>
  <c r="AL199" i="196"/>
  <c r="AI199" i="196"/>
  <c r="K199" i="196"/>
  <c r="AM199" i="196"/>
  <c r="AI109" i="198"/>
  <c r="AL109" i="198"/>
  <c r="AL110" i="198"/>
  <c r="AN109" i="198"/>
  <c r="AL108" i="198"/>
  <c r="AM109" i="198"/>
  <c r="AI110" i="198"/>
  <c r="AK110" i="198"/>
  <c r="AM110" i="198"/>
  <c r="AO110" i="198"/>
  <c r="AN110" i="198"/>
  <c r="AO108" i="198"/>
  <c r="AO109" i="198"/>
  <c r="AM108" i="198"/>
  <c r="AK109" i="198"/>
  <c r="AI108" i="198"/>
  <c r="AK108" i="198"/>
  <c r="AN108" i="198"/>
  <c r="H2138" i="97" a="1"/>
  <c r="H2138" i="97" s="1"/>
  <c r="H2140" i="97" s="1"/>
  <c r="H119" i="98" a="1"/>
  <c r="H119" i="98" s="1"/>
  <c r="H190" i="100" a="1"/>
  <c r="H190" i="100" s="1"/>
  <c r="H218" i="100" s="1"/>
  <c r="J36" i="55" s="1"/>
  <c r="V35" i="178" l="1"/>
  <c r="V109" i="178"/>
  <c r="T124" i="178"/>
  <c r="T156" i="184" s="1"/>
  <c r="S109" i="178"/>
  <c r="O91" i="178"/>
  <c r="O123" i="184" s="1"/>
  <c r="O573" i="184" s="1"/>
  <c r="Y33" i="198" s="1"/>
  <c r="Y105" i="198" s="1"/>
  <c r="Y91" i="178"/>
  <c r="L156" i="178"/>
  <c r="L188" i="184" s="1"/>
  <c r="L619" i="184" s="1"/>
  <c r="P44" i="198" s="1"/>
  <c r="N142" i="178"/>
  <c r="N174" i="184" s="1"/>
  <c r="N641" i="184" s="1"/>
  <c r="T48" i="198" s="1"/>
  <c r="U142" i="178"/>
  <c r="V142" i="178"/>
  <c r="J124" i="178"/>
  <c r="Q109" i="178"/>
  <c r="W109" i="178"/>
  <c r="Y109" i="178"/>
  <c r="O102" i="178"/>
  <c r="O134" i="184" s="1"/>
  <c r="O586" i="184" s="1"/>
  <c r="Z35" i="198" s="1"/>
  <c r="Z107" i="198" s="1"/>
  <c r="W102" i="178"/>
  <c r="M102" i="178"/>
  <c r="Y102" i="178"/>
  <c r="K102" i="178"/>
  <c r="V102" i="178"/>
  <c r="L102" i="178"/>
  <c r="L134" i="184" s="1"/>
  <c r="L586" i="184" s="1"/>
  <c r="O35" i="198" s="1"/>
  <c r="P94" i="178"/>
  <c r="P126" i="184" s="1"/>
  <c r="P591" i="184" s="1"/>
  <c r="AD36" i="198" s="1"/>
  <c r="AD141" i="198" s="1"/>
  <c r="R94" i="178"/>
  <c r="S94" i="178"/>
  <c r="N91" i="178"/>
  <c r="N123" i="184" s="1"/>
  <c r="N573" i="184" s="1"/>
  <c r="T33" i="198" s="1"/>
  <c r="V91" i="178"/>
  <c r="X91" i="178"/>
  <c r="J91" i="178"/>
  <c r="T91" i="178"/>
  <c r="R91" i="178"/>
  <c r="L68" i="178"/>
  <c r="L100" i="184" s="1"/>
  <c r="L567" i="184" s="1"/>
  <c r="P28" i="198" s="1"/>
  <c r="W66" i="178"/>
  <c r="S56" i="178"/>
  <c r="Y35" i="178"/>
  <c r="T103" i="178"/>
  <c r="U109" i="178"/>
  <c r="L109" i="178"/>
  <c r="L141" i="184" s="1"/>
  <c r="L575" i="184" s="1"/>
  <c r="P33" i="198" s="1"/>
  <c r="U41" i="178"/>
  <c r="O110" i="178"/>
  <c r="O142" i="184" s="1"/>
  <c r="O581" i="184" s="1"/>
  <c r="AA34" i="198" s="1"/>
  <c r="AA106" i="198" s="1"/>
  <c r="V66" i="178"/>
  <c r="W103" i="178"/>
  <c r="T68" i="178"/>
  <c r="M161" i="178"/>
  <c r="R68" i="178"/>
  <c r="Q37" i="178"/>
  <c r="Q69" i="184" s="1"/>
  <c r="Q201" i="184" s="1"/>
  <c r="Q253" i="184" s="1"/>
  <c r="S68" i="178"/>
  <c r="O103" i="178"/>
  <c r="O135" i="184" s="1"/>
  <c r="O592" i="184" s="1"/>
  <c r="Z36" i="198" s="1"/>
  <c r="Z141" i="198" s="1"/>
  <c r="S103" i="178"/>
  <c r="X68" i="178"/>
  <c r="N68" i="178"/>
  <c r="N100" i="184" s="1"/>
  <c r="N567" i="184" s="1"/>
  <c r="V28" i="198" s="1"/>
  <c r="O68" i="178"/>
  <c r="O100" i="184" s="1"/>
  <c r="O567" i="184" s="1"/>
  <c r="AA28" i="198" s="1"/>
  <c r="P68" i="178"/>
  <c r="P100" i="184" s="1"/>
  <c r="P567" i="184" s="1"/>
  <c r="AF28" i="198" s="1"/>
  <c r="Q58" i="178"/>
  <c r="M103" i="178"/>
  <c r="N103" i="178"/>
  <c r="N135" i="184" s="1"/>
  <c r="N592" i="184" s="1"/>
  <c r="U36" i="198" s="1"/>
  <c r="M68" i="178"/>
  <c r="K68" i="178"/>
  <c r="V68" i="178"/>
  <c r="J68" i="178"/>
  <c r="R66" i="178"/>
  <c r="O58" i="178"/>
  <c r="O90" i="184" s="1"/>
  <c r="P103" i="178"/>
  <c r="P135" i="184" s="1"/>
  <c r="P592" i="184" s="1"/>
  <c r="AE36" i="198" s="1"/>
  <c r="AE141" i="198" s="1"/>
  <c r="Q103" i="178"/>
  <c r="W161" i="178"/>
  <c r="U68" i="178"/>
  <c r="Q68" i="178"/>
  <c r="Y68" i="178"/>
  <c r="P66" i="178"/>
  <c r="P98" i="184" s="1"/>
  <c r="P555" i="184" s="1"/>
  <c r="AF26" i="198" s="1"/>
  <c r="H57" i="179"/>
  <c r="W164" i="178"/>
  <c r="W23" i="195" s="1"/>
  <c r="W59" i="195" s="1"/>
  <c r="V160" i="178"/>
  <c r="Y142" i="178"/>
  <c r="M142" i="178"/>
  <c r="R142" i="178"/>
  <c r="Y129" i="178"/>
  <c r="Q129" i="178"/>
  <c r="Q161" i="184" s="1"/>
  <c r="Q217" i="184" s="1"/>
  <c r="Q233" i="184" s="1"/>
  <c r="R129" i="178"/>
  <c r="J129" i="178"/>
  <c r="J161" i="184" s="1"/>
  <c r="J616" i="184" s="1"/>
  <c r="J44" i="198" s="1"/>
  <c r="M129" i="178"/>
  <c r="L129" i="178"/>
  <c r="L161" i="184" s="1"/>
  <c r="L616" i="184" s="1"/>
  <c r="M44" i="198" s="1"/>
  <c r="K129" i="178"/>
  <c r="X129" i="178"/>
  <c r="P109" i="178"/>
  <c r="P141" i="184" s="1"/>
  <c r="P575" i="184" s="1"/>
  <c r="AF33" i="198" s="1"/>
  <c r="AF105" i="198" s="1"/>
  <c r="X109" i="178"/>
  <c r="J109" i="178"/>
  <c r="O109" i="178"/>
  <c r="O141" i="184" s="1"/>
  <c r="O575" i="184" s="1"/>
  <c r="AA33" i="198" s="1"/>
  <c r="AA105" i="198" s="1"/>
  <c r="T109" i="178"/>
  <c r="M109" i="178"/>
  <c r="R109" i="178"/>
  <c r="X103" i="178"/>
  <c r="R103" i="178"/>
  <c r="K103" i="178"/>
  <c r="J103" i="178"/>
  <c r="V103" i="178"/>
  <c r="L103" i="178"/>
  <c r="L135" i="184" s="1"/>
  <c r="L592" i="184" s="1"/>
  <c r="O36" i="198" s="1"/>
  <c r="U103" i="178"/>
  <c r="O79" i="178"/>
  <c r="O111" i="184" s="1"/>
  <c r="O607" i="184" s="1"/>
  <c r="W39" i="198" s="1"/>
  <c r="W111" i="198" s="1"/>
  <c r="S79" i="178"/>
  <c r="P79" i="178"/>
  <c r="P111" i="184" s="1"/>
  <c r="P607" i="184" s="1"/>
  <c r="AB39" i="198" s="1"/>
  <c r="AB111" i="198" s="1"/>
  <c r="Y79" i="178"/>
  <c r="V79" i="178"/>
  <c r="T79" i="178"/>
  <c r="T111" i="184" s="1"/>
  <c r="T341" i="184" s="1"/>
  <c r="U79" i="178"/>
  <c r="N79" i="178"/>
  <c r="N111" i="184" s="1"/>
  <c r="N607" i="184" s="1"/>
  <c r="R39" i="198" s="1"/>
  <c r="K79" i="178"/>
  <c r="K111" i="184" s="1"/>
  <c r="K607" i="184" s="1"/>
  <c r="K39" i="198" s="1"/>
  <c r="W79" i="178"/>
  <c r="Q79" i="178"/>
  <c r="Q66" i="178"/>
  <c r="T66" i="178"/>
  <c r="M66" i="178"/>
  <c r="K66" i="178"/>
  <c r="U66" i="178"/>
  <c r="L66" i="178"/>
  <c r="L98" i="184" s="1"/>
  <c r="X66" i="178"/>
  <c r="Y66" i="178"/>
  <c r="O66" i="178"/>
  <c r="O98" i="184" s="1"/>
  <c r="O555" i="184" s="1"/>
  <c r="AA26" i="198" s="1"/>
  <c r="J66" i="178"/>
  <c r="S66" i="178"/>
  <c r="N55" i="178"/>
  <c r="N87" i="184" s="1"/>
  <c r="N542" i="184" s="1"/>
  <c r="U24" i="198" s="1"/>
  <c r="O55" i="178"/>
  <c r="O87" i="184" s="1"/>
  <c r="O542" i="184" s="1"/>
  <c r="Z24" i="198" s="1"/>
  <c r="S55" i="178"/>
  <c r="R41" i="178"/>
  <c r="L41" i="178"/>
  <c r="L73" i="184" s="1"/>
  <c r="L564" i="184" s="1"/>
  <c r="M28" i="198" s="1"/>
  <c r="X41" i="178"/>
  <c r="K41" i="178"/>
  <c r="Y41" i="178"/>
  <c r="W41" i="178"/>
  <c r="O41" i="178"/>
  <c r="O73" i="184" s="1"/>
  <c r="O564" i="184" s="1"/>
  <c r="X28" i="198" s="1"/>
  <c r="S41" i="178"/>
  <c r="V41" i="178"/>
  <c r="Q41" i="178"/>
  <c r="Q73" i="184" s="1"/>
  <c r="Q564" i="184" s="1"/>
  <c r="AG28" i="198" s="1"/>
  <c r="T41" i="178"/>
  <c r="K37" i="178"/>
  <c r="L37" i="178"/>
  <c r="L69" i="184" s="1"/>
  <c r="L540" i="184" s="1"/>
  <c r="M24" i="198" s="1"/>
  <c r="M37" i="178"/>
  <c r="Y58" i="178"/>
  <c r="K161" i="178"/>
  <c r="N48" i="178"/>
  <c r="N80" i="184" s="1"/>
  <c r="N553" i="184" s="1"/>
  <c r="T26" i="198" s="1"/>
  <c r="V48" i="178"/>
  <c r="W110" i="178"/>
  <c r="U37" i="178"/>
  <c r="W37" i="178"/>
  <c r="Y49" i="178"/>
  <c r="J161" i="178"/>
  <c r="S48" i="178"/>
  <c r="T48" i="178"/>
  <c r="T37" i="178"/>
  <c r="N37" i="178"/>
  <c r="N69" i="184" s="1"/>
  <c r="N540" i="184" s="1"/>
  <c r="S24" i="198" s="1"/>
  <c r="W49" i="178"/>
  <c r="Q48" i="178"/>
  <c r="W48" i="178"/>
  <c r="X37" i="178"/>
  <c r="R37" i="178"/>
  <c r="R48" i="178"/>
  <c r="J48" i="178"/>
  <c r="S37" i="178"/>
  <c r="Y37" i="178"/>
  <c r="X48" i="178"/>
  <c r="R144" i="178"/>
  <c r="M48" i="178"/>
  <c r="U48" i="178"/>
  <c r="V37" i="178"/>
  <c r="O37" i="178"/>
  <c r="O69" i="184" s="1"/>
  <c r="O540" i="184" s="1"/>
  <c r="X24" i="198" s="1"/>
  <c r="O48" i="178"/>
  <c r="O80" i="184" s="1"/>
  <c r="O553" i="184" s="1"/>
  <c r="Y26" i="198" s="1"/>
  <c r="M58" i="178"/>
  <c r="J144" i="178"/>
  <c r="P48" i="178"/>
  <c r="P80" i="184" s="1"/>
  <c r="P553" i="184" s="1"/>
  <c r="AD26" i="198" s="1"/>
  <c r="P37" i="178"/>
  <c r="P69" i="184" s="1"/>
  <c r="P540" i="184" s="1"/>
  <c r="AC24" i="198" s="1"/>
  <c r="X35" i="178"/>
  <c r="N35" i="178"/>
  <c r="N67" i="184" s="1"/>
  <c r="N528" i="184" s="1"/>
  <c r="S22" i="198" s="1"/>
  <c r="P124" i="178"/>
  <c r="P156" i="184" s="1"/>
  <c r="P639" i="184" s="1"/>
  <c r="AB48" i="198" s="1"/>
  <c r="X124" i="178"/>
  <c r="X156" i="184" s="1"/>
  <c r="X639" i="184" s="1"/>
  <c r="AN48" i="198" s="1"/>
  <c r="AN119" i="198" s="1"/>
  <c r="N160" i="178"/>
  <c r="N192" i="184" s="1"/>
  <c r="N643" i="184" s="1"/>
  <c r="V48" i="198" s="1"/>
  <c r="M35" i="178"/>
  <c r="S35" i="178"/>
  <c r="M124" i="178"/>
  <c r="M156" i="184" s="1"/>
  <c r="M639" i="184" s="1"/>
  <c r="Q48" i="198" s="1"/>
  <c r="K124" i="178"/>
  <c r="K156" i="184" s="1"/>
  <c r="K639" i="184" s="1"/>
  <c r="K48" i="198" s="1"/>
  <c r="O35" i="178"/>
  <c r="O67" i="184" s="1"/>
  <c r="O528" i="184" s="1"/>
  <c r="X22" i="198" s="1"/>
  <c r="K35" i="178"/>
  <c r="N124" i="178"/>
  <c r="N156" i="184" s="1"/>
  <c r="N639" i="184" s="1"/>
  <c r="R48" i="198" s="1"/>
  <c r="Q124" i="178"/>
  <c r="P35" i="178"/>
  <c r="P67" i="184" s="1"/>
  <c r="P528" i="184" s="1"/>
  <c r="AC22" i="198" s="1"/>
  <c r="Q35" i="178"/>
  <c r="Q67" i="184" s="1"/>
  <c r="Q199" i="184" s="1"/>
  <c r="Q231" i="184" s="1"/>
  <c r="U124" i="178"/>
  <c r="U156" i="184" s="1"/>
  <c r="U639" i="184" s="1"/>
  <c r="AK48" i="198" s="1"/>
  <c r="AK119" i="198" s="1"/>
  <c r="S124" i="178"/>
  <c r="S156" i="184" s="1"/>
  <c r="S348" i="184" s="1"/>
  <c r="R35" i="178"/>
  <c r="J35" i="178"/>
  <c r="J67" i="184" s="1"/>
  <c r="J528" i="184" s="1"/>
  <c r="J22" i="198" s="1"/>
  <c r="Y124" i="178"/>
  <c r="Y156" i="184" s="1"/>
  <c r="Y639" i="184" s="1"/>
  <c r="AO48" i="198" s="1"/>
  <c r="AO119" i="198" s="1"/>
  <c r="O124" i="178"/>
  <c r="O156" i="184" s="1"/>
  <c r="O639" i="184" s="1"/>
  <c r="W48" i="198" s="1"/>
  <c r="L35" i="178"/>
  <c r="L67" i="184" s="1"/>
  <c r="L528" i="184" s="1"/>
  <c r="M22" i="198" s="1"/>
  <c r="U35" i="178"/>
  <c r="R124" i="178"/>
  <c r="R156" i="184" s="1"/>
  <c r="R639" i="184" s="1"/>
  <c r="AH48" i="198" s="1"/>
  <c r="AH119" i="198" s="1"/>
  <c r="L124" i="178"/>
  <c r="L156" i="184" s="1"/>
  <c r="L639" i="184" s="1"/>
  <c r="L48" i="198" s="1"/>
  <c r="W35" i="178"/>
  <c r="V124" i="178"/>
  <c r="V156" i="184" s="1"/>
  <c r="V348" i="184" s="1"/>
  <c r="O141" i="178"/>
  <c r="O173" i="184" s="1"/>
  <c r="O635" i="184" s="1"/>
  <c r="Y47" i="198" s="1"/>
  <c r="N129" i="178"/>
  <c r="N161" i="184" s="1"/>
  <c r="N616" i="184" s="1"/>
  <c r="S44" i="198" s="1"/>
  <c r="W129" i="178"/>
  <c r="S129" i="178"/>
  <c r="U129" i="178"/>
  <c r="L160" i="178"/>
  <c r="L192" i="184" s="1"/>
  <c r="L643" i="184" s="1"/>
  <c r="P48" i="198" s="1"/>
  <c r="O129" i="178"/>
  <c r="O161" i="184" s="1"/>
  <c r="O616" i="184" s="1"/>
  <c r="X44" i="198" s="1"/>
  <c r="T129" i="178"/>
  <c r="R160" i="178"/>
  <c r="V129" i="178"/>
  <c r="S110" i="178"/>
  <c r="S49" i="178"/>
  <c r="L49" i="178"/>
  <c r="L81" i="184" s="1"/>
  <c r="L559" i="184" s="1"/>
  <c r="N27" i="198" s="1"/>
  <c r="T58" i="178"/>
  <c r="J58" i="178"/>
  <c r="K144" i="178"/>
  <c r="U144" i="178"/>
  <c r="L161" i="178"/>
  <c r="L193" i="184" s="1"/>
  <c r="L649" i="184" s="1"/>
  <c r="P49" i="198" s="1"/>
  <c r="P161" i="178"/>
  <c r="P193" i="184" s="1"/>
  <c r="P649" i="184" s="1"/>
  <c r="AF49" i="198" s="1"/>
  <c r="L110" i="178"/>
  <c r="L142" i="184" s="1"/>
  <c r="L581" i="184" s="1"/>
  <c r="P34" i="198" s="1"/>
  <c r="J110" i="178"/>
  <c r="X49" i="178"/>
  <c r="V144" i="178"/>
  <c r="T144" i="178"/>
  <c r="J49" i="178"/>
  <c r="X75" i="178"/>
  <c r="X58" i="178"/>
  <c r="W58" i="178"/>
  <c r="Y144" i="178"/>
  <c r="M144" i="178"/>
  <c r="V161" i="178"/>
  <c r="U161" i="178"/>
  <c r="K110" i="178"/>
  <c r="V110" i="178"/>
  <c r="T49" i="178"/>
  <c r="N49" i="178"/>
  <c r="N81" i="184" s="1"/>
  <c r="N559" i="184" s="1"/>
  <c r="T27" i="198" s="1"/>
  <c r="L75" i="178"/>
  <c r="L107" i="184" s="1"/>
  <c r="L583" i="184" s="1"/>
  <c r="L35" i="198" s="1"/>
  <c r="S58" i="178"/>
  <c r="K58" i="178"/>
  <c r="W144" i="178"/>
  <c r="X144" i="178"/>
  <c r="O161" i="178"/>
  <c r="O193" i="184" s="1"/>
  <c r="O649" i="184" s="1"/>
  <c r="AA49" i="198" s="1"/>
  <c r="Q161" i="178"/>
  <c r="Y110" i="178"/>
  <c r="X110" i="178"/>
  <c r="P49" i="178"/>
  <c r="P81" i="184" s="1"/>
  <c r="P559" i="184" s="1"/>
  <c r="AD27" i="198" s="1"/>
  <c r="N110" i="178"/>
  <c r="N142" i="184" s="1"/>
  <c r="N581" i="184" s="1"/>
  <c r="V34" i="198" s="1"/>
  <c r="V49" i="178"/>
  <c r="R49" i="178"/>
  <c r="Q49" i="178"/>
  <c r="P58" i="178"/>
  <c r="P90" i="184" s="1"/>
  <c r="P560" i="184" s="1"/>
  <c r="AE27" i="198" s="1"/>
  <c r="V58" i="178"/>
  <c r="S144" i="178"/>
  <c r="P144" i="178"/>
  <c r="P176" i="184" s="1"/>
  <c r="P653" i="184" s="1"/>
  <c r="AD50" i="198" s="1"/>
  <c r="S161" i="178"/>
  <c r="Y161" i="178"/>
  <c r="P110" i="178"/>
  <c r="P142" i="184" s="1"/>
  <c r="P581" i="184" s="1"/>
  <c r="AF34" i="198" s="1"/>
  <c r="AF106" i="198" s="1"/>
  <c r="T110" i="178"/>
  <c r="K49" i="178"/>
  <c r="M49" i="178"/>
  <c r="U58" i="178"/>
  <c r="N58" i="178"/>
  <c r="N90" i="184" s="1"/>
  <c r="N560" i="184" s="1"/>
  <c r="U27" i="198" s="1"/>
  <c r="O144" i="178"/>
  <c r="O176" i="184" s="1"/>
  <c r="O653" i="184" s="1"/>
  <c r="Y50" i="198" s="1"/>
  <c r="Q144" i="178"/>
  <c r="X161" i="178"/>
  <c r="R161" i="178"/>
  <c r="R110" i="178"/>
  <c r="M110" i="178"/>
  <c r="X164" i="178"/>
  <c r="X23" i="195" s="1"/>
  <c r="X59" i="195" s="1"/>
  <c r="U49" i="178"/>
  <c r="L58" i="178"/>
  <c r="L90" i="184" s="1"/>
  <c r="L560" i="184" s="1"/>
  <c r="O27" i="198" s="1"/>
  <c r="L144" i="178"/>
  <c r="L176" i="184" s="1"/>
  <c r="L653" i="184" s="1"/>
  <c r="N50" i="198" s="1"/>
  <c r="T161" i="178"/>
  <c r="Q110" i="178"/>
  <c r="Y108" i="198"/>
  <c r="Z108" i="198"/>
  <c r="M75" i="178"/>
  <c r="M107" i="184" s="1"/>
  <c r="M583" i="184" s="1"/>
  <c r="Q35" i="198" s="1"/>
  <c r="R75" i="178"/>
  <c r="R107" i="184" s="1"/>
  <c r="R583" i="184" s="1"/>
  <c r="AH35" i="198" s="1"/>
  <c r="N75" i="178"/>
  <c r="N107" i="184" s="1"/>
  <c r="N583" i="184" s="1"/>
  <c r="R35" i="198" s="1"/>
  <c r="J75" i="178"/>
  <c r="S75" i="178"/>
  <c r="T75" i="178"/>
  <c r="T107" i="184" s="1"/>
  <c r="T337" i="184" s="1"/>
  <c r="K75" i="178"/>
  <c r="K107" i="184" s="1"/>
  <c r="K583" i="184" s="1"/>
  <c r="K35" i="198" s="1"/>
  <c r="P75" i="178"/>
  <c r="P107" i="184" s="1"/>
  <c r="P583" i="184" s="1"/>
  <c r="AB35" i="198" s="1"/>
  <c r="AB107" i="198" s="1"/>
  <c r="U75" i="178"/>
  <c r="W75" i="178"/>
  <c r="O75" i="178"/>
  <c r="O107" i="184" s="1"/>
  <c r="O583" i="184" s="1"/>
  <c r="W35" i="198" s="1"/>
  <c r="W107" i="198" s="1"/>
  <c r="Q75" i="178"/>
  <c r="V75" i="178"/>
  <c r="V56" i="178"/>
  <c r="O56" i="178"/>
  <c r="O88" i="184" s="1"/>
  <c r="O548" i="184" s="1"/>
  <c r="Z25" i="198" s="1"/>
  <c r="R56" i="178"/>
  <c r="Y56" i="178"/>
  <c r="J56" i="178"/>
  <c r="Q56" i="178"/>
  <c r="W56" i="178"/>
  <c r="U56" i="178"/>
  <c r="N56" i="178"/>
  <c r="N88" i="184" s="1"/>
  <c r="N548" i="184" s="1"/>
  <c r="U25" i="198" s="1"/>
  <c r="M56" i="178"/>
  <c r="L56" i="178"/>
  <c r="L88" i="184" s="1"/>
  <c r="L548" i="184" s="1"/>
  <c r="O25" i="198" s="1"/>
  <c r="K56" i="178"/>
  <c r="X56" i="178"/>
  <c r="J55" i="178"/>
  <c r="Y55" i="178"/>
  <c r="V55" i="178"/>
  <c r="K55" i="178"/>
  <c r="X55" i="178"/>
  <c r="W55" i="178"/>
  <c r="T55" i="178"/>
  <c r="U55" i="178"/>
  <c r="M55" i="178"/>
  <c r="P141" i="178"/>
  <c r="P173" i="184" s="1"/>
  <c r="P635" i="184" s="1"/>
  <c r="AD47" i="198" s="1"/>
  <c r="X141" i="178"/>
  <c r="S141" i="178"/>
  <c r="W141" i="178"/>
  <c r="M141" i="178"/>
  <c r="Y141" i="178"/>
  <c r="V141" i="178"/>
  <c r="Q141" i="178"/>
  <c r="K141" i="178"/>
  <c r="L141" i="178"/>
  <c r="L173" i="184" s="1"/>
  <c r="L635" i="184" s="1"/>
  <c r="N47" i="198" s="1"/>
  <c r="N141" i="178"/>
  <c r="N173" i="184" s="1"/>
  <c r="N635" i="184" s="1"/>
  <c r="T47" i="198" s="1"/>
  <c r="R141" i="178"/>
  <c r="U141" i="178"/>
  <c r="W160" i="178"/>
  <c r="J160" i="178"/>
  <c r="S160" i="178"/>
  <c r="K160" i="178"/>
  <c r="T160" i="178"/>
  <c r="Y160" i="178"/>
  <c r="M160" i="178"/>
  <c r="Q160" i="178"/>
  <c r="U160" i="178"/>
  <c r="X160" i="178"/>
  <c r="O160" i="178"/>
  <c r="O192" i="184" s="1"/>
  <c r="O643" i="184" s="1"/>
  <c r="AA48" i="198" s="1"/>
  <c r="R156" i="178"/>
  <c r="V156" i="178"/>
  <c r="X156" i="178"/>
  <c r="U156" i="178"/>
  <c r="T156" i="178"/>
  <c r="O156" i="178"/>
  <c r="O188" i="184" s="1"/>
  <c r="O619" i="184" s="1"/>
  <c r="AA44" i="198" s="1"/>
  <c r="Q156" i="178"/>
  <c r="N156" i="178"/>
  <c r="N188" i="184" s="1"/>
  <c r="N619" i="184" s="1"/>
  <c r="V44" i="198" s="1"/>
  <c r="K156" i="178"/>
  <c r="Y156" i="178"/>
  <c r="W156" i="178"/>
  <c r="S156" i="178"/>
  <c r="J156" i="178"/>
  <c r="M156" i="178"/>
  <c r="R164" i="178"/>
  <c r="R23" i="195" s="1"/>
  <c r="R59" i="195" s="1"/>
  <c r="Q164" i="178"/>
  <c r="Q23" i="195" s="1"/>
  <c r="Q59" i="195" s="1"/>
  <c r="S100" i="178"/>
  <c r="T100" i="178"/>
  <c r="N100" i="178"/>
  <c r="N132" i="184" s="1"/>
  <c r="N574" i="184" s="1"/>
  <c r="U33" i="198" s="1"/>
  <c r="W100" i="178"/>
  <c r="H76" i="180"/>
  <c r="H84" i="180" s="1"/>
  <c r="H91" i="180" s="1"/>
  <c r="H83" i="198" s="1"/>
  <c r="H126" i="198" s="1"/>
  <c r="N164" i="178"/>
  <c r="N23" i="195" s="1"/>
  <c r="K164" i="178"/>
  <c r="K23" i="195" s="1"/>
  <c r="K59" i="195" s="1"/>
  <c r="J164" i="178"/>
  <c r="J23" i="195" s="1"/>
  <c r="Q100" i="178"/>
  <c r="K100" i="178"/>
  <c r="P164" i="178"/>
  <c r="P23" i="195" s="1"/>
  <c r="AD108" i="198"/>
  <c r="L164" i="178"/>
  <c r="L23" i="195" s="1"/>
  <c r="V164" i="178"/>
  <c r="V23" i="195" s="1"/>
  <c r="V59" i="195" s="1"/>
  <c r="X100" i="178"/>
  <c r="V100" i="178"/>
  <c r="T164" i="178"/>
  <c r="T23" i="195" s="1"/>
  <c r="T59" i="195" s="1"/>
  <c r="S164" i="178"/>
  <c r="S23" i="195" s="1"/>
  <c r="S59" i="195" s="1"/>
  <c r="M164" i="178"/>
  <c r="M23" i="195" s="1"/>
  <c r="M59" i="195" s="1"/>
  <c r="O164" i="178"/>
  <c r="O23" i="195" s="1"/>
  <c r="U164" i="178"/>
  <c r="U23" i="195" s="1"/>
  <c r="U59" i="195" s="1"/>
  <c r="U100" i="178"/>
  <c r="J143" i="178"/>
  <c r="X143" i="178"/>
  <c r="S143" i="178"/>
  <c r="V143" i="178"/>
  <c r="K143" i="178"/>
  <c r="N143" i="178"/>
  <c r="N175" i="184" s="1"/>
  <c r="N647" i="184" s="1"/>
  <c r="T49" i="198" s="1"/>
  <c r="R143" i="178"/>
  <c r="U143" i="178"/>
  <c r="P143" i="178"/>
  <c r="P175" i="184" s="1"/>
  <c r="P647" i="184" s="1"/>
  <c r="AD49" i="198" s="1"/>
  <c r="M143" i="178"/>
  <c r="O143" i="178"/>
  <c r="O175" i="184" s="1"/>
  <c r="O647" i="184" s="1"/>
  <c r="Y49" i="198" s="1"/>
  <c r="T143" i="178"/>
  <c r="W143" i="178"/>
  <c r="Y143" i="178"/>
  <c r="Q143" i="178"/>
  <c r="L143" i="178"/>
  <c r="L175" i="184" s="1"/>
  <c r="L647" i="184" s="1"/>
  <c r="N49" i="198" s="1"/>
  <c r="K172" i="178"/>
  <c r="K665" i="184" s="1"/>
  <c r="L172" i="178"/>
  <c r="L665" i="184" s="1"/>
  <c r="J172" i="178"/>
  <c r="M172" i="178"/>
  <c r="M665" i="184" s="1"/>
  <c r="N172" i="178"/>
  <c r="N665" i="184" s="1"/>
  <c r="J46" i="178"/>
  <c r="V46" i="178"/>
  <c r="P46" i="178"/>
  <c r="P78" i="184" s="1"/>
  <c r="P541" i="184" s="1"/>
  <c r="AD24" i="198" s="1"/>
  <c r="M46" i="178"/>
  <c r="W46" i="178"/>
  <c r="O46" i="178"/>
  <c r="O78" i="184" s="1"/>
  <c r="X46" i="178"/>
  <c r="T46" i="178"/>
  <c r="N46" i="178"/>
  <c r="N78" i="184" s="1"/>
  <c r="L46" i="178"/>
  <c r="L78" i="184" s="1"/>
  <c r="L541" i="184" s="1"/>
  <c r="N24" i="198" s="1"/>
  <c r="R46" i="178"/>
  <c r="S46" i="178"/>
  <c r="U46" i="178"/>
  <c r="Q46" i="178"/>
  <c r="Y46" i="178"/>
  <c r="K46" i="178"/>
  <c r="J122" i="178"/>
  <c r="X122" i="178"/>
  <c r="X154" i="184" s="1"/>
  <c r="Q122" i="178"/>
  <c r="V122" i="178"/>
  <c r="V154" i="184" s="1"/>
  <c r="W122" i="178"/>
  <c r="W154" i="184" s="1"/>
  <c r="Y122" i="178"/>
  <c r="Y154" i="184" s="1"/>
  <c r="S122" i="178"/>
  <c r="S154" i="184" s="1"/>
  <c r="K122" i="178"/>
  <c r="K154" i="184" s="1"/>
  <c r="O122" i="178"/>
  <c r="O154" i="184" s="1"/>
  <c r="O627" i="184" s="1"/>
  <c r="W46" i="198" s="1"/>
  <c r="R122" i="178"/>
  <c r="R154" i="184" s="1"/>
  <c r="U122" i="178"/>
  <c r="U154" i="184" s="1"/>
  <c r="N122" i="178"/>
  <c r="N154" i="184" s="1"/>
  <c r="N627" i="184" s="1"/>
  <c r="R46" i="198" s="1"/>
  <c r="T122" i="178"/>
  <c r="T154" i="184" s="1"/>
  <c r="P122" i="178"/>
  <c r="P154" i="184" s="1"/>
  <c r="P627" i="184" s="1"/>
  <c r="AB46" i="198" s="1"/>
  <c r="M122" i="178"/>
  <c r="M154" i="184" s="1"/>
  <c r="L122" i="178"/>
  <c r="L154" i="184" s="1"/>
  <c r="L627" i="184" s="1"/>
  <c r="L46" i="198" s="1"/>
  <c r="P640" i="184"/>
  <c r="AC48" i="198" s="1"/>
  <c r="N564" i="184"/>
  <c r="S28" i="198" s="1"/>
  <c r="W639" i="184"/>
  <c r="AM48" i="198" s="1"/>
  <c r="AM119" i="198" s="1"/>
  <c r="W348" i="184"/>
  <c r="J330" i="184"/>
  <c r="J325" i="184"/>
  <c r="J328" i="184"/>
  <c r="J235" i="184"/>
  <c r="J326" i="184"/>
  <c r="J324" i="184"/>
  <c r="J327" i="184"/>
  <c r="J257" i="184"/>
  <c r="J294" i="184"/>
  <c r="J296" i="184" s="1"/>
  <c r="J329" i="184"/>
  <c r="J272" i="184"/>
  <c r="J305" i="184"/>
  <c r="J307" i="184" s="1"/>
  <c r="J246" i="184"/>
  <c r="J283" i="184"/>
  <c r="J285" i="184" s="1"/>
  <c r="L53" i="178"/>
  <c r="L85" i="184" s="1"/>
  <c r="W53" i="178"/>
  <c r="R53" i="178"/>
  <c r="O53" i="178"/>
  <c r="O85" i="184" s="1"/>
  <c r="Q53" i="178"/>
  <c r="N53" i="178"/>
  <c r="N85" i="184" s="1"/>
  <c r="N530" i="184" s="1"/>
  <c r="U22" i="198" s="1"/>
  <c r="P53" i="178"/>
  <c r="P85" i="184" s="1"/>
  <c r="M53" i="178"/>
  <c r="J53" i="178"/>
  <c r="V53" i="178"/>
  <c r="T53" i="178"/>
  <c r="X53" i="178"/>
  <c r="Y53" i="178"/>
  <c r="S53" i="178"/>
  <c r="U53" i="178"/>
  <c r="K53" i="178"/>
  <c r="J177" i="178"/>
  <c r="M177" i="178"/>
  <c r="M670" i="184" s="1"/>
  <c r="L177" i="178"/>
  <c r="L670" i="184" s="1"/>
  <c r="K177" i="178"/>
  <c r="K670" i="184" s="1"/>
  <c r="N177" i="178"/>
  <c r="N670" i="184" s="1"/>
  <c r="N234" i="184"/>
  <c r="N304" i="184"/>
  <c r="N318" i="184"/>
  <c r="N271" i="184"/>
  <c r="N315" i="184"/>
  <c r="N319" i="184"/>
  <c r="N245" i="184"/>
  <c r="N282" i="184"/>
  <c r="N316" i="184"/>
  <c r="N320" i="184"/>
  <c r="N293" i="184"/>
  <c r="N317" i="184"/>
  <c r="N321" i="184"/>
  <c r="N256" i="184"/>
  <c r="T595" i="184"/>
  <c r="AJ37" i="198" s="1"/>
  <c r="AJ109" i="198" s="1"/>
  <c r="T339" i="184"/>
  <c r="J126" i="178"/>
  <c r="P126" i="178"/>
  <c r="P158" i="184" s="1"/>
  <c r="P651" i="184" s="1"/>
  <c r="AB50" i="198" s="1"/>
  <c r="Q126" i="178"/>
  <c r="Y126" i="178"/>
  <c r="Y158" i="184" s="1"/>
  <c r="R126" i="178"/>
  <c r="R158" i="184" s="1"/>
  <c r="U126" i="178"/>
  <c r="U158" i="184" s="1"/>
  <c r="X126" i="178"/>
  <c r="X158" i="184" s="1"/>
  <c r="M126" i="178"/>
  <c r="M158" i="184" s="1"/>
  <c r="M651" i="184" s="1"/>
  <c r="Q50" i="198" s="1"/>
  <c r="N126" i="178"/>
  <c r="N158" i="184" s="1"/>
  <c r="N651" i="184" s="1"/>
  <c r="R50" i="198" s="1"/>
  <c r="W126" i="178"/>
  <c r="W158" i="184" s="1"/>
  <c r="O126" i="178"/>
  <c r="O158" i="184" s="1"/>
  <c r="O651" i="184" s="1"/>
  <c r="W50" i="198" s="1"/>
  <c r="V126" i="178"/>
  <c r="V158" i="184" s="1"/>
  <c r="T126" i="178"/>
  <c r="T158" i="184" s="1"/>
  <c r="L126" i="178"/>
  <c r="L158" i="184" s="1"/>
  <c r="L651" i="184" s="1"/>
  <c r="L50" i="198" s="1"/>
  <c r="K126" i="178"/>
  <c r="K158" i="184" s="1"/>
  <c r="K651" i="184" s="1"/>
  <c r="K50" i="198" s="1"/>
  <c r="S126" i="178"/>
  <c r="S158" i="184" s="1"/>
  <c r="J29" i="178"/>
  <c r="T29" i="178"/>
  <c r="T61" i="184" s="1"/>
  <c r="Q29" i="178"/>
  <c r="R29" i="178"/>
  <c r="R61" i="184" s="1"/>
  <c r="X29" i="178"/>
  <c r="X61" i="184" s="1"/>
  <c r="L29" i="178"/>
  <c r="L61" i="184" s="1"/>
  <c r="V29" i="178"/>
  <c r="V61" i="184" s="1"/>
  <c r="N29" i="178"/>
  <c r="N61" i="184" s="1"/>
  <c r="Y29" i="178"/>
  <c r="Y61" i="184" s="1"/>
  <c r="U29" i="178"/>
  <c r="U61" i="184" s="1"/>
  <c r="S29" i="178"/>
  <c r="S61" i="184" s="1"/>
  <c r="M29" i="178"/>
  <c r="M61" i="184" s="1"/>
  <c r="K29" i="178"/>
  <c r="K61" i="184" s="1"/>
  <c r="P29" i="178"/>
  <c r="P61" i="184" s="1"/>
  <c r="O29" i="178"/>
  <c r="O61" i="184" s="1"/>
  <c r="W29" i="178"/>
  <c r="W61" i="184" s="1"/>
  <c r="J54" i="178"/>
  <c r="T54" i="178"/>
  <c r="R54" i="178"/>
  <c r="L54" i="178"/>
  <c r="L86" i="184" s="1"/>
  <c r="X54" i="178"/>
  <c r="Y54" i="178"/>
  <c r="N54" i="178"/>
  <c r="N86" i="184" s="1"/>
  <c r="V54" i="178"/>
  <c r="M54" i="178"/>
  <c r="K54" i="178"/>
  <c r="W54" i="178"/>
  <c r="P54" i="178"/>
  <c r="P86" i="184" s="1"/>
  <c r="S54" i="178"/>
  <c r="O54" i="178"/>
  <c r="O86" i="184" s="1"/>
  <c r="U54" i="178"/>
  <c r="Q54" i="178"/>
  <c r="J39" i="178"/>
  <c r="J71" i="184" s="1"/>
  <c r="J552" i="184" s="1"/>
  <c r="J26" i="198" s="1"/>
  <c r="V39" i="178"/>
  <c r="L39" i="178"/>
  <c r="L71" i="184" s="1"/>
  <c r="M39" i="178"/>
  <c r="N39" i="178"/>
  <c r="N71" i="184" s="1"/>
  <c r="Q39" i="178"/>
  <c r="Q71" i="184" s="1"/>
  <c r="Y39" i="178"/>
  <c r="W39" i="178"/>
  <c r="X39" i="178"/>
  <c r="T39" i="178"/>
  <c r="P39" i="178"/>
  <c r="P71" i="184" s="1"/>
  <c r="S39" i="178"/>
  <c r="U39" i="178"/>
  <c r="K39" i="178"/>
  <c r="O39" i="178"/>
  <c r="O71" i="184" s="1"/>
  <c r="R39" i="178"/>
  <c r="T639" i="184"/>
  <c r="AJ48" i="198" s="1"/>
  <c r="AJ119" i="198" s="1"/>
  <c r="T348" i="184"/>
  <c r="J149" i="178"/>
  <c r="N149" i="178"/>
  <c r="N181" i="184" s="1"/>
  <c r="N630" i="184" s="1"/>
  <c r="U46" i="198" s="1"/>
  <c r="V149" i="178"/>
  <c r="X149" i="178"/>
  <c r="Y149" i="178"/>
  <c r="T149" i="178"/>
  <c r="L149" i="178"/>
  <c r="L181" i="184" s="1"/>
  <c r="L630" i="184" s="1"/>
  <c r="O46" i="198" s="1"/>
  <c r="S149" i="178"/>
  <c r="K149" i="178"/>
  <c r="P149" i="178"/>
  <c r="P181" i="184" s="1"/>
  <c r="P630" i="184" s="1"/>
  <c r="AE46" i="198" s="1"/>
  <c r="W149" i="178"/>
  <c r="R149" i="178"/>
  <c r="Q149" i="178"/>
  <c r="U149" i="178"/>
  <c r="O149" i="178"/>
  <c r="O181" i="184" s="1"/>
  <c r="O630" i="184" s="1"/>
  <c r="Z46" i="198" s="1"/>
  <c r="M149" i="178"/>
  <c r="J158" i="178"/>
  <c r="Y158" i="178"/>
  <c r="P158" i="178"/>
  <c r="P190" i="184" s="1"/>
  <c r="P631" i="184" s="1"/>
  <c r="AF46" i="198" s="1"/>
  <c r="M158" i="178"/>
  <c r="W158" i="178"/>
  <c r="Q158" i="178"/>
  <c r="O158" i="178"/>
  <c r="O190" i="184" s="1"/>
  <c r="O631" i="184" s="1"/>
  <c r="AA46" i="198" s="1"/>
  <c r="U158" i="178"/>
  <c r="T158" i="178"/>
  <c r="L158" i="178"/>
  <c r="L190" i="184" s="1"/>
  <c r="L631" i="184" s="1"/>
  <c r="P46" i="198" s="1"/>
  <c r="V158" i="178"/>
  <c r="K158" i="178"/>
  <c r="X158" i="178"/>
  <c r="N158" i="178"/>
  <c r="N190" i="184" s="1"/>
  <c r="N631" i="184" s="1"/>
  <c r="V46" i="198" s="1"/>
  <c r="S158" i="178"/>
  <c r="R158" i="178"/>
  <c r="Q64" i="178"/>
  <c r="M64" i="178"/>
  <c r="K64" i="178"/>
  <c r="T64" i="178"/>
  <c r="X64" i="178"/>
  <c r="L64" i="178"/>
  <c r="L96" i="184" s="1"/>
  <c r="L543" i="184" s="1"/>
  <c r="P24" i="198" s="1"/>
  <c r="W64" i="178"/>
  <c r="Y64" i="178"/>
  <c r="J64" i="178"/>
  <c r="U64" i="178"/>
  <c r="P64" i="178"/>
  <c r="P96" i="184" s="1"/>
  <c r="O64" i="178"/>
  <c r="O96" i="184" s="1"/>
  <c r="S64" i="178"/>
  <c r="V64" i="178"/>
  <c r="R64" i="178"/>
  <c r="N64" i="178"/>
  <c r="N96" i="184" s="1"/>
  <c r="N596" i="184"/>
  <c r="S37" i="198" s="1"/>
  <c r="N212" i="184"/>
  <c r="N280" i="184" s="1"/>
  <c r="J140" i="178"/>
  <c r="T140" i="178"/>
  <c r="W140" i="178"/>
  <c r="X140" i="178"/>
  <c r="O140" i="178"/>
  <c r="O172" i="184" s="1"/>
  <c r="O629" i="184" s="1"/>
  <c r="Y46" i="198" s="1"/>
  <c r="Q140" i="178"/>
  <c r="Y140" i="178"/>
  <c r="L140" i="178"/>
  <c r="L172" i="184" s="1"/>
  <c r="L629" i="184" s="1"/>
  <c r="N46" i="198" s="1"/>
  <c r="P140" i="178"/>
  <c r="P172" i="184" s="1"/>
  <c r="P629" i="184" s="1"/>
  <c r="AD46" i="198" s="1"/>
  <c r="V140" i="178"/>
  <c r="N140" i="178"/>
  <c r="N172" i="184" s="1"/>
  <c r="N629" i="184" s="1"/>
  <c r="T46" i="198" s="1"/>
  <c r="U140" i="178"/>
  <c r="M140" i="178"/>
  <c r="K140" i="178"/>
  <c r="S140" i="178"/>
  <c r="R140" i="178"/>
  <c r="J135" i="178"/>
  <c r="J167" i="184" s="1"/>
  <c r="J652" i="184" s="1"/>
  <c r="J50" i="198" s="1"/>
  <c r="O135" i="178"/>
  <c r="O167" i="184" s="1"/>
  <c r="P135" i="178"/>
  <c r="P167" i="184" s="1"/>
  <c r="W135" i="178"/>
  <c r="Q135" i="178"/>
  <c r="Q167" i="184" s="1"/>
  <c r="Q652" i="184" s="1"/>
  <c r="AG50" i="198" s="1"/>
  <c r="V135" i="178"/>
  <c r="Y135" i="178"/>
  <c r="X135" i="178"/>
  <c r="R135" i="178"/>
  <c r="N135" i="178"/>
  <c r="N167" i="184" s="1"/>
  <c r="U135" i="178"/>
  <c r="M135" i="178"/>
  <c r="T135" i="178"/>
  <c r="S135" i="178"/>
  <c r="L135" i="178"/>
  <c r="L167" i="184" s="1"/>
  <c r="L652" i="184" s="1"/>
  <c r="M50" i="198" s="1"/>
  <c r="K135" i="178"/>
  <c r="L282" i="184"/>
  <c r="L284" i="184" s="1"/>
  <c r="L256" i="184"/>
  <c r="L234" i="184"/>
  <c r="L315" i="184"/>
  <c r="L318" i="184"/>
  <c r="L245" i="184"/>
  <c r="L304" i="184"/>
  <c r="L306" i="184" s="1"/>
  <c r="L271" i="184"/>
  <c r="L319" i="184"/>
  <c r="L321" i="184"/>
  <c r="L320" i="184"/>
  <c r="L317" i="184"/>
  <c r="L316" i="184"/>
  <c r="L293" i="184"/>
  <c r="L295" i="184" s="1"/>
  <c r="R595" i="184"/>
  <c r="AH37" i="198" s="1"/>
  <c r="AH109" i="198" s="1"/>
  <c r="R339" i="184"/>
  <c r="J111" i="178"/>
  <c r="O111" i="178"/>
  <c r="O143" i="184" s="1"/>
  <c r="O587" i="184" s="1"/>
  <c r="AA35" i="198" s="1"/>
  <c r="AA107" i="198" s="1"/>
  <c r="N111" i="178"/>
  <c r="N143" i="184" s="1"/>
  <c r="N587" i="184" s="1"/>
  <c r="V35" i="198" s="1"/>
  <c r="U111" i="178"/>
  <c r="M111" i="178"/>
  <c r="T111" i="178"/>
  <c r="Y111" i="178"/>
  <c r="V111" i="178"/>
  <c r="L111" i="178"/>
  <c r="L143" i="184" s="1"/>
  <c r="L587" i="184" s="1"/>
  <c r="P35" i="198" s="1"/>
  <c r="P111" i="178"/>
  <c r="P143" i="184" s="1"/>
  <c r="P587" i="184" s="1"/>
  <c r="AF35" i="198" s="1"/>
  <c r="AF107" i="198" s="1"/>
  <c r="K111" i="178"/>
  <c r="W111" i="178"/>
  <c r="S111" i="178"/>
  <c r="X111" i="178"/>
  <c r="R111" i="178"/>
  <c r="Q111" i="178"/>
  <c r="R191" i="178"/>
  <c r="Q191" i="178"/>
  <c r="M191" i="178"/>
  <c r="P191" i="178"/>
  <c r="T191" i="178"/>
  <c r="W191" i="178"/>
  <c r="L191" i="178"/>
  <c r="O191" i="178"/>
  <c r="S191" i="178"/>
  <c r="X191" i="178"/>
  <c r="K191" i="178"/>
  <c r="J191" i="178"/>
  <c r="N191" i="178"/>
  <c r="Y191" i="178"/>
  <c r="V191" i="178"/>
  <c r="U191" i="178"/>
  <c r="J18" i="178"/>
  <c r="Y18" i="178"/>
  <c r="Y62" i="185" s="1"/>
  <c r="M18" i="178"/>
  <c r="X18" i="178"/>
  <c r="X62" i="185" s="1"/>
  <c r="T18" i="178"/>
  <c r="T62" i="185" s="1"/>
  <c r="Q18" i="178"/>
  <c r="L18" i="178"/>
  <c r="P18" i="178"/>
  <c r="W18" i="178"/>
  <c r="W62" i="185" s="1"/>
  <c r="S18" i="178"/>
  <c r="S62" i="185" s="1"/>
  <c r="O18" i="178"/>
  <c r="K18" i="178"/>
  <c r="N18" i="178"/>
  <c r="U18" i="178"/>
  <c r="U62" i="185" s="1"/>
  <c r="V18" i="178"/>
  <c r="V62" i="185" s="1"/>
  <c r="R18" i="178"/>
  <c r="R62" i="185" s="1"/>
  <c r="L112" i="178"/>
  <c r="L144" i="184" s="1"/>
  <c r="L593" i="184" s="1"/>
  <c r="P36" i="198" s="1"/>
  <c r="X112" i="178"/>
  <c r="U112" i="178"/>
  <c r="P112" i="178"/>
  <c r="P144" i="184" s="1"/>
  <c r="P593" i="184" s="1"/>
  <c r="AF36" i="198" s="1"/>
  <c r="M112" i="178"/>
  <c r="W112" i="178"/>
  <c r="K112" i="178"/>
  <c r="O112" i="178"/>
  <c r="O144" i="184" s="1"/>
  <c r="O593" i="184" s="1"/>
  <c r="AA36" i="198" s="1"/>
  <c r="J112" i="178"/>
  <c r="S112" i="178"/>
  <c r="Q112" i="178"/>
  <c r="Y112" i="178"/>
  <c r="T112" i="178"/>
  <c r="R112" i="178"/>
  <c r="N112" i="178"/>
  <c r="N144" i="184" s="1"/>
  <c r="N593" i="184" s="1"/>
  <c r="V36" i="198" s="1"/>
  <c r="V112" i="178"/>
  <c r="J152" i="178"/>
  <c r="Y152" i="178"/>
  <c r="P152" i="178"/>
  <c r="P184" i="184" s="1"/>
  <c r="P648" i="184" s="1"/>
  <c r="AE49" i="198" s="1"/>
  <c r="Q152" i="178"/>
  <c r="X152" i="178"/>
  <c r="T152" i="178"/>
  <c r="K152" i="178"/>
  <c r="R152" i="178"/>
  <c r="W152" i="178"/>
  <c r="V152" i="178"/>
  <c r="N152" i="178"/>
  <c r="N184" i="184" s="1"/>
  <c r="N648" i="184" s="1"/>
  <c r="U49" i="198" s="1"/>
  <c r="M152" i="178"/>
  <c r="L152" i="178"/>
  <c r="L184" i="184" s="1"/>
  <c r="L648" i="184" s="1"/>
  <c r="O49" i="198" s="1"/>
  <c r="O152" i="178"/>
  <c r="O184" i="184" s="1"/>
  <c r="O648" i="184" s="1"/>
  <c r="Z49" i="198" s="1"/>
  <c r="U152" i="178"/>
  <c r="S152" i="178"/>
  <c r="L553" i="184"/>
  <c r="N26" i="198" s="1"/>
  <c r="P564" i="184"/>
  <c r="AC28" i="198" s="1"/>
  <c r="J130" i="178"/>
  <c r="J162" i="184" s="1"/>
  <c r="T130" i="178"/>
  <c r="W130" i="178"/>
  <c r="Y130" i="178"/>
  <c r="M130" i="178"/>
  <c r="S130" i="178"/>
  <c r="L130" i="178"/>
  <c r="L162" i="184" s="1"/>
  <c r="K130" i="178"/>
  <c r="R130" i="178"/>
  <c r="X130" i="178"/>
  <c r="P130" i="178"/>
  <c r="P162" i="184" s="1"/>
  <c r="N130" i="178"/>
  <c r="N162" i="184" s="1"/>
  <c r="Q130" i="178"/>
  <c r="Q162" i="184" s="1"/>
  <c r="O130" i="178"/>
  <c r="O162" i="184" s="1"/>
  <c r="V130" i="178"/>
  <c r="U130" i="178"/>
  <c r="K125" i="178"/>
  <c r="K157" i="184" s="1"/>
  <c r="K645" i="184" s="1"/>
  <c r="K49" i="198" s="1"/>
  <c r="W125" i="178"/>
  <c r="W157" i="184" s="1"/>
  <c r="N125" i="178"/>
  <c r="N157" i="184" s="1"/>
  <c r="N645" i="184" s="1"/>
  <c r="R49" i="198" s="1"/>
  <c r="O125" i="178"/>
  <c r="O157" i="184" s="1"/>
  <c r="O645" i="184" s="1"/>
  <c r="W49" i="198" s="1"/>
  <c r="R125" i="178"/>
  <c r="R157" i="184" s="1"/>
  <c r="S125" i="178"/>
  <c r="S157" i="184" s="1"/>
  <c r="U125" i="178"/>
  <c r="U157" i="184" s="1"/>
  <c r="J125" i="178"/>
  <c r="M125" i="178"/>
  <c r="M157" i="184" s="1"/>
  <c r="M645" i="184" s="1"/>
  <c r="Q49" i="198" s="1"/>
  <c r="Y125" i="178"/>
  <c r="Y157" i="184" s="1"/>
  <c r="T125" i="178"/>
  <c r="T157" i="184" s="1"/>
  <c r="X125" i="178"/>
  <c r="X157" i="184" s="1"/>
  <c r="P125" i="178"/>
  <c r="P157" i="184" s="1"/>
  <c r="P645" i="184" s="1"/>
  <c r="AB49" i="198" s="1"/>
  <c r="Q125" i="178"/>
  <c r="L125" i="178"/>
  <c r="L157" i="184" s="1"/>
  <c r="L645" i="184" s="1"/>
  <c r="L49" i="198" s="1"/>
  <c r="V125" i="178"/>
  <c r="V157" i="184" s="1"/>
  <c r="J132" i="178"/>
  <c r="J164" i="184" s="1"/>
  <c r="V132" i="178"/>
  <c r="X132" i="178"/>
  <c r="Q132" i="178"/>
  <c r="Q164" i="184" s="1"/>
  <c r="O132" i="178"/>
  <c r="O164" i="184" s="1"/>
  <c r="M132" i="178"/>
  <c r="W132" i="178"/>
  <c r="T132" i="178"/>
  <c r="L132" i="178"/>
  <c r="L164" i="184" s="1"/>
  <c r="S132" i="178"/>
  <c r="Y132" i="178"/>
  <c r="P132" i="178"/>
  <c r="P164" i="184" s="1"/>
  <c r="K132" i="178"/>
  <c r="U132" i="178"/>
  <c r="N132" i="178"/>
  <c r="N164" i="184" s="1"/>
  <c r="R132" i="178"/>
  <c r="L27" i="178"/>
  <c r="L59" i="184" s="1"/>
  <c r="P27" i="178"/>
  <c r="P59" i="184" s="1"/>
  <c r="Q27" i="178"/>
  <c r="W27" i="178"/>
  <c r="W59" i="184" s="1"/>
  <c r="X27" i="178"/>
  <c r="X59" i="184" s="1"/>
  <c r="V27" i="178"/>
  <c r="V59" i="184" s="1"/>
  <c r="O27" i="178"/>
  <c r="O59" i="184" s="1"/>
  <c r="U27" i="178"/>
  <c r="U59" i="184" s="1"/>
  <c r="K27" i="178"/>
  <c r="K59" i="184" s="1"/>
  <c r="S27" i="178"/>
  <c r="S59" i="184" s="1"/>
  <c r="M27" i="178"/>
  <c r="M59" i="184" s="1"/>
  <c r="Y27" i="178"/>
  <c r="Y59" i="184" s="1"/>
  <c r="R27" i="178"/>
  <c r="R59" i="184" s="1"/>
  <c r="J27" i="178"/>
  <c r="T27" i="178"/>
  <c r="T59" i="184" s="1"/>
  <c r="N27" i="178"/>
  <c r="N59" i="184" s="1"/>
  <c r="H70" i="183" a="1"/>
  <c r="H70" i="183" s="1"/>
  <c r="A4" i="183" s="1"/>
  <c r="J50" i="178"/>
  <c r="X50" i="178"/>
  <c r="V50" i="178"/>
  <c r="P50" i="178"/>
  <c r="P82" i="184" s="1"/>
  <c r="T50" i="178"/>
  <c r="W50" i="178"/>
  <c r="L50" i="178"/>
  <c r="L82" i="184" s="1"/>
  <c r="L565" i="184" s="1"/>
  <c r="N28" i="198" s="1"/>
  <c r="Y50" i="178"/>
  <c r="K50" i="178"/>
  <c r="U50" i="178"/>
  <c r="R50" i="178"/>
  <c r="O50" i="178"/>
  <c r="O82" i="184" s="1"/>
  <c r="N50" i="178"/>
  <c r="N82" i="184" s="1"/>
  <c r="N565" i="184" s="1"/>
  <c r="T28" i="198" s="1"/>
  <c r="M50" i="178"/>
  <c r="S50" i="178"/>
  <c r="Q50" i="178"/>
  <c r="O559" i="184"/>
  <c r="Y27" i="198" s="1"/>
  <c r="R607" i="184"/>
  <c r="AH39" i="198" s="1"/>
  <c r="R341" i="184"/>
  <c r="K318" i="184"/>
  <c r="K293" i="184"/>
  <c r="K295" i="184" s="1"/>
  <c r="K271" i="184"/>
  <c r="K245" i="184"/>
  <c r="K315" i="184"/>
  <c r="K319" i="184"/>
  <c r="K316" i="184"/>
  <c r="K320" i="184"/>
  <c r="K317" i="184"/>
  <c r="K304" i="184"/>
  <c r="K306" i="184" s="1"/>
  <c r="K282" i="184"/>
  <c r="K284" i="184" s="1"/>
  <c r="K256" i="184"/>
  <c r="K321" i="184"/>
  <c r="K234" i="184"/>
  <c r="Q234" i="184"/>
  <c r="Q317" i="184"/>
  <c r="Q293" i="184"/>
  <c r="Q295" i="184" s="1"/>
  <c r="Q318" i="184"/>
  <c r="Q282" i="184"/>
  <c r="Q284" i="184" s="1"/>
  <c r="Q256" i="184"/>
  <c r="Q304" i="184"/>
  <c r="Q306" i="184" s="1"/>
  <c r="Q316" i="184"/>
  <c r="Q319" i="184"/>
  <c r="Q320" i="184"/>
  <c r="Q315" i="184"/>
  <c r="Q271" i="184"/>
  <c r="Q245" i="184"/>
  <c r="Q321" i="184"/>
  <c r="M174" i="178"/>
  <c r="M667" i="184" s="1"/>
  <c r="K174" i="178"/>
  <c r="K667" i="184" s="1"/>
  <c r="J174" i="178"/>
  <c r="N174" i="178"/>
  <c r="N667" i="184" s="1"/>
  <c r="L174" i="178"/>
  <c r="L667" i="184" s="1"/>
  <c r="L123" i="178"/>
  <c r="L155" i="184" s="1"/>
  <c r="L633" i="184" s="1"/>
  <c r="L47" i="198" s="1"/>
  <c r="K123" i="178"/>
  <c r="K155" i="184" s="1"/>
  <c r="R123" i="178"/>
  <c r="R155" i="184" s="1"/>
  <c r="J123" i="178"/>
  <c r="U123" i="178"/>
  <c r="U155" i="184" s="1"/>
  <c r="Y123" i="178"/>
  <c r="Y155" i="184" s="1"/>
  <c r="M123" i="178"/>
  <c r="M155" i="184" s="1"/>
  <c r="Q123" i="178"/>
  <c r="T123" i="178"/>
  <c r="T155" i="184" s="1"/>
  <c r="X123" i="178"/>
  <c r="X155" i="184" s="1"/>
  <c r="W123" i="178"/>
  <c r="W155" i="184" s="1"/>
  <c r="N123" i="178"/>
  <c r="N155" i="184" s="1"/>
  <c r="N633" i="184" s="1"/>
  <c r="R47" i="198" s="1"/>
  <c r="P123" i="178"/>
  <c r="P155" i="184" s="1"/>
  <c r="P633" i="184" s="1"/>
  <c r="AB47" i="198" s="1"/>
  <c r="O123" i="178"/>
  <c r="O155" i="184" s="1"/>
  <c r="O633" i="184" s="1"/>
  <c r="W47" i="198" s="1"/>
  <c r="W142" i="198" s="1"/>
  <c r="V123" i="178"/>
  <c r="V155" i="184" s="1"/>
  <c r="S123" i="178"/>
  <c r="S155" i="184" s="1"/>
  <c r="J76" i="178"/>
  <c r="U76" i="178"/>
  <c r="X76" i="178"/>
  <c r="M76" i="178"/>
  <c r="M108" i="184" s="1"/>
  <c r="R76" i="178"/>
  <c r="R108" i="184" s="1"/>
  <c r="T76" i="178"/>
  <c r="T108" i="184" s="1"/>
  <c r="Q76" i="178"/>
  <c r="L76" i="178"/>
  <c r="L108" i="184" s="1"/>
  <c r="L589" i="184" s="1"/>
  <c r="L36" i="198" s="1"/>
  <c r="O76" i="178"/>
  <c r="O108" i="184" s="1"/>
  <c r="O589" i="184" s="1"/>
  <c r="W36" i="198" s="1"/>
  <c r="P76" i="178"/>
  <c r="P108" i="184" s="1"/>
  <c r="P589" i="184" s="1"/>
  <c r="AB36" i="198" s="1"/>
  <c r="N76" i="178"/>
  <c r="N108" i="184" s="1"/>
  <c r="N589" i="184" s="1"/>
  <c r="R36" i="198" s="1"/>
  <c r="K76" i="178"/>
  <c r="K108" i="184" s="1"/>
  <c r="W76" i="178"/>
  <c r="Y76" i="178"/>
  <c r="V76" i="178"/>
  <c r="S76" i="178"/>
  <c r="L153" i="178"/>
  <c r="L185" i="184" s="1"/>
  <c r="L654" i="184" s="1"/>
  <c r="O50" i="198" s="1"/>
  <c r="W153" i="178"/>
  <c r="U153" i="178"/>
  <c r="S153" i="178"/>
  <c r="O153" i="178"/>
  <c r="O185" i="184" s="1"/>
  <c r="O654" i="184" s="1"/>
  <c r="Z50" i="198" s="1"/>
  <c r="M153" i="178"/>
  <c r="J153" i="178"/>
  <c r="T153" i="178"/>
  <c r="Y153" i="178"/>
  <c r="K153" i="178"/>
  <c r="X153" i="178"/>
  <c r="Q153" i="178"/>
  <c r="N153" i="178"/>
  <c r="N185" i="184" s="1"/>
  <c r="N654" i="184" s="1"/>
  <c r="U50" i="198" s="1"/>
  <c r="P153" i="178"/>
  <c r="P185" i="184" s="1"/>
  <c r="P654" i="184" s="1"/>
  <c r="AE50" i="198" s="1"/>
  <c r="V153" i="178"/>
  <c r="R153" i="178"/>
  <c r="P272" i="184"/>
  <c r="P235" i="184"/>
  <c r="P283" i="184"/>
  <c r="P327" i="184"/>
  <c r="P294" i="184"/>
  <c r="P305" i="184"/>
  <c r="P246" i="184"/>
  <c r="P324" i="184"/>
  <c r="P328" i="184"/>
  <c r="P330" i="184"/>
  <c r="P325" i="184"/>
  <c r="P329" i="184"/>
  <c r="P326" i="184"/>
  <c r="P257" i="184"/>
  <c r="J85" i="178"/>
  <c r="J117" i="184" s="1"/>
  <c r="P85" i="178"/>
  <c r="P117" i="184" s="1"/>
  <c r="P590" i="184" s="1"/>
  <c r="AC36" i="198" s="1"/>
  <c r="S85" i="178"/>
  <c r="W85" i="178"/>
  <c r="K85" i="178"/>
  <c r="U85" i="178"/>
  <c r="R85" i="178"/>
  <c r="M85" i="178"/>
  <c r="O85" i="178"/>
  <c r="O117" i="184" s="1"/>
  <c r="O590" i="184" s="1"/>
  <c r="X36" i="198" s="1"/>
  <c r="X85" i="178"/>
  <c r="N85" i="178"/>
  <c r="N117" i="184" s="1"/>
  <c r="L85" i="178"/>
  <c r="L117" i="184" s="1"/>
  <c r="Q85" i="178"/>
  <c r="Q117" i="184" s="1"/>
  <c r="Y85" i="178"/>
  <c r="V85" i="178"/>
  <c r="T85" i="178"/>
  <c r="J32" i="178"/>
  <c r="U32" i="178"/>
  <c r="U64" i="184" s="1"/>
  <c r="K32" i="178"/>
  <c r="K64" i="184" s="1"/>
  <c r="K563" i="184" s="1"/>
  <c r="K28" i="198" s="1"/>
  <c r="M32" i="178"/>
  <c r="M64" i="184" s="1"/>
  <c r="Y32" i="178"/>
  <c r="Y64" i="184" s="1"/>
  <c r="P32" i="178"/>
  <c r="P64" i="184" s="1"/>
  <c r="P563" i="184" s="1"/>
  <c r="AB28" i="198" s="1"/>
  <c r="X32" i="178"/>
  <c r="X64" i="184" s="1"/>
  <c r="O32" i="178"/>
  <c r="O64" i="184" s="1"/>
  <c r="W32" i="178"/>
  <c r="W64" i="184" s="1"/>
  <c r="N32" i="178"/>
  <c r="N64" i="184" s="1"/>
  <c r="N563" i="184" s="1"/>
  <c r="R28" i="198" s="1"/>
  <c r="V32" i="178"/>
  <c r="V64" i="184" s="1"/>
  <c r="L32" i="178"/>
  <c r="L64" i="184" s="1"/>
  <c r="L563" i="184" s="1"/>
  <c r="L28" i="198" s="1"/>
  <c r="Q32" i="178"/>
  <c r="S32" i="178"/>
  <c r="S64" i="184" s="1"/>
  <c r="T32" i="178"/>
  <c r="T64" i="184" s="1"/>
  <c r="R32" i="178"/>
  <c r="R64" i="184" s="1"/>
  <c r="J147" i="178"/>
  <c r="V147" i="178"/>
  <c r="M147" i="178"/>
  <c r="U147" i="178"/>
  <c r="Y147" i="178"/>
  <c r="T147" i="178"/>
  <c r="L147" i="178"/>
  <c r="L179" i="184" s="1"/>
  <c r="L618" i="184" s="1"/>
  <c r="O44" i="198" s="1"/>
  <c r="N147" i="178"/>
  <c r="N179" i="184" s="1"/>
  <c r="N618" i="184" s="1"/>
  <c r="U44" i="198" s="1"/>
  <c r="S147" i="178"/>
  <c r="K147" i="178"/>
  <c r="Q147" i="178"/>
  <c r="X147" i="178"/>
  <c r="R147" i="178"/>
  <c r="W147" i="178"/>
  <c r="P147" i="178"/>
  <c r="P179" i="184" s="1"/>
  <c r="P618" i="184" s="1"/>
  <c r="AE44" i="198" s="1"/>
  <c r="O147" i="178"/>
  <c r="O179" i="184" s="1"/>
  <c r="O618" i="184" s="1"/>
  <c r="Z44" i="198" s="1"/>
  <c r="J182" i="178"/>
  <c r="N182" i="178"/>
  <c r="N675" i="184" s="1"/>
  <c r="M182" i="178"/>
  <c r="M675" i="184" s="1"/>
  <c r="K182" i="178"/>
  <c r="K675" i="184" s="1"/>
  <c r="L182" i="178"/>
  <c r="L675" i="184" s="1"/>
  <c r="J36" i="178"/>
  <c r="J68" i="184" s="1"/>
  <c r="O36" i="178"/>
  <c r="O68" i="184" s="1"/>
  <c r="S36" i="178"/>
  <c r="L36" i="178"/>
  <c r="L68" i="184" s="1"/>
  <c r="V36" i="178"/>
  <c r="K36" i="178"/>
  <c r="N36" i="178"/>
  <c r="N68" i="184" s="1"/>
  <c r="U36" i="178"/>
  <c r="Q36" i="178"/>
  <c r="Q68" i="184" s="1"/>
  <c r="X36" i="178"/>
  <c r="M36" i="178"/>
  <c r="R36" i="178"/>
  <c r="T36" i="178"/>
  <c r="W36" i="178"/>
  <c r="P36" i="178"/>
  <c r="P68" i="184" s="1"/>
  <c r="Y36" i="178"/>
  <c r="J120" i="178"/>
  <c r="V120" i="178"/>
  <c r="V152" i="184" s="1"/>
  <c r="R120" i="178"/>
  <c r="R152" i="184" s="1"/>
  <c r="N120" i="178"/>
  <c r="N152" i="184" s="1"/>
  <c r="N615" i="184" s="1"/>
  <c r="R44" i="198" s="1"/>
  <c r="X120" i="178"/>
  <c r="X152" i="184" s="1"/>
  <c r="U120" i="178"/>
  <c r="U152" i="184" s="1"/>
  <c r="P120" i="178"/>
  <c r="P152" i="184" s="1"/>
  <c r="P615" i="184" s="1"/>
  <c r="AB44" i="198" s="1"/>
  <c r="M120" i="178"/>
  <c r="M152" i="184" s="1"/>
  <c r="Q120" i="178"/>
  <c r="T120" i="178"/>
  <c r="T152" i="184" s="1"/>
  <c r="O120" i="178"/>
  <c r="O152" i="184" s="1"/>
  <c r="O615" i="184" s="1"/>
  <c r="W44" i="198" s="1"/>
  <c r="S120" i="178"/>
  <c r="S152" i="184" s="1"/>
  <c r="W120" i="178"/>
  <c r="W152" i="184" s="1"/>
  <c r="L120" i="178"/>
  <c r="L152" i="184" s="1"/>
  <c r="L615" i="184" s="1"/>
  <c r="L44" i="198" s="1"/>
  <c r="K120" i="178"/>
  <c r="K152" i="184" s="1"/>
  <c r="Y120" i="178"/>
  <c r="Y152" i="184" s="1"/>
  <c r="O282" i="184"/>
  <c r="O284" i="184" s="1"/>
  <c r="O316" i="184"/>
  <c r="O320" i="184"/>
  <c r="O234" i="184"/>
  <c r="O236" i="184" s="1"/>
  <c r="O256" i="184"/>
  <c r="O258" i="184" s="1"/>
  <c r="O293" i="184"/>
  <c r="O295" i="184" s="1"/>
  <c r="O317" i="184"/>
  <c r="O321" i="184"/>
  <c r="O304" i="184"/>
  <c r="O306" i="184" s="1"/>
  <c r="O318" i="184"/>
  <c r="O319" i="184"/>
  <c r="O245" i="184"/>
  <c r="O247" i="184" s="1"/>
  <c r="O315" i="184"/>
  <c r="O271" i="184"/>
  <c r="O273" i="184" s="1"/>
  <c r="O560" i="184"/>
  <c r="Z27" i="198" s="1"/>
  <c r="J666" i="184"/>
  <c r="H199" i="178"/>
  <c r="J93" i="178"/>
  <c r="Y93" i="178"/>
  <c r="Q93" i="178"/>
  <c r="V93" i="178"/>
  <c r="R93" i="178"/>
  <c r="N93" i="178"/>
  <c r="N125" i="184" s="1"/>
  <c r="N585" i="184" s="1"/>
  <c r="T35" i="198" s="1"/>
  <c r="U93" i="178"/>
  <c r="T93" i="178"/>
  <c r="X93" i="178"/>
  <c r="S93" i="178"/>
  <c r="O93" i="178"/>
  <c r="O125" i="184" s="1"/>
  <c r="O585" i="184" s="1"/>
  <c r="Y35" i="198" s="1"/>
  <c r="Y107" i="198" s="1"/>
  <c r="M93" i="178"/>
  <c r="P93" i="178"/>
  <c r="P125" i="184" s="1"/>
  <c r="P585" i="184" s="1"/>
  <c r="AD35" i="198" s="1"/>
  <c r="AD107" i="198" s="1"/>
  <c r="L93" i="178"/>
  <c r="L125" i="184" s="1"/>
  <c r="L585" i="184" s="1"/>
  <c r="N35" i="198" s="1"/>
  <c r="W93" i="178"/>
  <c r="K93" i="178"/>
  <c r="K40" i="178"/>
  <c r="N40" i="178"/>
  <c r="N72" i="184" s="1"/>
  <c r="Q40" i="178"/>
  <c r="Q72" i="184" s="1"/>
  <c r="U40" i="178"/>
  <c r="O40" i="178"/>
  <c r="O72" i="184" s="1"/>
  <c r="S40" i="178"/>
  <c r="X40" i="178"/>
  <c r="M40" i="178"/>
  <c r="P40" i="178"/>
  <c r="P72" i="184" s="1"/>
  <c r="J40" i="178"/>
  <c r="J72" i="184" s="1"/>
  <c r="W40" i="178"/>
  <c r="V40" i="178"/>
  <c r="T40" i="178"/>
  <c r="Y40" i="178"/>
  <c r="R40" i="178"/>
  <c r="L40" i="178"/>
  <c r="L72" i="184" s="1"/>
  <c r="J151" i="178"/>
  <c r="O151" i="178"/>
  <c r="O183" i="184" s="1"/>
  <c r="O642" i="184" s="1"/>
  <c r="Z48" i="198" s="1"/>
  <c r="R151" i="178"/>
  <c r="U151" i="178"/>
  <c r="Q151" i="178"/>
  <c r="M151" i="178"/>
  <c r="P151" i="178"/>
  <c r="P183" i="184" s="1"/>
  <c r="P642" i="184" s="1"/>
  <c r="AE48" i="198" s="1"/>
  <c r="Y151" i="178"/>
  <c r="W151" i="178"/>
  <c r="T151" i="178"/>
  <c r="N151" i="178"/>
  <c r="N183" i="184" s="1"/>
  <c r="N642" i="184" s="1"/>
  <c r="U48" i="198" s="1"/>
  <c r="S151" i="178"/>
  <c r="V151" i="178"/>
  <c r="X151" i="178"/>
  <c r="L151" i="178"/>
  <c r="L183" i="184" s="1"/>
  <c r="L642" i="184" s="1"/>
  <c r="O48" i="198" s="1"/>
  <c r="K151" i="178"/>
  <c r="N602" i="184"/>
  <c r="S38" i="198" s="1"/>
  <c r="N213" i="184"/>
  <c r="N291" i="184" s="1"/>
  <c r="M272" i="184"/>
  <c r="M246" i="184"/>
  <c r="M326" i="184"/>
  <c r="M327" i="184"/>
  <c r="M283" i="184"/>
  <c r="M285" i="184" s="1"/>
  <c r="M294" i="184"/>
  <c r="M296" i="184" s="1"/>
  <c r="M235" i="184"/>
  <c r="M257" i="184"/>
  <c r="M324" i="184"/>
  <c r="M328" i="184"/>
  <c r="M325" i="184"/>
  <c r="M329" i="184"/>
  <c r="M305" i="184"/>
  <c r="M307" i="184" s="1"/>
  <c r="M330" i="184"/>
  <c r="L294" i="184"/>
  <c r="L296" i="184" s="1"/>
  <c r="L325" i="184"/>
  <c r="L329" i="184"/>
  <c r="L305" i="184"/>
  <c r="L307" i="184" s="1"/>
  <c r="L257" i="184"/>
  <c r="L326" i="184"/>
  <c r="L235" i="184"/>
  <c r="L327" i="184"/>
  <c r="L272" i="184"/>
  <c r="L246" i="184"/>
  <c r="L324" i="184"/>
  <c r="L328" i="184"/>
  <c r="L330" i="184"/>
  <c r="L283" i="184"/>
  <c r="L285" i="184" s="1"/>
  <c r="J62" i="178"/>
  <c r="P62" i="178"/>
  <c r="P94" i="184" s="1"/>
  <c r="W62" i="178"/>
  <c r="N62" i="178"/>
  <c r="N94" i="184" s="1"/>
  <c r="V62" i="178"/>
  <c r="U62" i="178"/>
  <c r="S62" i="178"/>
  <c r="Q62" i="178"/>
  <c r="Y62" i="178"/>
  <c r="T62" i="178"/>
  <c r="R62" i="178"/>
  <c r="X62" i="178"/>
  <c r="O62" i="178"/>
  <c r="O94" i="184" s="1"/>
  <c r="M62" i="178"/>
  <c r="L62" i="178"/>
  <c r="L94" i="184" s="1"/>
  <c r="K62" i="178"/>
  <c r="J148" i="178"/>
  <c r="X148" i="178"/>
  <c r="Y148" i="178"/>
  <c r="O148" i="178"/>
  <c r="O180" i="184" s="1"/>
  <c r="O624" i="184" s="1"/>
  <c r="Z45" i="198" s="1"/>
  <c r="V148" i="178"/>
  <c r="W148" i="178"/>
  <c r="L148" i="178"/>
  <c r="L180" i="184" s="1"/>
  <c r="L624" i="184" s="1"/>
  <c r="O45" i="198" s="1"/>
  <c r="S148" i="178"/>
  <c r="K148" i="178"/>
  <c r="P148" i="178"/>
  <c r="P180" i="184" s="1"/>
  <c r="P624" i="184" s="1"/>
  <c r="AE45" i="198" s="1"/>
  <c r="R148" i="178"/>
  <c r="M148" i="178"/>
  <c r="U148" i="178"/>
  <c r="T148" i="178"/>
  <c r="Q148" i="178"/>
  <c r="N148" i="178"/>
  <c r="N180" i="184" s="1"/>
  <c r="N624" i="184" s="1"/>
  <c r="U45" i="198" s="1"/>
  <c r="T601" i="184"/>
  <c r="AJ38" i="198" s="1"/>
  <c r="AJ110" i="198" s="1"/>
  <c r="T340" i="184"/>
  <c r="K190" i="178"/>
  <c r="R190" i="178"/>
  <c r="U190" i="178"/>
  <c r="J190" i="178"/>
  <c r="M190" i="178"/>
  <c r="Y190" i="178"/>
  <c r="T190" i="178"/>
  <c r="Q190" i="178"/>
  <c r="L190" i="178"/>
  <c r="W190" i="178"/>
  <c r="P190" i="178"/>
  <c r="V190" i="178"/>
  <c r="O190" i="178"/>
  <c r="N190" i="178"/>
  <c r="S190" i="178"/>
  <c r="X190" i="178"/>
  <c r="P616" i="184"/>
  <c r="AC44" i="198" s="1"/>
  <c r="M282" i="184"/>
  <c r="M284" i="184" s="1"/>
  <c r="M316" i="184"/>
  <c r="M320" i="184"/>
  <c r="M234" i="184"/>
  <c r="M256" i="184"/>
  <c r="M293" i="184"/>
  <c r="M295" i="184" s="1"/>
  <c r="M317" i="184"/>
  <c r="M321" i="184"/>
  <c r="M304" i="184"/>
  <c r="M306" i="184" s="1"/>
  <c r="M318" i="184"/>
  <c r="M245" i="184"/>
  <c r="M271" i="184"/>
  <c r="M315" i="184"/>
  <c r="M319" i="184"/>
  <c r="P542" i="184"/>
  <c r="AE24" i="198" s="1"/>
  <c r="J138" i="178"/>
  <c r="P138" i="178"/>
  <c r="P170" i="184" s="1"/>
  <c r="P617" i="184" s="1"/>
  <c r="AD44" i="198" s="1"/>
  <c r="K138" i="178"/>
  <c r="Y138" i="178"/>
  <c r="Q138" i="178"/>
  <c r="W138" i="178"/>
  <c r="R138" i="178"/>
  <c r="O138" i="178"/>
  <c r="O170" i="184" s="1"/>
  <c r="O617" i="184" s="1"/>
  <c r="Y44" i="198" s="1"/>
  <c r="U138" i="178"/>
  <c r="M138" i="178"/>
  <c r="N138" i="178"/>
  <c r="N170" i="184" s="1"/>
  <c r="N617" i="184" s="1"/>
  <c r="T44" i="198" s="1"/>
  <c r="L138" i="178"/>
  <c r="L170" i="184" s="1"/>
  <c r="L617" i="184" s="1"/>
  <c r="N44" i="198" s="1"/>
  <c r="T138" i="178"/>
  <c r="S138" i="178"/>
  <c r="V138" i="178"/>
  <c r="X138" i="178"/>
  <c r="J183" i="178"/>
  <c r="M183" i="178"/>
  <c r="M676" i="184" s="1"/>
  <c r="N183" i="178"/>
  <c r="N676" i="184" s="1"/>
  <c r="L183" i="178"/>
  <c r="L676" i="184" s="1"/>
  <c r="K183" i="178"/>
  <c r="K676" i="184" s="1"/>
  <c r="J131" i="178"/>
  <c r="J163" i="184" s="1"/>
  <c r="Y131" i="178"/>
  <c r="P131" i="178"/>
  <c r="P163" i="184" s="1"/>
  <c r="X131" i="178"/>
  <c r="L131" i="178"/>
  <c r="L163" i="184" s="1"/>
  <c r="W131" i="178"/>
  <c r="T131" i="178"/>
  <c r="U131" i="178"/>
  <c r="M131" i="178"/>
  <c r="S131" i="178"/>
  <c r="O131" i="178"/>
  <c r="O163" i="184" s="1"/>
  <c r="K131" i="178"/>
  <c r="R131" i="178"/>
  <c r="V131" i="178"/>
  <c r="Q131" i="178"/>
  <c r="Q163" i="184" s="1"/>
  <c r="N131" i="178"/>
  <c r="N163" i="184" s="1"/>
  <c r="J30" i="178"/>
  <c r="T30" i="178"/>
  <c r="T62" i="184" s="1"/>
  <c r="R30" i="178"/>
  <c r="R62" i="184" s="1"/>
  <c r="L30" i="178"/>
  <c r="L62" i="184" s="1"/>
  <c r="P30" i="178"/>
  <c r="P62" i="184" s="1"/>
  <c r="X30" i="178"/>
  <c r="X62" i="184" s="1"/>
  <c r="S30" i="178"/>
  <c r="S62" i="184" s="1"/>
  <c r="M30" i="178"/>
  <c r="M62" i="184" s="1"/>
  <c r="W30" i="178"/>
  <c r="W62" i="184" s="1"/>
  <c r="V30" i="178"/>
  <c r="V62" i="184" s="1"/>
  <c r="K30" i="178"/>
  <c r="K62" i="184" s="1"/>
  <c r="U30" i="178"/>
  <c r="U62" i="184" s="1"/>
  <c r="Q30" i="178"/>
  <c r="N30" i="178"/>
  <c r="N62" i="184" s="1"/>
  <c r="Y30" i="178"/>
  <c r="Y62" i="184" s="1"/>
  <c r="O30" i="178"/>
  <c r="O62" i="184" s="1"/>
  <c r="K63" i="178"/>
  <c r="R63" i="178"/>
  <c r="X63" i="178"/>
  <c r="V63" i="178"/>
  <c r="P63" i="178"/>
  <c r="P95" i="184" s="1"/>
  <c r="P537" i="184" s="1"/>
  <c r="AF23" i="198" s="1"/>
  <c r="U63" i="178"/>
  <c r="Y63" i="178"/>
  <c r="N63" i="178"/>
  <c r="N95" i="184" s="1"/>
  <c r="W63" i="178"/>
  <c r="L63" i="178"/>
  <c r="L95" i="184" s="1"/>
  <c r="O63" i="178"/>
  <c r="O95" i="184" s="1"/>
  <c r="M63" i="178"/>
  <c r="T63" i="178"/>
  <c r="S63" i="178"/>
  <c r="J63" i="178"/>
  <c r="Q63" i="178"/>
  <c r="N640" i="184"/>
  <c r="S48" i="198" s="1"/>
  <c r="Q325" i="184"/>
  <c r="Q329" i="184"/>
  <c r="Q330" i="184"/>
  <c r="Q257" i="184"/>
  <c r="Q326" i="184"/>
  <c r="Q235" i="184"/>
  <c r="Q272" i="184"/>
  <c r="Q327" i="184"/>
  <c r="Q294" i="184"/>
  <c r="Q296" i="184" s="1"/>
  <c r="Q246" i="184"/>
  <c r="Q324" i="184"/>
  <c r="Q328" i="184"/>
  <c r="Q283" i="184"/>
  <c r="Q285" i="184" s="1"/>
  <c r="Q305" i="184"/>
  <c r="Q307" i="184" s="1"/>
  <c r="J38" i="178"/>
  <c r="J70" i="184" s="1"/>
  <c r="P38" i="178"/>
  <c r="P70" i="184" s="1"/>
  <c r="L38" i="178"/>
  <c r="L70" i="184" s="1"/>
  <c r="T38" i="178"/>
  <c r="W38" i="178"/>
  <c r="Y38" i="178"/>
  <c r="M38" i="178"/>
  <c r="O38" i="178"/>
  <c r="O70" i="184" s="1"/>
  <c r="S38" i="178"/>
  <c r="N38" i="178"/>
  <c r="N70" i="184" s="1"/>
  <c r="K38" i="178"/>
  <c r="U38" i="178"/>
  <c r="Q38" i="178"/>
  <c r="Q70" i="184" s="1"/>
  <c r="R38" i="178"/>
  <c r="V38" i="178"/>
  <c r="X38" i="178"/>
  <c r="J83" i="178"/>
  <c r="J115" i="184" s="1"/>
  <c r="Y83" i="178"/>
  <c r="V83" i="178"/>
  <c r="T83" i="178"/>
  <c r="X83" i="178"/>
  <c r="L83" i="178"/>
  <c r="L115" i="184" s="1"/>
  <c r="Q83" i="178"/>
  <c r="Q115" i="184" s="1"/>
  <c r="W83" i="178"/>
  <c r="P83" i="178"/>
  <c r="P115" i="184" s="1"/>
  <c r="P578" i="184" s="1"/>
  <c r="AC34" i="198" s="1"/>
  <c r="AC106" i="198" s="1"/>
  <c r="N83" i="178"/>
  <c r="N115" i="184" s="1"/>
  <c r="S83" i="178"/>
  <c r="M83" i="178"/>
  <c r="R83" i="178"/>
  <c r="O83" i="178"/>
  <c r="O115" i="184" s="1"/>
  <c r="O578" i="184" s="1"/>
  <c r="X34" i="198" s="1"/>
  <c r="X106" i="198" s="1"/>
  <c r="U83" i="178"/>
  <c r="K83" i="178"/>
  <c r="L555" i="184"/>
  <c r="P26" i="198" s="1"/>
  <c r="J184" i="178"/>
  <c r="N184" i="178"/>
  <c r="N677" i="184" s="1"/>
  <c r="L184" i="178"/>
  <c r="L677" i="184" s="1"/>
  <c r="M184" i="178"/>
  <c r="M677" i="184" s="1"/>
  <c r="K184" i="178"/>
  <c r="K677" i="184" s="1"/>
  <c r="J162" i="178"/>
  <c r="P162" i="178"/>
  <c r="P194" i="184" s="1"/>
  <c r="P655" i="184" s="1"/>
  <c r="AF50" i="198" s="1"/>
  <c r="Q162" i="178"/>
  <c r="Y162" i="178"/>
  <c r="K162" i="178"/>
  <c r="R162" i="178"/>
  <c r="O162" i="178"/>
  <c r="O194" i="184" s="1"/>
  <c r="O655" i="184" s="1"/>
  <c r="AA50" i="198" s="1"/>
  <c r="V162" i="178"/>
  <c r="X162" i="178"/>
  <c r="U162" i="178"/>
  <c r="M162" i="178"/>
  <c r="W162" i="178"/>
  <c r="L162" i="178"/>
  <c r="L194" i="184" s="1"/>
  <c r="L655" i="184" s="1"/>
  <c r="P50" i="198" s="1"/>
  <c r="N162" i="178"/>
  <c r="N194" i="184" s="1"/>
  <c r="N655" i="184" s="1"/>
  <c r="V50" i="198" s="1"/>
  <c r="T162" i="178"/>
  <c r="S162" i="178"/>
  <c r="P245" i="184"/>
  <c r="P247" i="184" s="1"/>
  <c r="P304" i="184"/>
  <c r="P306" i="184" s="1"/>
  <c r="P293" i="184"/>
  <c r="P295" i="184" s="1"/>
  <c r="P320" i="184"/>
  <c r="P319" i="184"/>
  <c r="P256" i="184"/>
  <c r="P258" i="184" s="1"/>
  <c r="P316" i="184"/>
  <c r="P315" i="184"/>
  <c r="P234" i="184"/>
  <c r="P236" i="184" s="1"/>
  <c r="P282" i="184"/>
  <c r="P284" i="184" s="1"/>
  <c r="P271" i="184"/>
  <c r="P273" i="184" s="1"/>
  <c r="P321" i="184"/>
  <c r="P318" i="184"/>
  <c r="P317" i="184"/>
  <c r="J57" i="178"/>
  <c r="Q57" i="178"/>
  <c r="U57" i="178"/>
  <c r="W57" i="178"/>
  <c r="M57" i="178"/>
  <c r="O57" i="178"/>
  <c r="O89" i="184" s="1"/>
  <c r="T57" i="178"/>
  <c r="L57" i="178"/>
  <c r="L89" i="184" s="1"/>
  <c r="P57" i="178"/>
  <c r="P89" i="184" s="1"/>
  <c r="K57" i="178"/>
  <c r="N57" i="178"/>
  <c r="N89" i="184" s="1"/>
  <c r="R57" i="178"/>
  <c r="Y57" i="178"/>
  <c r="X57" i="178"/>
  <c r="V57" i="178"/>
  <c r="S57" i="178"/>
  <c r="L179" i="178"/>
  <c r="L672" i="184" s="1"/>
  <c r="K179" i="178"/>
  <c r="K672" i="184" s="1"/>
  <c r="J179" i="178"/>
  <c r="M179" i="178"/>
  <c r="M672" i="184" s="1"/>
  <c r="N179" i="178"/>
  <c r="N672" i="184" s="1"/>
  <c r="J101" i="178"/>
  <c r="P101" i="178"/>
  <c r="P133" i="184" s="1"/>
  <c r="P580" i="184" s="1"/>
  <c r="AE34" i="198" s="1"/>
  <c r="AE106" i="198" s="1"/>
  <c r="L101" i="178"/>
  <c r="L133" i="184" s="1"/>
  <c r="L580" i="184" s="1"/>
  <c r="O34" i="198" s="1"/>
  <c r="O101" i="178"/>
  <c r="O133" i="184" s="1"/>
  <c r="O580" i="184" s="1"/>
  <c r="Z34" i="198" s="1"/>
  <c r="Z106" i="198" s="1"/>
  <c r="S101" i="178"/>
  <c r="V101" i="178"/>
  <c r="K101" i="178"/>
  <c r="N101" i="178"/>
  <c r="N133" i="184" s="1"/>
  <c r="N580" i="184" s="1"/>
  <c r="U34" i="198" s="1"/>
  <c r="Q101" i="178"/>
  <c r="U101" i="178"/>
  <c r="T101" i="178"/>
  <c r="X101" i="178"/>
  <c r="Y101" i="178"/>
  <c r="M101" i="178"/>
  <c r="R101" i="178"/>
  <c r="W101" i="178"/>
  <c r="J139" i="178"/>
  <c r="N139" i="178"/>
  <c r="N171" i="184" s="1"/>
  <c r="N623" i="184" s="1"/>
  <c r="T45" i="198" s="1"/>
  <c r="Y139" i="178"/>
  <c r="U139" i="178"/>
  <c r="W139" i="178"/>
  <c r="M139" i="178"/>
  <c r="V139" i="178"/>
  <c r="P139" i="178"/>
  <c r="P171" i="184" s="1"/>
  <c r="P623" i="184" s="1"/>
  <c r="AD45" i="198" s="1"/>
  <c r="T139" i="178"/>
  <c r="X139" i="178"/>
  <c r="L139" i="178"/>
  <c r="L171" i="184" s="1"/>
  <c r="L623" i="184" s="1"/>
  <c r="N45" i="198" s="1"/>
  <c r="S139" i="178"/>
  <c r="Q139" i="178"/>
  <c r="R139" i="178"/>
  <c r="K139" i="178"/>
  <c r="O139" i="178"/>
  <c r="O171" i="184" s="1"/>
  <c r="O623" i="184" s="1"/>
  <c r="Y45" i="198" s="1"/>
  <c r="K73" i="178"/>
  <c r="K105" i="184" s="1"/>
  <c r="X73" i="178"/>
  <c r="M73" i="178"/>
  <c r="M105" i="184" s="1"/>
  <c r="P73" i="178"/>
  <c r="P105" i="184" s="1"/>
  <c r="P571" i="184" s="1"/>
  <c r="AB33" i="198" s="1"/>
  <c r="AB105" i="198" s="1"/>
  <c r="J73" i="178"/>
  <c r="O73" i="178"/>
  <c r="O105" i="184" s="1"/>
  <c r="O571" i="184" s="1"/>
  <c r="W33" i="198" s="1"/>
  <c r="W105" i="198" s="1"/>
  <c r="Q73" i="178"/>
  <c r="R73" i="178"/>
  <c r="R105" i="184" s="1"/>
  <c r="W73" i="178"/>
  <c r="Y73" i="178"/>
  <c r="T73" i="178"/>
  <c r="T105" i="184" s="1"/>
  <c r="N73" i="178"/>
  <c r="N105" i="184" s="1"/>
  <c r="N571" i="184" s="1"/>
  <c r="R33" i="198" s="1"/>
  <c r="S73" i="178"/>
  <c r="U73" i="178"/>
  <c r="V73" i="178"/>
  <c r="L73" i="178"/>
  <c r="L105" i="184" s="1"/>
  <c r="L571" i="184" s="1"/>
  <c r="L33" i="198" s="1"/>
  <c r="L542" i="184"/>
  <c r="O24" i="198" s="1"/>
  <c r="L28" i="178"/>
  <c r="L60" i="184" s="1"/>
  <c r="P28" i="178"/>
  <c r="P60" i="184" s="1"/>
  <c r="V28" i="178"/>
  <c r="V60" i="184" s="1"/>
  <c r="W28" i="178"/>
  <c r="W60" i="184" s="1"/>
  <c r="N28" i="178"/>
  <c r="N60" i="184" s="1"/>
  <c r="R28" i="178"/>
  <c r="R60" i="184" s="1"/>
  <c r="O28" i="178"/>
  <c r="O60" i="184" s="1"/>
  <c r="S28" i="178"/>
  <c r="S60" i="184" s="1"/>
  <c r="Y28" i="178"/>
  <c r="Y60" i="184" s="1"/>
  <c r="K28" i="178"/>
  <c r="K60" i="184" s="1"/>
  <c r="M28" i="178"/>
  <c r="M60" i="184" s="1"/>
  <c r="J28" i="178"/>
  <c r="U28" i="178"/>
  <c r="U60" i="184" s="1"/>
  <c r="Q28" i="178"/>
  <c r="T28" i="178"/>
  <c r="T60" i="184" s="1"/>
  <c r="X28" i="178"/>
  <c r="X60" i="184" s="1"/>
  <c r="J121" i="178"/>
  <c r="V121" i="178"/>
  <c r="V153" i="184" s="1"/>
  <c r="K121" i="178"/>
  <c r="K153" i="184" s="1"/>
  <c r="N121" i="178"/>
  <c r="N153" i="184" s="1"/>
  <c r="N621" i="184" s="1"/>
  <c r="R45" i="198" s="1"/>
  <c r="R121" i="178"/>
  <c r="R153" i="184" s="1"/>
  <c r="M121" i="178"/>
  <c r="M153" i="184" s="1"/>
  <c r="Y121" i="178"/>
  <c r="Y153" i="184" s="1"/>
  <c r="T121" i="178"/>
  <c r="T153" i="184" s="1"/>
  <c r="P121" i="178"/>
  <c r="P153" i="184" s="1"/>
  <c r="P621" i="184" s="1"/>
  <c r="AB45" i="198" s="1"/>
  <c r="L121" i="178"/>
  <c r="L153" i="184" s="1"/>
  <c r="L621" i="184" s="1"/>
  <c r="L45" i="198" s="1"/>
  <c r="O121" i="178"/>
  <c r="O153" i="184" s="1"/>
  <c r="O621" i="184" s="1"/>
  <c r="W45" i="198" s="1"/>
  <c r="U121" i="178"/>
  <c r="U153" i="184" s="1"/>
  <c r="W121" i="178"/>
  <c r="W153" i="184" s="1"/>
  <c r="X121" i="178"/>
  <c r="X153" i="184" s="1"/>
  <c r="Q121" i="178"/>
  <c r="S121" i="178"/>
  <c r="S153" i="184" s="1"/>
  <c r="L31" i="178"/>
  <c r="L63" i="184" s="1"/>
  <c r="W31" i="178"/>
  <c r="W63" i="184" s="1"/>
  <c r="M31" i="178"/>
  <c r="M63" i="184" s="1"/>
  <c r="O31" i="178"/>
  <c r="O63" i="184" s="1"/>
  <c r="T31" i="178"/>
  <c r="T63" i="184" s="1"/>
  <c r="X31" i="178"/>
  <c r="X63" i="184" s="1"/>
  <c r="K31" i="178"/>
  <c r="K63" i="184" s="1"/>
  <c r="V31" i="178"/>
  <c r="V63" i="184" s="1"/>
  <c r="S31" i="178"/>
  <c r="S63" i="184" s="1"/>
  <c r="P31" i="178"/>
  <c r="P63" i="184" s="1"/>
  <c r="P557" i="184" s="1"/>
  <c r="AB27" i="198" s="1"/>
  <c r="J31" i="178"/>
  <c r="N31" i="178"/>
  <c r="N63" i="184" s="1"/>
  <c r="Y31" i="178"/>
  <c r="Y63" i="184" s="1"/>
  <c r="Q31" i="178"/>
  <c r="R31" i="178"/>
  <c r="R63" i="184" s="1"/>
  <c r="U31" i="178"/>
  <c r="U63" i="184" s="1"/>
  <c r="N608" i="184"/>
  <c r="S39" i="198" s="1"/>
  <c r="N214" i="184"/>
  <c r="N302" i="184" s="1"/>
  <c r="K74" i="178"/>
  <c r="K106" i="184" s="1"/>
  <c r="U74" i="178"/>
  <c r="R74" i="178"/>
  <c r="R106" i="184" s="1"/>
  <c r="M74" i="178"/>
  <c r="M106" i="184" s="1"/>
  <c r="Q74" i="178"/>
  <c r="J74" i="178"/>
  <c r="X74" i="178"/>
  <c r="Y74" i="178"/>
  <c r="P74" i="178"/>
  <c r="P106" i="184" s="1"/>
  <c r="P577" i="184" s="1"/>
  <c r="AB34" i="198" s="1"/>
  <c r="AB106" i="198" s="1"/>
  <c r="V74" i="178"/>
  <c r="O74" i="178"/>
  <c r="O106" i="184" s="1"/>
  <c r="O577" i="184" s="1"/>
  <c r="W34" i="198" s="1"/>
  <c r="W106" i="198" s="1"/>
  <c r="L74" i="178"/>
  <c r="L106" i="184" s="1"/>
  <c r="L577" i="184" s="1"/>
  <c r="L34" i="198" s="1"/>
  <c r="N74" i="178"/>
  <c r="N106" i="184" s="1"/>
  <c r="N577" i="184" s="1"/>
  <c r="R34" i="198" s="1"/>
  <c r="S74" i="178"/>
  <c r="W74" i="178"/>
  <c r="T74" i="178"/>
  <c r="T106" i="184" s="1"/>
  <c r="J564" i="184"/>
  <c r="J28" i="198" s="1"/>
  <c r="J540" i="184"/>
  <c r="J24" i="198" s="1"/>
  <c r="J201" i="184"/>
  <c r="J253" i="184" s="1"/>
  <c r="J67" i="178"/>
  <c r="N67" i="178"/>
  <c r="N99" i="184" s="1"/>
  <c r="L67" i="178"/>
  <c r="L99" i="184" s="1"/>
  <c r="Y67" i="178"/>
  <c r="S67" i="178"/>
  <c r="P67" i="178"/>
  <c r="P99" i="184" s="1"/>
  <c r="P561" i="184" s="1"/>
  <c r="AF27" i="198" s="1"/>
  <c r="K67" i="178"/>
  <c r="W67" i="178"/>
  <c r="U67" i="178"/>
  <c r="O67" i="178"/>
  <c r="O99" i="184" s="1"/>
  <c r="Q67" i="178"/>
  <c r="V67" i="178"/>
  <c r="X67" i="178"/>
  <c r="M67" i="178"/>
  <c r="T67" i="178"/>
  <c r="R67" i="178"/>
  <c r="J44" i="178"/>
  <c r="N44" i="178"/>
  <c r="N76" i="184" s="1"/>
  <c r="V44" i="178"/>
  <c r="Y44" i="178"/>
  <c r="U44" i="178"/>
  <c r="R44" i="178"/>
  <c r="W44" i="178"/>
  <c r="T44" i="178"/>
  <c r="X44" i="178"/>
  <c r="L44" i="178"/>
  <c r="L76" i="184" s="1"/>
  <c r="Q44" i="178"/>
  <c r="P44" i="178"/>
  <c r="P76" i="184" s="1"/>
  <c r="M44" i="178"/>
  <c r="S44" i="178"/>
  <c r="O44" i="178"/>
  <c r="O76" i="184" s="1"/>
  <c r="O529" i="184" s="1"/>
  <c r="Y22" i="198" s="1"/>
  <c r="K44" i="178"/>
  <c r="K45" i="178"/>
  <c r="Y45" i="178"/>
  <c r="V45" i="178"/>
  <c r="P45" i="178"/>
  <c r="P77" i="184" s="1"/>
  <c r="P535" i="184" s="1"/>
  <c r="AD23" i="198" s="1"/>
  <c r="Q45" i="178"/>
  <c r="U45" i="178"/>
  <c r="W45" i="178"/>
  <c r="S45" i="178"/>
  <c r="M45" i="178"/>
  <c r="L45" i="178"/>
  <c r="L77" i="184" s="1"/>
  <c r="O45" i="178"/>
  <c r="O77" i="184" s="1"/>
  <c r="X45" i="178"/>
  <c r="N45" i="178"/>
  <c r="N77" i="184" s="1"/>
  <c r="R45" i="178"/>
  <c r="T45" i="178"/>
  <c r="J45" i="178"/>
  <c r="N555" i="184"/>
  <c r="V26" i="198" s="1"/>
  <c r="R601" i="184"/>
  <c r="AH38" i="198" s="1"/>
  <c r="AH110" i="198" s="1"/>
  <c r="R340" i="184"/>
  <c r="L82" i="178"/>
  <c r="L114" i="184" s="1"/>
  <c r="J82" i="178"/>
  <c r="J114" i="184" s="1"/>
  <c r="N82" i="178"/>
  <c r="N114" i="184" s="1"/>
  <c r="Y82" i="178"/>
  <c r="S82" i="178"/>
  <c r="Q82" i="178"/>
  <c r="Q114" i="184" s="1"/>
  <c r="R82" i="178"/>
  <c r="P82" i="178"/>
  <c r="P114" i="184" s="1"/>
  <c r="P572" i="184" s="1"/>
  <c r="AC33" i="198" s="1"/>
  <c r="AC105" i="198" s="1"/>
  <c r="U82" i="178"/>
  <c r="W82" i="178"/>
  <c r="M82" i="178"/>
  <c r="X82" i="178"/>
  <c r="K82" i="178"/>
  <c r="V82" i="178"/>
  <c r="O82" i="178"/>
  <c r="O114" i="184" s="1"/>
  <c r="O572" i="184" s="1"/>
  <c r="X33" i="198" s="1"/>
  <c r="X105" i="198" s="1"/>
  <c r="T82" i="178"/>
  <c r="O305" i="184"/>
  <c r="O272" i="184"/>
  <c r="O246" i="184"/>
  <c r="O326" i="184"/>
  <c r="O283" i="184"/>
  <c r="O294" i="184"/>
  <c r="O327" i="184"/>
  <c r="O235" i="184"/>
  <c r="O257" i="184"/>
  <c r="O324" i="184"/>
  <c r="O328" i="184"/>
  <c r="O330" i="184"/>
  <c r="O329" i="184"/>
  <c r="O325" i="184"/>
  <c r="J150" i="178"/>
  <c r="V150" i="178"/>
  <c r="N150" i="178"/>
  <c r="N182" i="184" s="1"/>
  <c r="N636" i="184" s="1"/>
  <c r="U47" i="198" s="1"/>
  <c r="Q150" i="178"/>
  <c r="Y150" i="178"/>
  <c r="L150" i="178"/>
  <c r="L182" i="184" s="1"/>
  <c r="L636" i="184" s="1"/>
  <c r="O47" i="198" s="1"/>
  <c r="X150" i="178"/>
  <c r="S150" i="178"/>
  <c r="P150" i="178"/>
  <c r="P182" i="184" s="1"/>
  <c r="P636" i="184" s="1"/>
  <c r="AE47" i="198" s="1"/>
  <c r="K150" i="178"/>
  <c r="W150" i="178"/>
  <c r="R150" i="178"/>
  <c r="O150" i="178"/>
  <c r="O182" i="184" s="1"/>
  <c r="O636" i="184" s="1"/>
  <c r="Z47" i="198" s="1"/>
  <c r="M150" i="178"/>
  <c r="U150" i="178"/>
  <c r="T150" i="178"/>
  <c r="J84" i="178"/>
  <c r="J116" i="184" s="1"/>
  <c r="N84" i="178"/>
  <c r="N116" i="184" s="1"/>
  <c r="K84" i="178"/>
  <c r="Y84" i="178"/>
  <c r="R84" i="178"/>
  <c r="U84" i="178"/>
  <c r="P84" i="178"/>
  <c r="P116" i="184" s="1"/>
  <c r="P584" i="184" s="1"/>
  <c r="AC35" i="198" s="1"/>
  <c r="AC107" i="198" s="1"/>
  <c r="M84" i="178"/>
  <c r="W84" i="178"/>
  <c r="T84" i="178"/>
  <c r="X84" i="178"/>
  <c r="Q84" i="178"/>
  <c r="Q116" i="184" s="1"/>
  <c r="V84" i="178"/>
  <c r="S84" i="178"/>
  <c r="L84" i="178"/>
  <c r="L116" i="184" s="1"/>
  <c r="O84" i="178"/>
  <c r="O116" i="184" s="1"/>
  <c r="O584" i="184" s="1"/>
  <c r="X35" i="198" s="1"/>
  <c r="X107" i="198" s="1"/>
  <c r="J320" i="184"/>
  <c r="J315" i="184"/>
  <c r="J256" i="184"/>
  <c r="J293" i="184"/>
  <c r="J295" i="184" s="1"/>
  <c r="J321" i="184"/>
  <c r="J271" i="184"/>
  <c r="J316" i="184"/>
  <c r="J318" i="184"/>
  <c r="J319" i="184"/>
  <c r="J317" i="184"/>
  <c r="J304" i="184"/>
  <c r="J306" i="184" s="1"/>
  <c r="J245" i="184"/>
  <c r="J282" i="184"/>
  <c r="J284" i="184" s="1"/>
  <c r="J234" i="184"/>
  <c r="J26" i="178"/>
  <c r="O26" i="178"/>
  <c r="O58" i="184" s="1"/>
  <c r="O527" i="184" s="1"/>
  <c r="W22" i="198" s="1"/>
  <c r="K26" i="178"/>
  <c r="K58" i="184" s="1"/>
  <c r="V26" i="178"/>
  <c r="V58" i="184" s="1"/>
  <c r="X26" i="178"/>
  <c r="X58" i="184" s="1"/>
  <c r="T26" i="178"/>
  <c r="T58" i="184" s="1"/>
  <c r="S26" i="178"/>
  <c r="S58" i="184" s="1"/>
  <c r="N26" i="178"/>
  <c r="N58" i="184" s="1"/>
  <c r="W26" i="178"/>
  <c r="W58" i="184" s="1"/>
  <c r="U26" i="178"/>
  <c r="U58" i="184" s="1"/>
  <c r="Q26" i="178"/>
  <c r="M26" i="178"/>
  <c r="M58" i="184" s="1"/>
  <c r="R26" i="178"/>
  <c r="R58" i="184" s="1"/>
  <c r="P26" i="178"/>
  <c r="P58" i="184" s="1"/>
  <c r="Y26" i="178"/>
  <c r="Y58" i="184" s="1"/>
  <c r="L26" i="178"/>
  <c r="L58" i="184" s="1"/>
  <c r="J47" i="178"/>
  <c r="U47" i="178"/>
  <c r="K47" i="178"/>
  <c r="M47" i="178"/>
  <c r="Y47" i="178"/>
  <c r="W47" i="178"/>
  <c r="P47" i="178"/>
  <c r="P79" i="184" s="1"/>
  <c r="P547" i="184" s="1"/>
  <c r="AD25" i="198" s="1"/>
  <c r="V47" i="178"/>
  <c r="O47" i="178"/>
  <c r="O79" i="184" s="1"/>
  <c r="T47" i="178"/>
  <c r="R47" i="178"/>
  <c r="L47" i="178"/>
  <c r="L79" i="184" s="1"/>
  <c r="Q47" i="178"/>
  <c r="X47" i="178"/>
  <c r="N47" i="178"/>
  <c r="N79" i="184" s="1"/>
  <c r="S47" i="178"/>
  <c r="J159" i="178"/>
  <c r="Y159" i="178"/>
  <c r="M159" i="178"/>
  <c r="Q159" i="178"/>
  <c r="N159" i="178"/>
  <c r="N191" i="184" s="1"/>
  <c r="N637" i="184" s="1"/>
  <c r="V47" i="198" s="1"/>
  <c r="X159" i="178"/>
  <c r="T159" i="178"/>
  <c r="P159" i="178"/>
  <c r="P191" i="184" s="1"/>
  <c r="P637" i="184" s="1"/>
  <c r="AF47" i="198" s="1"/>
  <c r="L159" i="178"/>
  <c r="L191" i="184" s="1"/>
  <c r="L637" i="184" s="1"/>
  <c r="P47" i="198" s="1"/>
  <c r="W159" i="178"/>
  <c r="S159" i="178"/>
  <c r="V159" i="178"/>
  <c r="R159" i="178"/>
  <c r="K159" i="178"/>
  <c r="O159" i="178"/>
  <c r="O191" i="184" s="1"/>
  <c r="O637" i="184" s="1"/>
  <c r="AA47" i="198" s="1"/>
  <c r="U159" i="178"/>
  <c r="J19" i="178"/>
  <c r="J63" i="185" s="1"/>
  <c r="P19" i="178"/>
  <c r="P63" i="185" s="1"/>
  <c r="S19" i="178"/>
  <c r="S63" i="185" s="1"/>
  <c r="S85" i="185" s="1"/>
  <c r="V19" i="178"/>
  <c r="V63" i="185" s="1"/>
  <c r="V85" i="185" s="1"/>
  <c r="K19" i="178"/>
  <c r="K63" i="185" s="1"/>
  <c r="N19" i="178"/>
  <c r="N63" i="185" s="1"/>
  <c r="R19" i="178"/>
  <c r="R63" i="185" s="1"/>
  <c r="R85" i="185" s="1"/>
  <c r="U19" i="178"/>
  <c r="U63" i="185" s="1"/>
  <c r="U85" i="185" s="1"/>
  <c r="Y19" i="178"/>
  <c r="Y63" i="185" s="1"/>
  <c r="Y85" i="185" s="1"/>
  <c r="M19" i="178"/>
  <c r="M63" i="185" s="1"/>
  <c r="W19" i="178"/>
  <c r="W63" i="185" s="1"/>
  <c r="W85" i="185" s="1"/>
  <c r="L19" i="178"/>
  <c r="L63" i="185" s="1"/>
  <c r="X19" i="178"/>
  <c r="X63" i="185" s="1"/>
  <c r="X85" i="185" s="1"/>
  <c r="O19" i="178"/>
  <c r="O63" i="185" s="1"/>
  <c r="T19" i="178"/>
  <c r="T63" i="185" s="1"/>
  <c r="T85" i="185" s="1"/>
  <c r="Q19" i="178"/>
  <c r="Q63" i="185" s="1"/>
  <c r="Q85" i="185" s="1"/>
  <c r="J134" i="178"/>
  <c r="J166" i="184" s="1"/>
  <c r="J646" i="184" s="1"/>
  <c r="J49" i="198" s="1"/>
  <c r="U134" i="178"/>
  <c r="Y134" i="178"/>
  <c r="M134" i="178"/>
  <c r="P134" i="178"/>
  <c r="P166" i="184" s="1"/>
  <c r="Q134" i="178"/>
  <c r="Q166" i="184" s="1"/>
  <c r="Q646" i="184" s="1"/>
  <c r="AG49" i="198" s="1"/>
  <c r="W134" i="178"/>
  <c r="T134" i="178"/>
  <c r="O134" i="178"/>
  <c r="O166" i="184" s="1"/>
  <c r="L134" i="178"/>
  <c r="L166" i="184" s="1"/>
  <c r="L646" i="184" s="1"/>
  <c r="M49" i="198" s="1"/>
  <c r="N134" i="178"/>
  <c r="N166" i="184" s="1"/>
  <c r="K134" i="178"/>
  <c r="V134" i="178"/>
  <c r="S134" i="178"/>
  <c r="R134" i="178"/>
  <c r="X134" i="178"/>
  <c r="O640" i="184"/>
  <c r="X48" i="198" s="1"/>
  <c r="K325" i="184"/>
  <c r="K235" i="184"/>
  <c r="K324" i="184"/>
  <c r="K305" i="184"/>
  <c r="K307" i="184" s="1"/>
  <c r="K328" i="184"/>
  <c r="K272" i="184"/>
  <c r="K329" i="184"/>
  <c r="K294" i="184"/>
  <c r="K296" i="184" s="1"/>
  <c r="K330" i="184"/>
  <c r="K326" i="184"/>
  <c r="K327" i="184"/>
  <c r="K283" i="184"/>
  <c r="K285" i="184" s="1"/>
  <c r="K246" i="184"/>
  <c r="K257" i="184"/>
  <c r="N294" i="184"/>
  <c r="N283" i="184"/>
  <c r="N326" i="184"/>
  <c r="N246" i="184"/>
  <c r="N257" i="184"/>
  <c r="N235" i="184"/>
  <c r="N327" i="184"/>
  <c r="N329" i="184"/>
  <c r="N272" i="184"/>
  <c r="N305" i="184"/>
  <c r="N325" i="184"/>
  <c r="N328" i="184"/>
  <c r="N330" i="184"/>
  <c r="N324" i="184"/>
  <c r="J59" i="178"/>
  <c r="W59" i="178"/>
  <c r="L59" i="178"/>
  <c r="L91" i="184" s="1"/>
  <c r="L566" i="184" s="1"/>
  <c r="O28" i="198" s="1"/>
  <c r="O59" i="178"/>
  <c r="O91" i="184" s="1"/>
  <c r="Q59" i="178"/>
  <c r="Y59" i="178"/>
  <c r="U59" i="178"/>
  <c r="V59" i="178"/>
  <c r="K59" i="178"/>
  <c r="M59" i="178"/>
  <c r="P59" i="178"/>
  <c r="P91" i="184" s="1"/>
  <c r="X59" i="178"/>
  <c r="N59" i="178"/>
  <c r="N91" i="184" s="1"/>
  <c r="T59" i="178"/>
  <c r="S59" i="178"/>
  <c r="R59" i="178"/>
  <c r="J178" i="178"/>
  <c r="N178" i="178"/>
  <c r="N671" i="184" s="1"/>
  <c r="M178" i="178"/>
  <c r="M671" i="184" s="1"/>
  <c r="K178" i="178"/>
  <c r="K671" i="184" s="1"/>
  <c r="L178" i="178"/>
  <c r="L671" i="184" s="1"/>
  <c r="J65" i="178"/>
  <c r="O65" i="178"/>
  <c r="O97" i="184" s="1"/>
  <c r="T65" i="178"/>
  <c r="N65" i="178"/>
  <c r="N97" i="184" s="1"/>
  <c r="R65" i="178"/>
  <c r="U65" i="178"/>
  <c r="X65" i="178"/>
  <c r="S65" i="178"/>
  <c r="Y65" i="178"/>
  <c r="V65" i="178"/>
  <c r="Q65" i="178"/>
  <c r="P65" i="178"/>
  <c r="P97" i="184" s="1"/>
  <c r="P549" i="184" s="1"/>
  <c r="AF25" i="198" s="1"/>
  <c r="W65" i="178"/>
  <c r="L65" i="178"/>
  <c r="L97" i="184" s="1"/>
  <c r="L549" i="184" s="1"/>
  <c r="P25" i="198" s="1"/>
  <c r="K65" i="178"/>
  <c r="M65" i="178"/>
  <c r="H29" i="193"/>
  <c r="H25" i="193"/>
  <c r="H26" i="193"/>
  <c r="H27" i="193"/>
  <c r="H24" i="193"/>
  <c r="H28" i="193"/>
  <c r="H22" i="193"/>
  <c r="H23" i="193"/>
  <c r="H30" i="193"/>
  <c r="H155" i="185"/>
  <c r="Q208" i="185" s="1"/>
  <c r="R207" i="185"/>
  <c r="P207" i="185"/>
  <c r="S207" i="185"/>
  <c r="Y207" i="185"/>
  <c r="N207" i="185"/>
  <c r="J207" i="185"/>
  <c r="U207" i="185"/>
  <c r="W207" i="185"/>
  <c r="K207" i="185"/>
  <c r="L207" i="185"/>
  <c r="O207" i="185"/>
  <c r="M207" i="185"/>
  <c r="V207" i="185"/>
  <c r="T207" i="185"/>
  <c r="X207" i="185"/>
  <c r="H139" i="185"/>
  <c r="Q198" i="185" s="1"/>
  <c r="Y197" i="185"/>
  <c r="U197" i="185"/>
  <c r="N197" i="185"/>
  <c r="L197" i="185"/>
  <c r="J197" i="185"/>
  <c r="X197" i="185"/>
  <c r="W197" i="185"/>
  <c r="K197" i="185"/>
  <c r="V197" i="185"/>
  <c r="O197" i="185"/>
  <c r="P197" i="185"/>
  <c r="T197" i="185"/>
  <c r="M197" i="185"/>
  <c r="R197" i="185"/>
  <c r="S197" i="185"/>
  <c r="X192" i="185"/>
  <c r="M192" i="185"/>
  <c r="J192" i="185"/>
  <c r="O192" i="185"/>
  <c r="U192" i="185"/>
  <c r="P192" i="185"/>
  <c r="W192" i="185"/>
  <c r="S192" i="185"/>
  <c r="Y192" i="185"/>
  <c r="N192" i="185"/>
  <c r="R192" i="185"/>
  <c r="L192" i="185"/>
  <c r="H131" i="185"/>
  <c r="Q193" i="185" s="1"/>
  <c r="V192" i="185"/>
  <c r="T192" i="185"/>
  <c r="K192" i="185"/>
  <c r="M47" i="188"/>
  <c r="P47" i="188"/>
  <c r="O47" i="188"/>
  <c r="N47" i="188"/>
  <c r="L45" i="181"/>
  <c r="J45" i="181"/>
  <c r="O45" i="181"/>
  <c r="N45" i="181"/>
  <c r="P45" i="181"/>
  <c r="M45" i="181"/>
  <c r="Q45" i="181"/>
  <c r="K45" i="181"/>
  <c r="P31" i="188"/>
  <c r="H50" i="186"/>
  <c r="P38" i="182"/>
  <c r="M38" i="182"/>
  <c r="O38" i="182"/>
  <c r="N38" i="182"/>
  <c r="L218" i="185"/>
  <c r="R218" i="185"/>
  <c r="J218" i="185"/>
  <c r="T218" i="185"/>
  <c r="S218" i="185"/>
  <c r="O218" i="185"/>
  <c r="Y218" i="185"/>
  <c r="N218" i="185"/>
  <c r="M218" i="185"/>
  <c r="U218" i="185"/>
  <c r="X218" i="185"/>
  <c r="P218" i="185"/>
  <c r="V218" i="185"/>
  <c r="W218" i="185"/>
  <c r="K218" i="185"/>
  <c r="O31" i="188"/>
  <c r="H49" i="186"/>
  <c r="U212" i="185"/>
  <c r="H163" i="185"/>
  <c r="Q213" i="185" s="1"/>
  <c r="J212" i="185"/>
  <c r="O212" i="185"/>
  <c r="P212" i="185"/>
  <c r="W212" i="185"/>
  <c r="K212" i="185"/>
  <c r="V212" i="185"/>
  <c r="R212" i="185"/>
  <c r="X212" i="185"/>
  <c r="L212" i="185"/>
  <c r="S212" i="185"/>
  <c r="Y212" i="185"/>
  <c r="N212" i="185"/>
  <c r="M212" i="185"/>
  <c r="T212" i="185"/>
  <c r="U187" i="185"/>
  <c r="O187" i="185"/>
  <c r="K187" i="185"/>
  <c r="V187" i="185"/>
  <c r="P187" i="185"/>
  <c r="J187" i="185"/>
  <c r="R187" i="185"/>
  <c r="Y187" i="185"/>
  <c r="M187" i="185"/>
  <c r="N187" i="185"/>
  <c r="T187" i="185"/>
  <c r="X187" i="185"/>
  <c r="H123" i="185"/>
  <c r="Q188" i="185" s="1"/>
  <c r="W187" i="185"/>
  <c r="S187" i="185"/>
  <c r="L187" i="185"/>
  <c r="W177" i="185"/>
  <c r="M177" i="185"/>
  <c r="R177" i="185"/>
  <c r="X177" i="185"/>
  <c r="O177" i="185"/>
  <c r="Y177" i="185"/>
  <c r="N177" i="185"/>
  <c r="H107" i="185"/>
  <c r="Q178" i="185" s="1"/>
  <c r="U177" i="185"/>
  <c r="P177" i="185"/>
  <c r="T177" i="185"/>
  <c r="L177" i="185"/>
  <c r="V177" i="185"/>
  <c r="S177" i="185"/>
  <c r="K177" i="185"/>
  <c r="J177" i="185"/>
  <c r="R202" i="185"/>
  <c r="V202" i="185"/>
  <c r="T202" i="185"/>
  <c r="J202" i="185"/>
  <c r="P202" i="185"/>
  <c r="U202" i="185"/>
  <c r="W202" i="185"/>
  <c r="O202" i="185"/>
  <c r="L202" i="185"/>
  <c r="X202" i="185"/>
  <c r="S202" i="185"/>
  <c r="H147" i="185"/>
  <c r="Q203" i="185" s="1"/>
  <c r="K202" i="185"/>
  <c r="Y202" i="185"/>
  <c r="N202" i="185"/>
  <c r="M202" i="185"/>
  <c r="K20" i="182"/>
  <c r="J28" i="182"/>
  <c r="J29" i="182" s="1"/>
  <c r="K29" i="182"/>
  <c r="H115" i="185"/>
  <c r="Q183" i="185" s="1"/>
  <c r="L182" i="185"/>
  <c r="Y182" i="185"/>
  <c r="N182" i="185"/>
  <c r="M182" i="185"/>
  <c r="P182" i="185"/>
  <c r="K182" i="185"/>
  <c r="X182" i="185"/>
  <c r="O182" i="185"/>
  <c r="U182" i="185"/>
  <c r="W182" i="185"/>
  <c r="R182" i="185"/>
  <c r="V182" i="185"/>
  <c r="T182" i="185"/>
  <c r="J182" i="185"/>
  <c r="S182" i="185"/>
  <c r="J109" i="193" a="1"/>
  <c r="J107" i="192" a="1"/>
  <c r="J69" i="189" a="1"/>
  <c r="H56" i="179"/>
  <c r="Q23" i="187"/>
  <c r="Q27" i="190"/>
  <c r="AI112" i="198"/>
  <c r="AN112" i="198"/>
  <c r="AK112" i="198"/>
  <c r="AM112" i="198"/>
  <c r="AO112" i="198"/>
  <c r="AL112" i="198"/>
  <c r="S639" i="184" l="1"/>
  <c r="AI48" i="198" s="1"/>
  <c r="AI119" i="198" s="1"/>
  <c r="Q540" i="184"/>
  <c r="AG24" i="198" s="1"/>
  <c r="H59" i="179"/>
  <c r="A4" i="179" s="1"/>
  <c r="T214" i="184"/>
  <c r="T302" i="184" s="1"/>
  <c r="T306" i="184" s="1"/>
  <c r="Q528" i="184"/>
  <c r="AG22" i="198" s="1"/>
  <c r="Q616" i="184"/>
  <c r="AG44" i="198" s="1"/>
  <c r="Y348" i="184"/>
  <c r="X348" i="184"/>
  <c r="T607" i="184"/>
  <c r="AJ39" i="198" s="1"/>
  <c r="AE108" i="198"/>
  <c r="J217" i="184"/>
  <c r="J233" i="184" s="1"/>
  <c r="J237" i="184" s="1"/>
  <c r="J199" i="184"/>
  <c r="J231" i="184" s="1"/>
  <c r="V639" i="184"/>
  <c r="AL48" i="198" s="1"/>
  <c r="AL119" i="198" s="1"/>
  <c r="AE112" i="198"/>
  <c r="T210" i="184"/>
  <c r="T254" i="184" s="1"/>
  <c r="T258" i="184" s="1"/>
  <c r="K210" i="184"/>
  <c r="K254" i="184" s="1"/>
  <c r="K258" i="184" s="1"/>
  <c r="Y112" i="198"/>
  <c r="R348" i="184"/>
  <c r="J308" i="184"/>
  <c r="U348" i="184"/>
  <c r="U357" i="184" s="1"/>
  <c r="U505" i="184" s="1"/>
  <c r="AK57" i="196" s="1"/>
  <c r="AK80" i="196" s="1"/>
  <c r="M210" i="184"/>
  <c r="M254" i="184" s="1"/>
  <c r="M258" i="184" s="1"/>
  <c r="R337" i="184"/>
  <c r="R210" i="184"/>
  <c r="R254" i="184" s="1"/>
  <c r="R258" i="184" s="1"/>
  <c r="N306" i="184"/>
  <c r="T583" i="184"/>
  <c r="AJ35" i="198" s="1"/>
  <c r="Z112" i="198"/>
  <c r="AD112" i="198"/>
  <c r="J286" i="184"/>
  <c r="J188" i="186" s="1"/>
  <c r="P201" i="184"/>
  <c r="P253" i="184" s="1"/>
  <c r="N295" i="184"/>
  <c r="J44" i="55"/>
  <c r="N221" i="184"/>
  <c r="N281" i="184" s="1"/>
  <c r="N285" i="184" s="1"/>
  <c r="H112" i="180" a="1"/>
  <c r="H112" i="180" s="1"/>
  <c r="H118" i="180" s="1"/>
  <c r="J40" i="55" s="1"/>
  <c r="H61" i="196"/>
  <c r="H68" i="196" s="1"/>
  <c r="H58" i="181" a="1"/>
  <c r="H58" i="181" s="1"/>
  <c r="A4" i="181" s="1"/>
  <c r="N284" i="184"/>
  <c r="Q237" i="184"/>
  <c r="L217" i="184"/>
  <c r="L233" i="184" s="1"/>
  <c r="L237" i="184" s="1"/>
  <c r="L199" i="184"/>
  <c r="L231" i="184" s="1"/>
  <c r="N199" i="184"/>
  <c r="N231" i="184" s="1"/>
  <c r="M297" i="184"/>
  <c r="M189" i="186" s="1"/>
  <c r="O221" i="184"/>
  <c r="O281" i="184" s="1"/>
  <c r="O285" i="184" s="1"/>
  <c r="N201" i="184"/>
  <c r="N253" i="184" s="1"/>
  <c r="K69" i="197"/>
  <c r="K87" i="197" s="1"/>
  <c r="K347" i="184"/>
  <c r="K682" i="184"/>
  <c r="M201" i="184"/>
  <c r="M253" i="184" s="1"/>
  <c r="N682" i="184"/>
  <c r="M539" i="184"/>
  <c r="Q24" i="198" s="1"/>
  <c r="L682" i="184"/>
  <c r="M682" i="184"/>
  <c r="N566" i="184"/>
  <c r="U28" i="198" s="1"/>
  <c r="K350" i="184"/>
  <c r="K72" i="197"/>
  <c r="K90" i="197" s="1"/>
  <c r="O376" i="184"/>
  <c r="O405" i="184"/>
  <c r="O347" i="184"/>
  <c r="O69" i="197"/>
  <c r="O434" i="184"/>
  <c r="O463" i="184"/>
  <c r="N535" i="184"/>
  <c r="T23" i="198" s="1"/>
  <c r="U557" i="184"/>
  <c r="AK27" i="198" s="1"/>
  <c r="AK100" i="198" s="1"/>
  <c r="V557" i="184"/>
  <c r="AL27" i="198" s="1"/>
  <c r="AL100" i="198" s="1"/>
  <c r="S621" i="184"/>
  <c r="AI45" i="198" s="1"/>
  <c r="S345" i="184"/>
  <c r="S354" i="184" s="1"/>
  <c r="S487" i="184" s="1"/>
  <c r="AI54" i="196" s="1"/>
  <c r="S218" i="184"/>
  <c r="S244" i="184" s="1"/>
  <c r="S248" i="184" s="1"/>
  <c r="T621" i="184"/>
  <c r="AJ45" i="198" s="1"/>
  <c r="T218" i="184"/>
  <c r="T244" i="184" s="1"/>
  <c r="T248" i="184" s="1"/>
  <c r="T345" i="184"/>
  <c r="Y539" i="184"/>
  <c r="AO24" i="198" s="1"/>
  <c r="Y201" i="184"/>
  <c r="Y253" i="184" s="1"/>
  <c r="Y260" i="184" s="1"/>
  <c r="L539" i="184"/>
  <c r="L24" i="198" s="1"/>
  <c r="R571" i="184"/>
  <c r="AH33" i="198" s="1"/>
  <c r="R208" i="184"/>
  <c r="R232" i="184" s="1"/>
  <c r="R236" i="184" s="1"/>
  <c r="R335" i="184"/>
  <c r="P57" i="197"/>
  <c r="P335" i="184"/>
  <c r="P451" i="184"/>
  <c r="P364" i="184"/>
  <c r="P393" i="184"/>
  <c r="P422" i="184"/>
  <c r="L578" i="184"/>
  <c r="M34" i="198" s="1"/>
  <c r="L209" i="184"/>
  <c r="L243" i="184" s="1"/>
  <c r="L247" i="184" s="1"/>
  <c r="Q70" i="197"/>
  <c r="AG88" i="197" s="1"/>
  <c r="Q377" i="184"/>
  <c r="W551" i="184"/>
  <c r="AM26" i="198" s="1"/>
  <c r="AM99" i="198" s="1"/>
  <c r="W357" i="184"/>
  <c r="W505" i="184" s="1"/>
  <c r="AM57" i="196" s="1"/>
  <c r="AM80" i="196" s="1"/>
  <c r="J628" i="184"/>
  <c r="J46" i="198" s="1"/>
  <c r="J219" i="184"/>
  <c r="J255" i="184" s="1"/>
  <c r="J259" i="184" s="1"/>
  <c r="M61" i="197"/>
  <c r="Q79" i="197" s="1"/>
  <c r="M339" i="184"/>
  <c r="P217" i="184"/>
  <c r="P233" i="184" s="1"/>
  <c r="P237" i="184" s="1"/>
  <c r="P204" i="184"/>
  <c r="P290" i="184" s="1"/>
  <c r="P558" i="184"/>
  <c r="AC27" i="198" s="1"/>
  <c r="O59" i="197"/>
  <c r="O424" i="184"/>
  <c r="O453" i="184"/>
  <c r="O366" i="184"/>
  <c r="O395" i="184"/>
  <c r="O337" i="184"/>
  <c r="K615" i="184"/>
  <c r="K44" i="198" s="1"/>
  <c r="K217" i="184"/>
  <c r="K233" i="184" s="1"/>
  <c r="K237" i="184" s="1"/>
  <c r="P534" i="184"/>
  <c r="AC23" i="198" s="1"/>
  <c r="P200" i="184"/>
  <c r="P242" i="184" s="1"/>
  <c r="N534" i="184"/>
  <c r="S23" i="198" s="1"/>
  <c r="N200" i="184"/>
  <c r="N242" i="184" s="1"/>
  <c r="M563" i="184"/>
  <c r="Q28" i="198" s="1"/>
  <c r="L590" i="184"/>
  <c r="M36" i="198" s="1"/>
  <c r="L211" i="184"/>
  <c r="P437" i="184"/>
  <c r="P379" i="184"/>
  <c r="P466" i="184"/>
  <c r="P72" i="197"/>
  <c r="P408" i="184"/>
  <c r="P350" i="184"/>
  <c r="R589" i="184"/>
  <c r="AH36" i="198" s="1"/>
  <c r="R211" i="184"/>
  <c r="R338" i="184"/>
  <c r="U633" i="184"/>
  <c r="AK47" i="198" s="1"/>
  <c r="U347" i="184"/>
  <c r="U356" i="184" s="1"/>
  <c r="U499" i="184" s="1"/>
  <c r="AK56" i="196" s="1"/>
  <c r="Q62" i="197"/>
  <c r="AG80" i="197" s="1"/>
  <c r="Q369" i="184"/>
  <c r="Q59" i="197"/>
  <c r="AG77" i="197" s="1"/>
  <c r="Q366" i="184"/>
  <c r="K62" i="197"/>
  <c r="K80" i="197" s="1"/>
  <c r="K340" i="184"/>
  <c r="O565" i="184"/>
  <c r="Y28" i="198" s="1"/>
  <c r="P565" i="184"/>
  <c r="AD28" i="198" s="1"/>
  <c r="R533" i="184"/>
  <c r="AH23" i="198" s="1"/>
  <c r="R200" i="184"/>
  <c r="R242" i="184" s="1"/>
  <c r="X533" i="184"/>
  <c r="AN23" i="198" s="1"/>
  <c r="X200" i="184"/>
  <c r="X242" i="184" s="1"/>
  <c r="N634" i="184"/>
  <c r="S47" i="198" s="1"/>
  <c r="N220" i="184"/>
  <c r="U645" i="184"/>
  <c r="AK49" i="198" s="1"/>
  <c r="AK120" i="198" s="1"/>
  <c r="U349" i="184"/>
  <c r="U358" i="184" s="1"/>
  <c r="U511" i="184" s="1"/>
  <c r="AK58" i="196" s="1"/>
  <c r="AK81" i="196" s="1"/>
  <c r="L622" i="184"/>
  <c r="M45" i="198" s="1"/>
  <c r="L218" i="184"/>
  <c r="L244" i="184" s="1"/>
  <c r="L248" i="184" s="1"/>
  <c r="W83" i="185"/>
  <c r="W91" i="185" s="1"/>
  <c r="W267" i="185" s="1"/>
  <c r="W78" i="189" s="1"/>
  <c r="W89" i="185"/>
  <c r="J61" i="186"/>
  <c r="J62" i="185"/>
  <c r="J89" i="185" s="1"/>
  <c r="L398" i="184"/>
  <c r="L456" i="184"/>
  <c r="L62" i="197"/>
  <c r="L369" i="184"/>
  <c r="L340" i="184"/>
  <c r="L427" i="184"/>
  <c r="P223" i="184"/>
  <c r="P303" i="184" s="1"/>
  <c r="P307" i="184" s="1"/>
  <c r="P652" i="184"/>
  <c r="AC50" i="198" s="1"/>
  <c r="Q552" i="184"/>
  <c r="AG26" i="198" s="1"/>
  <c r="U545" i="184"/>
  <c r="AK25" i="198" s="1"/>
  <c r="AK140" i="198" s="1"/>
  <c r="U202" i="184"/>
  <c r="T545" i="184"/>
  <c r="AJ25" i="198" s="1"/>
  <c r="T202" i="184"/>
  <c r="W651" i="184"/>
  <c r="AM50" i="198" s="1"/>
  <c r="AM121" i="198" s="1"/>
  <c r="W350" i="184"/>
  <c r="W359" i="184" s="1"/>
  <c r="W517" i="184" s="1"/>
  <c r="AM59" i="196" s="1"/>
  <c r="N59" i="197"/>
  <c r="N366" i="184"/>
  <c r="N424" i="184"/>
  <c r="N453" i="184"/>
  <c r="N395" i="184"/>
  <c r="N337" i="184"/>
  <c r="J670" i="184"/>
  <c r="H203" i="178"/>
  <c r="L530" i="184"/>
  <c r="O22" i="198" s="1"/>
  <c r="J376" i="184"/>
  <c r="J69" i="197"/>
  <c r="J87" i="197" s="1"/>
  <c r="M627" i="184"/>
  <c r="Q46" i="198" s="1"/>
  <c r="M219" i="184"/>
  <c r="M255" i="184" s="1"/>
  <c r="M259" i="184" s="1"/>
  <c r="S627" i="184"/>
  <c r="AI46" i="198" s="1"/>
  <c r="S346" i="184"/>
  <c r="S355" i="184" s="1"/>
  <c r="S493" i="184" s="1"/>
  <c r="AI55" i="196" s="1"/>
  <c r="S219" i="184"/>
  <c r="S255" i="184" s="1"/>
  <c r="S259" i="184" s="1"/>
  <c r="O549" i="184"/>
  <c r="AA25" i="198" s="1"/>
  <c r="W527" i="184"/>
  <c r="AM22" i="198" s="1"/>
  <c r="W199" i="184"/>
  <c r="W231" i="184" s="1"/>
  <c r="W238" i="184" s="1"/>
  <c r="J58" i="197"/>
  <c r="J76" i="197" s="1"/>
  <c r="J365" i="184"/>
  <c r="N432" i="184"/>
  <c r="N461" i="184"/>
  <c r="N67" i="197"/>
  <c r="N345" i="184"/>
  <c r="N374" i="184"/>
  <c r="N403" i="184"/>
  <c r="K67" i="197"/>
  <c r="K85" i="197" s="1"/>
  <c r="K345" i="184"/>
  <c r="P646" i="184"/>
  <c r="AC49" i="198" s="1"/>
  <c r="P222" i="184"/>
  <c r="P292" i="184" s="1"/>
  <c r="P296" i="184" s="1"/>
  <c r="Y199" i="184"/>
  <c r="Y231" i="184" s="1"/>
  <c r="Y238" i="184" s="1"/>
  <c r="Y527" i="184"/>
  <c r="AO22" i="198" s="1"/>
  <c r="S527" i="184"/>
  <c r="AI22" i="198" s="1"/>
  <c r="S199" i="184"/>
  <c r="S231" i="184" s="1"/>
  <c r="J63" i="197"/>
  <c r="J81" i="197" s="1"/>
  <c r="J370" i="184"/>
  <c r="O566" i="184"/>
  <c r="Z28" i="198" s="1"/>
  <c r="L547" i="184"/>
  <c r="N25" i="198" s="1"/>
  <c r="P527" i="184"/>
  <c r="AB22" i="198" s="1"/>
  <c r="T527" i="184"/>
  <c r="AJ22" i="198" s="1"/>
  <c r="T199" i="184"/>
  <c r="T231" i="184" s="1"/>
  <c r="O67" i="197"/>
  <c r="O432" i="184"/>
  <c r="O461" i="184"/>
  <c r="O374" i="184"/>
  <c r="O403" i="184"/>
  <c r="O345" i="184"/>
  <c r="Q572" i="184"/>
  <c r="AG33" i="198" s="1"/>
  <c r="Q208" i="184"/>
  <c r="Q232" i="184" s="1"/>
  <c r="Q236" i="184" s="1"/>
  <c r="P529" i="184"/>
  <c r="AD22" i="198" s="1"/>
  <c r="R557" i="184"/>
  <c r="AH27" i="198" s="1"/>
  <c r="AH100" i="198" s="1"/>
  <c r="K557" i="184"/>
  <c r="K27" i="198" s="1"/>
  <c r="Y621" i="184"/>
  <c r="AO45" i="198" s="1"/>
  <c r="AO116" i="198" s="1"/>
  <c r="Y345" i="184"/>
  <c r="Y354" i="184" s="1"/>
  <c r="Y487" i="184" s="1"/>
  <c r="AO54" i="196" s="1"/>
  <c r="X539" i="184"/>
  <c r="AN24" i="198" s="1"/>
  <c r="X201" i="184"/>
  <c r="X253" i="184" s="1"/>
  <c r="S539" i="184"/>
  <c r="AI24" i="198" s="1"/>
  <c r="S201" i="184"/>
  <c r="S253" i="184" s="1"/>
  <c r="P199" i="184"/>
  <c r="P231" i="184" s="1"/>
  <c r="P554" i="184"/>
  <c r="AE26" i="198" s="1"/>
  <c r="P423" i="184"/>
  <c r="P365" i="184"/>
  <c r="P58" i="197"/>
  <c r="P394" i="184"/>
  <c r="P336" i="184"/>
  <c r="P452" i="184"/>
  <c r="Q202" i="184"/>
  <c r="Q546" i="184"/>
  <c r="AG25" i="198" s="1"/>
  <c r="Q66" i="197"/>
  <c r="AG84" i="197" s="1"/>
  <c r="Q373" i="184"/>
  <c r="Q379" i="184"/>
  <c r="Q72" i="197"/>
  <c r="AG90" i="197" s="1"/>
  <c r="N537" i="184"/>
  <c r="V23" i="198" s="1"/>
  <c r="O551" i="184"/>
  <c r="W26" i="198" s="1"/>
  <c r="M551" i="184"/>
  <c r="Q26" i="198" s="1"/>
  <c r="N628" i="184"/>
  <c r="S46" i="198" s="1"/>
  <c r="N219" i="184"/>
  <c r="N255" i="184" s="1"/>
  <c r="N259" i="184" s="1"/>
  <c r="M57" i="197"/>
  <c r="Q75" i="197" s="1"/>
  <c r="M335" i="184"/>
  <c r="P531" i="184"/>
  <c r="AF22" i="198" s="1"/>
  <c r="L405" i="184"/>
  <c r="L463" i="184"/>
  <c r="L69" i="197"/>
  <c r="L347" i="184"/>
  <c r="L376" i="184"/>
  <c r="L434" i="184"/>
  <c r="M72" i="197"/>
  <c r="Q90" i="197" s="1"/>
  <c r="M350" i="184"/>
  <c r="L558" i="184"/>
  <c r="M27" i="198" s="1"/>
  <c r="U615" i="184"/>
  <c r="AK44" i="198" s="1"/>
  <c r="AK115" i="198" s="1"/>
  <c r="U344" i="184"/>
  <c r="U353" i="184" s="1"/>
  <c r="U481" i="184" s="1"/>
  <c r="AK53" i="196" s="1"/>
  <c r="J675" i="184"/>
  <c r="H208" i="178"/>
  <c r="V563" i="184"/>
  <c r="AL28" i="198" s="1"/>
  <c r="V205" i="184"/>
  <c r="V301" i="184" s="1"/>
  <c r="N590" i="184"/>
  <c r="S36" i="198" s="1"/>
  <c r="N211" i="184"/>
  <c r="P70" i="197"/>
  <c r="P406" i="184"/>
  <c r="P377" i="184"/>
  <c r="P435" i="184"/>
  <c r="P464" i="184"/>
  <c r="P348" i="184"/>
  <c r="K589" i="184"/>
  <c r="K36" i="198" s="1"/>
  <c r="K141" i="198" s="1"/>
  <c r="K211" i="184"/>
  <c r="M589" i="184"/>
  <c r="Q36" i="198" s="1"/>
  <c r="M211" i="184"/>
  <c r="Q61" i="197"/>
  <c r="AG79" i="197" s="1"/>
  <c r="Q368" i="184"/>
  <c r="K336" i="184"/>
  <c r="K58" i="197"/>
  <c r="K76" i="197" s="1"/>
  <c r="Y533" i="184"/>
  <c r="AO23" i="198" s="1"/>
  <c r="Y200" i="184"/>
  <c r="Y242" i="184" s="1"/>
  <c r="Y249" i="184" s="1"/>
  <c r="W533" i="184"/>
  <c r="AM23" i="198" s="1"/>
  <c r="W200" i="184"/>
  <c r="W242" i="184" s="1"/>
  <c r="W249" i="184" s="1"/>
  <c r="S645" i="184"/>
  <c r="AI49" i="198" s="1"/>
  <c r="AI120" i="198" s="1"/>
  <c r="S349" i="184"/>
  <c r="S358" i="184" s="1"/>
  <c r="S511" i="184" s="1"/>
  <c r="AI58" i="196" s="1"/>
  <c r="AI81" i="196" s="1"/>
  <c r="O622" i="184"/>
  <c r="X45" i="198" s="1"/>
  <c r="O218" i="184"/>
  <c r="O244" i="184" s="1"/>
  <c r="O248" i="184" s="1"/>
  <c r="AA141" i="198"/>
  <c r="AA108" i="198"/>
  <c r="AA112" i="198" s="1"/>
  <c r="R89" i="185"/>
  <c r="R83" i="185"/>
  <c r="R91" i="185" s="1"/>
  <c r="R267" i="185" s="1"/>
  <c r="R78" i="189" s="1"/>
  <c r="P61" i="186"/>
  <c r="P62" i="185"/>
  <c r="P89" i="185" s="1"/>
  <c r="L63" i="197"/>
  <c r="L341" i="184"/>
  <c r="L370" i="184"/>
  <c r="L428" i="184"/>
  <c r="L399" i="184"/>
  <c r="L457" i="184"/>
  <c r="N652" i="184"/>
  <c r="S50" i="198" s="1"/>
  <c r="N223" i="184"/>
  <c r="N303" i="184" s="1"/>
  <c r="N307" i="184" s="1"/>
  <c r="O652" i="184"/>
  <c r="X50" i="198" s="1"/>
  <c r="O223" i="184"/>
  <c r="O303" i="184" s="1"/>
  <c r="O307" i="184" s="1"/>
  <c r="N552" i="184"/>
  <c r="S26" i="198" s="1"/>
  <c r="N203" i="184"/>
  <c r="N279" i="184" s="1"/>
  <c r="Y202" i="184"/>
  <c r="Y545" i="184"/>
  <c r="AO25" i="198" s="1"/>
  <c r="AO140" i="198" s="1"/>
  <c r="N367" i="184"/>
  <c r="N425" i="184"/>
  <c r="N60" i="197"/>
  <c r="N454" i="184"/>
  <c r="N338" i="184"/>
  <c r="N396" i="184"/>
  <c r="J66" i="197"/>
  <c r="J84" i="197" s="1"/>
  <c r="J373" i="184"/>
  <c r="Y627" i="184"/>
  <c r="AO46" i="198" s="1"/>
  <c r="AO117" i="198" s="1"/>
  <c r="Y346" i="184"/>
  <c r="Y355" i="184" s="1"/>
  <c r="Y493" i="184" s="1"/>
  <c r="AO55" i="196" s="1"/>
  <c r="O541" i="184"/>
  <c r="Y24" i="198" s="1"/>
  <c r="J665" i="184"/>
  <c r="H198" i="178"/>
  <c r="J210" i="184"/>
  <c r="J254" i="184" s="1"/>
  <c r="J258" i="184" s="1"/>
  <c r="J584" i="184"/>
  <c r="J35" i="198" s="1"/>
  <c r="L572" i="184"/>
  <c r="M33" i="198" s="1"/>
  <c r="L208" i="184"/>
  <c r="L232" i="184" s="1"/>
  <c r="L236" i="184" s="1"/>
  <c r="T577" i="184"/>
  <c r="AJ34" i="198" s="1"/>
  <c r="T209" i="184"/>
  <c r="T243" i="184" s="1"/>
  <c r="T247" i="184" s="1"/>
  <c r="T336" i="184"/>
  <c r="T354" i="184" s="1"/>
  <c r="T487" i="184" s="1"/>
  <c r="AJ54" i="196" s="1"/>
  <c r="W557" i="184"/>
  <c r="AM27" i="198" s="1"/>
  <c r="AM100" i="198" s="1"/>
  <c r="O546" i="184"/>
  <c r="X25" i="198" s="1"/>
  <c r="O202" i="184"/>
  <c r="N462" i="184"/>
  <c r="N404" i="184"/>
  <c r="N346" i="184"/>
  <c r="N355" i="184" s="1"/>
  <c r="N493" i="184" s="1"/>
  <c r="R55" i="196" s="1"/>
  <c r="N375" i="184"/>
  <c r="N433" i="184"/>
  <c r="N68" i="197"/>
  <c r="L584" i="184"/>
  <c r="M35" i="198" s="1"/>
  <c r="L210" i="184"/>
  <c r="L254" i="184" s="1"/>
  <c r="L258" i="184" s="1"/>
  <c r="P566" i="184"/>
  <c r="AE28" i="198" s="1"/>
  <c r="K71" i="197"/>
  <c r="K89" i="197" s="1"/>
  <c r="K349" i="184"/>
  <c r="N646" i="184"/>
  <c r="S49" i="198" s="1"/>
  <c r="N222" i="184"/>
  <c r="N292" i="184" s="1"/>
  <c r="N296" i="184" s="1"/>
  <c r="R199" i="184"/>
  <c r="R231" i="184" s="1"/>
  <c r="R527" i="184"/>
  <c r="AH22" i="198" s="1"/>
  <c r="X199" i="184"/>
  <c r="X231" i="184" s="1"/>
  <c r="X527" i="184"/>
  <c r="AN22" i="198" s="1"/>
  <c r="O407" i="184"/>
  <c r="O436" i="184"/>
  <c r="O349" i="184"/>
  <c r="O465" i="184"/>
  <c r="O71" i="197"/>
  <c r="O378" i="184"/>
  <c r="O535" i="184"/>
  <c r="Y23" i="198" s="1"/>
  <c r="L561" i="184"/>
  <c r="P27" i="198" s="1"/>
  <c r="M577" i="184"/>
  <c r="Q34" i="198" s="1"/>
  <c r="M209" i="184"/>
  <c r="M243" i="184" s="1"/>
  <c r="M247" i="184" s="1"/>
  <c r="X557" i="184"/>
  <c r="AN27" i="198" s="1"/>
  <c r="AN100" i="198" s="1"/>
  <c r="X218" i="184"/>
  <c r="X244" i="184" s="1"/>
  <c r="X248" i="184" s="1"/>
  <c r="X621" i="184"/>
  <c r="AN45" i="198" s="1"/>
  <c r="X345" i="184"/>
  <c r="X354" i="184" s="1"/>
  <c r="X487" i="184" s="1"/>
  <c r="AN54" i="196" s="1"/>
  <c r="M621" i="184"/>
  <c r="Q45" i="198" s="1"/>
  <c r="M218" i="184"/>
  <c r="M244" i="184" s="1"/>
  <c r="M248" i="184" s="1"/>
  <c r="T539" i="184"/>
  <c r="AJ24" i="198" s="1"/>
  <c r="T201" i="184"/>
  <c r="T253" i="184" s="1"/>
  <c r="O539" i="184"/>
  <c r="W24" i="198" s="1"/>
  <c r="L554" i="184"/>
  <c r="O26" i="198" s="1"/>
  <c r="P366" i="184"/>
  <c r="P424" i="184"/>
  <c r="P395" i="184"/>
  <c r="P59" i="197"/>
  <c r="P453" i="184"/>
  <c r="P337" i="184"/>
  <c r="Q71" i="197"/>
  <c r="AG89" i="197" s="1"/>
  <c r="Q378" i="184"/>
  <c r="Y551" i="184"/>
  <c r="AO26" i="198" s="1"/>
  <c r="AO99" i="198" s="1"/>
  <c r="Y357" i="184"/>
  <c r="Y505" i="184" s="1"/>
  <c r="AO57" i="196" s="1"/>
  <c r="AO80" i="196" s="1"/>
  <c r="S551" i="184"/>
  <c r="AI26" i="198" s="1"/>
  <c r="AI99" i="198" s="1"/>
  <c r="S357" i="184"/>
  <c r="S505" i="184" s="1"/>
  <c r="AI57" i="196" s="1"/>
  <c r="AI80" i="196" s="1"/>
  <c r="Q628" i="184"/>
  <c r="AG46" i="198" s="1"/>
  <c r="Q219" i="184"/>
  <c r="Q255" i="184" s="1"/>
  <c r="Q259" i="184" s="1"/>
  <c r="O451" i="184"/>
  <c r="O364" i="184"/>
  <c r="O393" i="184"/>
  <c r="O57" i="197"/>
  <c r="O422" i="184"/>
  <c r="O335" i="184"/>
  <c r="W615" i="184"/>
  <c r="AM44" i="198" s="1"/>
  <c r="AM115" i="198" s="1"/>
  <c r="W344" i="184"/>
  <c r="W353" i="184" s="1"/>
  <c r="W481" i="184" s="1"/>
  <c r="AM53" i="196" s="1"/>
  <c r="X615" i="184"/>
  <c r="AN44" i="198" s="1"/>
  <c r="X217" i="184"/>
  <c r="X233" i="184" s="1"/>
  <c r="X237" i="184" s="1"/>
  <c r="X344" i="184"/>
  <c r="X353" i="184" s="1"/>
  <c r="X481" i="184" s="1"/>
  <c r="AN53" i="196" s="1"/>
  <c r="U563" i="184"/>
  <c r="AK28" i="198" s="1"/>
  <c r="AC141" i="198"/>
  <c r="AC108" i="198"/>
  <c r="AC112" i="198" s="1"/>
  <c r="P373" i="184"/>
  <c r="P431" i="184"/>
  <c r="P460" i="184"/>
  <c r="P344" i="184"/>
  <c r="P353" i="184" s="1"/>
  <c r="P481" i="184" s="1"/>
  <c r="AB53" i="196" s="1"/>
  <c r="P66" i="197"/>
  <c r="P402" i="184"/>
  <c r="W633" i="184"/>
  <c r="AM47" i="198" s="1"/>
  <c r="W347" i="184"/>
  <c r="W356" i="184" s="1"/>
  <c r="W499" i="184" s="1"/>
  <c r="AM56" i="196" s="1"/>
  <c r="R220" i="184"/>
  <c r="R633" i="184"/>
  <c r="AH47" i="198" s="1"/>
  <c r="R347" i="184"/>
  <c r="Q365" i="184"/>
  <c r="Q58" i="197"/>
  <c r="AG76" i="197" s="1"/>
  <c r="K339" i="184"/>
  <c r="K61" i="197"/>
  <c r="K79" i="197" s="1"/>
  <c r="M533" i="184"/>
  <c r="Q23" i="198" s="1"/>
  <c r="M200" i="184"/>
  <c r="M242" i="184" s="1"/>
  <c r="M681" i="184"/>
  <c r="N681" i="184"/>
  <c r="K681" i="184"/>
  <c r="L681" i="184"/>
  <c r="O634" i="184"/>
  <c r="X47" i="198" s="1"/>
  <c r="O220" i="184"/>
  <c r="R645" i="184"/>
  <c r="AH49" i="198" s="1"/>
  <c r="AH120" i="198" s="1"/>
  <c r="R349" i="184"/>
  <c r="R358" i="184" s="1"/>
  <c r="R511" i="184" s="1"/>
  <c r="AH58" i="196" s="1"/>
  <c r="AH81" i="196" s="1"/>
  <c r="Q622" i="184"/>
  <c r="AG45" i="198" s="1"/>
  <c r="Q218" i="184"/>
  <c r="Q244" i="184" s="1"/>
  <c r="Q248" i="184" s="1"/>
  <c r="V89" i="185"/>
  <c r="V83" i="185"/>
  <c r="V91" i="185" s="1"/>
  <c r="V267" i="185" s="1"/>
  <c r="V78" i="189" s="1"/>
  <c r="L61" i="186"/>
  <c r="L62" i="185"/>
  <c r="L89" i="185" s="1"/>
  <c r="L455" i="184"/>
  <c r="L61" i="197"/>
  <c r="L426" i="184"/>
  <c r="L339" i="184"/>
  <c r="L397" i="184"/>
  <c r="L368" i="184"/>
  <c r="L286" i="184"/>
  <c r="L188" i="186" s="1"/>
  <c r="L201" i="184"/>
  <c r="L253" i="184" s="1"/>
  <c r="W545" i="184"/>
  <c r="AM25" i="198" s="1"/>
  <c r="AM140" i="198" s="1"/>
  <c r="W202" i="184"/>
  <c r="N545" i="184"/>
  <c r="R25" i="198" s="1"/>
  <c r="S651" i="184"/>
  <c r="AI50" i="198" s="1"/>
  <c r="S350" i="184"/>
  <c r="S359" i="184" s="1"/>
  <c r="S517" i="184" s="1"/>
  <c r="AI59" i="196" s="1"/>
  <c r="N340" i="184"/>
  <c r="N369" i="184"/>
  <c r="N427" i="184"/>
  <c r="N62" i="197"/>
  <c r="N456" i="184"/>
  <c r="N398" i="184"/>
  <c r="P530" i="184"/>
  <c r="AE22" i="198" s="1"/>
  <c r="J68" i="197"/>
  <c r="J86" i="197" s="1"/>
  <c r="J375" i="184"/>
  <c r="T627" i="184"/>
  <c r="AJ46" i="198" s="1"/>
  <c r="T219" i="184"/>
  <c r="T255" i="184" s="1"/>
  <c r="T259" i="184" s="1"/>
  <c r="T346" i="184"/>
  <c r="T355" i="184" s="1"/>
  <c r="T493" i="184" s="1"/>
  <c r="AJ55" i="196" s="1"/>
  <c r="W627" i="184"/>
  <c r="AM46" i="198" s="1"/>
  <c r="AM117" i="198" s="1"/>
  <c r="W346" i="184"/>
  <c r="W355" i="184" s="1"/>
  <c r="W493" i="184" s="1"/>
  <c r="AM55" i="196" s="1"/>
  <c r="H214" i="178" a="1"/>
  <c r="H214" i="178" s="1"/>
  <c r="N436" i="184"/>
  <c r="N349" i="184"/>
  <c r="N407" i="184"/>
  <c r="N465" i="184"/>
  <c r="N71" i="197"/>
  <c r="N378" i="184"/>
  <c r="M199" i="184"/>
  <c r="M231" i="184" s="1"/>
  <c r="K680" i="184"/>
  <c r="M527" i="184"/>
  <c r="Q22" i="198" s="1"/>
  <c r="M680" i="184"/>
  <c r="N680" i="184"/>
  <c r="L680" i="184"/>
  <c r="V527" i="184"/>
  <c r="AL22" i="198" s="1"/>
  <c r="V199" i="184"/>
  <c r="V231" i="184" s="1"/>
  <c r="J59" i="197"/>
  <c r="J77" i="197" s="1"/>
  <c r="J366" i="184"/>
  <c r="J57" i="197"/>
  <c r="J75" i="197" s="1"/>
  <c r="J364" i="184"/>
  <c r="Q584" i="184"/>
  <c r="AG35" i="198" s="1"/>
  <c r="Q210" i="184"/>
  <c r="Q254" i="184" s="1"/>
  <c r="Q258" i="184" s="1"/>
  <c r="O408" i="184"/>
  <c r="O350" i="184"/>
  <c r="O437" i="184"/>
  <c r="O466" i="184"/>
  <c r="O379" i="184"/>
  <c r="O72" i="197"/>
  <c r="O433" i="184"/>
  <c r="O462" i="184"/>
  <c r="O375" i="184"/>
  <c r="O68" i="197"/>
  <c r="O404" i="184"/>
  <c r="O413" i="184" s="1"/>
  <c r="O495" i="184" s="1"/>
  <c r="Y55" i="196" s="1"/>
  <c r="O346" i="184"/>
  <c r="O355" i="184" s="1"/>
  <c r="O493" i="184" s="1"/>
  <c r="W55" i="196" s="1"/>
  <c r="L535" i="184"/>
  <c r="N23" i="198" s="1"/>
  <c r="L529" i="184"/>
  <c r="N22" i="198" s="1"/>
  <c r="N529" i="184"/>
  <c r="T22" i="198" s="1"/>
  <c r="O561" i="184"/>
  <c r="AA27" i="198" s="1"/>
  <c r="N561" i="184"/>
  <c r="V27" i="198" s="1"/>
  <c r="R577" i="184"/>
  <c r="AH34" i="198" s="1"/>
  <c r="R209" i="184"/>
  <c r="R243" i="184" s="1"/>
  <c r="R247" i="184" s="1"/>
  <c r="R336" i="184"/>
  <c r="Y557" i="184"/>
  <c r="AO27" i="198" s="1"/>
  <c r="AO100" i="198" s="1"/>
  <c r="T557" i="184"/>
  <c r="AJ27" i="198" s="1"/>
  <c r="AJ100" i="198" s="1"/>
  <c r="W621" i="184"/>
  <c r="AM45" i="198" s="1"/>
  <c r="AM116" i="198" s="1"/>
  <c r="W345" i="184"/>
  <c r="W354" i="184" s="1"/>
  <c r="W487" i="184" s="1"/>
  <c r="AM54" i="196" s="1"/>
  <c r="R621" i="184"/>
  <c r="AH45" i="198" s="1"/>
  <c r="R218" i="184"/>
  <c r="R244" i="184" s="1"/>
  <c r="R248" i="184" s="1"/>
  <c r="R345" i="184"/>
  <c r="R539" i="184"/>
  <c r="AH24" i="198" s="1"/>
  <c r="R201" i="184"/>
  <c r="R253" i="184" s="1"/>
  <c r="P60" i="197"/>
  <c r="P338" i="184"/>
  <c r="P425" i="184"/>
  <c r="P454" i="184"/>
  <c r="P367" i="184"/>
  <c r="P396" i="184"/>
  <c r="P397" i="184"/>
  <c r="P426" i="184"/>
  <c r="P61" i="197"/>
  <c r="P339" i="184"/>
  <c r="P455" i="184"/>
  <c r="P368" i="184"/>
  <c r="L546" i="184"/>
  <c r="M25" i="198" s="1"/>
  <c r="L202" i="184"/>
  <c r="Q67" i="197"/>
  <c r="AG85" i="197" s="1"/>
  <c r="Q374" i="184"/>
  <c r="N551" i="184"/>
  <c r="R26" i="198" s="1"/>
  <c r="X551" i="184"/>
  <c r="AN26" i="198" s="1"/>
  <c r="AN99" i="198" s="1"/>
  <c r="X357" i="184"/>
  <c r="X505" i="184" s="1"/>
  <c r="AN57" i="196" s="1"/>
  <c r="AN80" i="196" s="1"/>
  <c r="M62" i="197"/>
  <c r="Q80" i="197" s="1"/>
  <c r="M340" i="184"/>
  <c r="L68" i="197"/>
  <c r="L462" i="184"/>
  <c r="L404" i="184"/>
  <c r="L433" i="184"/>
  <c r="L346" i="184"/>
  <c r="L375" i="184"/>
  <c r="M349" i="184"/>
  <c r="M71" i="197"/>
  <c r="Q89" i="197" s="1"/>
  <c r="M69" i="197"/>
  <c r="Q87" i="197" s="1"/>
  <c r="M347" i="184"/>
  <c r="S615" i="184"/>
  <c r="AI44" i="198" s="1"/>
  <c r="S344" i="184"/>
  <c r="S353" i="184" s="1"/>
  <c r="S481" i="184" s="1"/>
  <c r="AI53" i="196" s="1"/>
  <c r="S217" i="184"/>
  <c r="S233" i="184" s="1"/>
  <c r="S237" i="184" s="1"/>
  <c r="L534" i="184"/>
  <c r="M23" i="198" s="1"/>
  <c r="L200" i="184"/>
  <c r="L242" i="184" s="1"/>
  <c r="O217" i="184"/>
  <c r="O233" i="184" s="1"/>
  <c r="O237" i="184" s="1"/>
  <c r="W563" i="184"/>
  <c r="AM28" i="198" s="1"/>
  <c r="X141" i="198"/>
  <c r="X108" i="198"/>
  <c r="X112" i="198" s="1"/>
  <c r="J590" i="184"/>
  <c r="J36" i="198" s="1"/>
  <c r="J211" i="184"/>
  <c r="O205" i="184"/>
  <c r="O301" i="184" s="1"/>
  <c r="AB141" i="198"/>
  <c r="AB108" i="198"/>
  <c r="AB112" i="198" s="1"/>
  <c r="X633" i="184"/>
  <c r="AN47" i="198" s="1"/>
  <c r="X220" i="184"/>
  <c r="X347" i="184"/>
  <c r="X356" i="184" s="1"/>
  <c r="X499" i="184" s="1"/>
  <c r="AN56" i="196" s="1"/>
  <c r="K633" i="184"/>
  <c r="K47" i="198" s="1"/>
  <c r="K220" i="184"/>
  <c r="Q308" i="184"/>
  <c r="K341" i="184"/>
  <c r="K63" i="197"/>
  <c r="K81" i="197" s="1"/>
  <c r="K57" i="197"/>
  <c r="K75" i="197" s="1"/>
  <c r="K335" i="184"/>
  <c r="S533" i="184"/>
  <c r="AI23" i="198" s="1"/>
  <c r="S200" i="184"/>
  <c r="S242" i="184" s="1"/>
  <c r="P533" i="184"/>
  <c r="AB23" i="198" s="1"/>
  <c r="P634" i="184"/>
  <c r="AC47" i="198" s="1"/>
  <c r="P220" i="184"/>
  <c r="Q220" i="184"/>
  <c r="Q634" i="184"/>
  <c r="AG47" i="198" s="1"/>
  <c r="X645" i="184"/>
  <c r="AN49" i="198" s="1"/>
  <c r="AN120" i="198" s="1"/>
  <c r="X349" i="184"/>
  <c r="X358" i="184" s="1"/>
  <c r="X511" i="184" s="1"/>
  <c r="AN58" i="196" s="1"/>
  <c r="AN81" i="196" s="1"/>
  <c r="N218" i="184"/>
  <c r="N244" i="184" s="1"/>
  <c r="N248" i="184" s="1"/>
  <c r="N622" i="184"/>
  <c r="S45" i="198" s="1"/>
  <c r="U89" i="185"/>
  <c r="U83" i="185"/>
  <c r="U91" i="185" s="1"/>
  <c r="U267" i="185" s="1"/>
  <c r="U78" i="189" s="1"/>
  <c r="Q61" i="186"/>
  <c r="Q62" i="185"/>
  <c r="O543" i="184"/>
  <c r="AA24" i="198" s="1"/>
  <c r="P552" i="184"/>
  <c r="AC26" i="198" s="1"/>
  <c r="P203" i="184"/>
  <c r="P279" i="184" s="1"/>
  <c r="L552" i="184"/>
  <c r="M26" i="198" s="1"/>
  <c r="N536" i="184"/>
  <c r="U23" i="198" s="1"/>
  <c r="O545" i="184"/>
  <c r="W25" i="198" s="1"/>
  <c r="W140" i="198" s="1"/>
  <c r="V545" i="184"/>
  <c r="AL25" i="198" s="1"/>
  <c r="V202" i="184"/>
  <c r="X223" i="184"/>
  <c r="X303" i="184" s="1"/>
  <c r="X307" i="184" s="1"/>
  <c r="X350" i="184"/>
  <c r="X359" i="184" s="1"/>
  <c r="X517" i="184" s="1"/>
  <c r="AN59" i="196" s="1"/>
  <c r="X651" i="184"/>
  <c r="AN50" i="198" s="1"/>
  <c r="N423" i="184"/>
  <c r="N58" i="197"/>
  <c r="N452" i="184"/>
  <c r="N394" i="184"/>
  <c r="N336" i="184"/>
  <c r="N365" i="184"/>
  <c r="N205" i="184"/>
  <c r="N301" i="184" s="1"/>
  <c r="V627" i="184"/>
  <c r="AL46" i="198" s="1"/>
  <c r="V219" i="184"/>
  <c r="V255" i="184" s="1"/>
  <c r="V259" i="184" s="1"/>
  <c r="V346" i="184"/>
  <c r="V355" i="184" s="1"/>
  <c r="V493" i="184" s="1"/>
  <c r="AL55" i="196" s="1"/>
  <c r="J671" i="184"/>
  <c r="H204" i="178"/>
  <c r="O646" i="184"/>
  <c r="X49" i="198" s="1"/>
  <c r="O222" i="184"/>
  <c r="O292" i="184" s="1"/>
  <c r="O296" i="184" s="1"/>
  <c r="K527" i="184"/>
  <c r="K22" i="198" s="1"/>
  <c r="K199" i="184"/>
  <c r="K231" i="184" s="1"/>
  <c r="J62" i="197"/>
  <c r="J80" i="197" s="1"/>
  <c r="J369" i="184"/>
  <c r="P398" i="184"/>
  <c r="P62" i="197"/>
  <c r="P427" i="184"/>
  <c r="P369" i="184"/>
  <c r="P340" i="184"/>
  <c r="P456" i="184"/>
  <c r="Q69" i="197"/>
  <c r="AG87" i="197" s="1"/>
  <c r="Q376" i="184"/>
  <c r="L628" i="184"/>
  <c r="M46" i="198" s="1"/>
  <c r="L219" i="184"/>
  <c r="L255" i="184" s="1"/>
  <c r="L259" i="184" s="1"/>
  <c r="M60" i="197"/>
  <c r="Q78" i="197" s="1"/>
  <c r="M338" i="184"/>
  <c r="M58" i="197"/>
  <c r="Q76" i="197" s="1"/>
  <c r="M336" i="184"/>
  <c r="L531" i="184"/>
  <c r="P22" i="198" s="1"/>
  <c r="L350" i="184"/>
  <c r="L379" i="184"/>
  <c r="L72" i="197"/>
  <c r="L408" i="184"/>
  <c r="L466" i="184"/>
  <c r="L437" i="184"/>
  <c r="M67" i="197"/>
  <c r="Q85" i="197" s="1"/>
  <c r="M345" i="184"/>
  <c r="M346" i="184"/>
  <c r="M68" i="197"/>
  <c r="Q86" i="197" s="1"/>
  <c r="O558" i="184"/>
  <c r="X27" i="198" s="1"/>
  <c r="O204" i="184"/>
  <c r="O290" i="184" s="1"/>
  <c r="O426" i="184"/>
  <c r="O339" i="184"/>
  <c r="O455" i="184"/>
  <c r="O397" i="184"/>
  <c r="O61" i="197"/>
  <c r="O368" i="184"/>
  <c r="O369" i="184"/>
  <c r="O62" i="197"/>
  <c r="O398" i="184"/>
  <c r="O340" i="184"/>
  <c r="O427" i="184"/>
  <c r="O456" i="184"/>
  <c r="R615" i="184"/>
  <c r="AH44" i="198" s="1"/>
  <c r="R217" i="184"/>
  <c r="R233" i="184" s="1"/>
  <c r="R237" i="184" s="1"/>
  <c r="R344" i="184"/>
  <c r="R563" i="184"/>
  <c r="AH28" i="198" s="1"/>
  <c r="O563" i="184"/>
  <c r="W28" i="198" s="1"/>
  <c r="W141" i="198"/>
  <c r="W108" i="198"/>
  <c r="W112" i="198" s="1"/>
  <c r="T633" i="184"/>
  <c r="AJ47" i="198" s="1"/>
  <c r="T220" i="184"/>
  <c r="T347" i="184"/>
  <c r="Q63" i="197"/>
  <c r="AG81" i="197" s="1"/>
  <c r="Q370" i="184"/>
  <c r="K533" i="184"/>
  <c r="K23" i="198" s="1"/>
  <c r="K200" i="184"/>
  <c r="K242" i="184" s="1"/>
  <c r="L533" i="184"/>
  <c r="L23" i="198" s="1"/>
  <c r="T645" i="184"/>
  <c r="AJ49" i="198" s="1"/>
  <c r="AJ120" i="198" s="1"/>
  <c r="T349" i="184"/>
  <c r="T358" i="184" s="1"/>
  <c r="T511" i="184" s="1"/>
  <c r="AJ58" i="196" s="1"/>
  <c r="AJ81" i="196" s="1"/>
  <c r="P622" i="184"/>
  <c r="AC45" i="198" s="1"/>
  <c r="P218" i="184"/>
  <c r="P244" i="184" s="1"/>
  <c r="P248" i="184" s="1"/>
  <c r="N61" i="186"/>
  <c r="N62" i="185"/>
  <c r="N89" i="185" s="1"/>
  <c r="T83" i="185"/>
  <c r="T91" i="185" s="1"/>
  <c r="T267" i="185" s="1"/>
  <c r="T78" i="189" s="1"/>
  <c r="T89" i="185"/>
  <c r="L308" i="184"/>
  <c r="P543" i="184"/>
  <c r="AF24" i="198" s="1"/>
  <c r="O536" i="184"/>
  <c r="Z23" i="198" s="1"/>
  <c r="P545" i="184"/>
  <c r="AB25" i="198" s="1"/>
  <c r="L545" i="184"/>
  <c r="L25" i="198" s="1"/>
  <c r="U651" i="184"/>
  <c r="AK50" i="198" s="1"/>
  <c r="AK121" i="198" s="1"/>
  <c r="U350" i="184"/>
  <c r="U359" i="184" s="1"/>
  <c r="U517" i="184" s="1"/>
  <c r="AK59" i="196" s="1"/>
  <c r="J70" i="197"/>
  <c r="J88" i="197" s="1"/>
  <c r="J377" i="184"/>
  <c r="U627" i="184"/>
  <c r="AK46" i="198" s="1"/>
  <c r="AK117" i="198" s="1"/>
  <c r="U346" i="184"/>
  <c r="U355" i="184" s="1"/>
  <c r="U493" i="184" s="1"/>
  <c r="AK55" i="196" s="1"/>
  <c r="K66" i="197"/>
  <c r="K84" i="197" s="1"/>
  <c r="K344" i="184"/>
  <c r="N549" i="184"/>
  <c r="V25" i="198" s="1"/>
  <c r="N434" i="184"/>
  <c r="N463" i="184"/>
  <c r="N405" i="184"/>
  <c r="N347" i="184"/>
  <c r="N69" i="197"/>
  <c r="N376" i="184"/>
  <c r="K70" i="197"/>
  <c r="K88" i="197" s="1"/>
  <c r="K348" i="184"/>
  <c r="O547" i="184"/>
  <c r="Y25" i="198" s="1"/>
  <c r="J61" i="197"/>
  <c r="J79" i="197" s="1"/>
  <c r="J368" i="184"/>
  <c r="O348" i="184"/>
  <c r="O70" i="197"/>
  <c r="O406" i="184"/>
  <c r="O377" i="184"/>
  <c r="O435" i="184"/>
  <c r="O464" i="184"/>
  <c r="N572" i="184"/>
  <c r="S33" i="198" s="1"/>
  <c r="N208" i="184"/>
  <c r="N232" i="184" s="1"/>
  <c r="N236" i="184" s="1"/>
  <c r="N557" i="184"/>
  <c r="R27" i="198" s="1"/>
  <c r="O557" i="184"/>
  <c r="W27" i="198" s="1"/>
  <c r="U621" i="184"/>
  <c r="AK45" i="198" s="1"/>
  <c r="AK116" i="198" s="1"/>
  <c r="U345" i="184"/>
  <c r="U354" i="184" s="1"/>
  <c r="U487" i="184" s="1"/>
  <c r="AK54" i="196" s="1"/>
  <c r="U539" i="184"/>
  <c r="AK24" i="198" s="1"/>
  <c r="U201" i="184"/>
  <c r="U253" i="184" s="1"/>
  <c r="U260" i="184" s="1"/>
  <c r="N539" i="184"/>
  <c r="R24" i="198" s="1"/>
  <c r="O554" i="184"/>
  <c r="Z26" i="198" s="1"/>
  <c r="P457" i="184"/>
  <c r="P399" i="184"/>
  <c r="P370" i="184"/>
  <c r="P428" i="184"/>
  <c r="P341" i="184"/>
  <c r="P63" i="197"/>
  <c r="J677" i="184"/>
  <c r="H210" i="178"/>
  <c r="N209" i="184"/>
  <c r="N243" i="184" s="1"/>
  <c r="N247" i="184" s="1"/>
  <c r="N578" i="184"/>
  <c r="S34" i="198" s="1"/>
  <c r="N546" i="184"/>
  <c r="S25" i="198" s="1"/>
  <c r="N202" i="184"/>
  <c r="P546" i="184"/>
  <c r="AC25" i="198" s="1"/>
  <c r="P202" i="184"/>
  <c r="P551" i="184"/>
  <c r="AB26" i="198" s="1"/>
  <c r="O199" i="184"/>
  <c r="O231" i="184" s="1"/>
  <c r="N402" i="184"/>
  <c r="N66" i="197"/>
  <c r="N460" i="184"/>
  <c r="N344" i="184"/>
  <c r="N373" i="184"/>
  <c r="N431" i="184"/>
  <c r="U527" i="184"/>
  <c r="AK22" i="198" s="1"/>
  <c r="U199" i="184"/>
  <c r="U231" i="184" s="1"/>
  <c r="U238" i="184" s="1"/>
  <c r="J60" i="197"/>
  <c r="J78" i="197" s="1"/>
  <c r="J367" i="184"/>
  <c r="N584" i="184"/>
  <c r="S35" i="198" s="1"/>
  <c r="N210" i="184"/>
  <c r="N254" i="184" s="1"/>
  <c r="N258" i="184" s="1"/>
  <c r="O66" i="197"/>
  <c r="O402" i="184"/>
  <c r="O373" i="184"/>
  <c r="O431" i="184"/>
  <c r="O460" i="184"/>
  <c r="O344" i="184"/>
  <c r="J208" i="184"/>
  <c r="J232" i="184" s="1"/>
  <c r="J236" i="184" s="1"/>
  <c r="J572" i="184"/>
  <c r="J33" i="198" s="1"/>
  <c r="K577" i="184"/>
  <c r="K34" i="198" s="1"/>
  <c r="K209" i="184"/>
  <c r="K243" i="184" s="1"/>
  <c r="K247" i="184" s="1"/>
  <c r="M557" i="184"/>
  <c r="Q27" i="198" s="1"/>
  <c r="K621" i="184"/>
  <c r="K45" i="198" s="1"/>
  <c r="K218" i="184"/>
  <c r="K244" i="184" s="1"/>
  <c r="K248" i="184" s="1"/>
  <c r="W539" i="184"/>
  <c r="AM24" i="198" s="1"/>
  <c r="W201" i="184"/>
  <c r="W253" i="184" s="1"/>
  <c r="W260" i="184" s="1"/>
  <c r="T571" i="184"/>
  <c r="AJ33" i="198" s="1"/>
  <c r="T208" i="184"/>
  <c r="T232" i="184" s="1"/>
  <c r="T236" i="184" s="1"/>
  <c r="T335" i="184"/>
  <c r="M571" i="184"/>
  <c r="Q33" i="198" s="1"/>
  <c r="M208" i="184"/>
  <c r="M232" i="184" s="1"/>
  <c r="M236" i="184" s="1"/>
  <c r="J672" i="184"/>
  <c r="H205" i="178"/>
  <c r="J578" i="184"/>
  <c r="J34" i="198" s="1"/>
  <c r="J209" i="184"/>
  <c r="J243" i="184" s="1"/>
  <c r="J247" i="184" s="1"/>
  <c r="J546" i="184"/>
  <c r="J25" i="198" s="1"/>
  <c r="J202" i="184"/>
  <c r="O201" i="184"/>
  <c r="O253" i="184" s="1"/>
  <c r="U551" i="184"/>
  <c r="AK26" i="198" s="1"/>
  <c r="AK99" i="198" s="1"/>
  <c r="L551" i="184"/>
  <c r="L26" i="198" s="1"/>
  <c r="J676" i="184"/>
  <c r="H209" i="178"/>
  <c r="M308" i="184"/>
  <c r="M286" i="184"/>
  <c r="M188" i="186" s="1"/>
  <c r="L435" i="184"/>
  <c r="L377" i="184"/>
  <c r="L70" i="197"/>
  <c r="L406" i="184"/>
  <c r="L464" i="184"/>
  <c r="L348" i="184"/>
  <c r="M70" i="197"/>
  <c r="Q88" i="197" s="1"/>
  <c r="M348" i="184"/>
  <c r="O396" i="184"/>
  <c r="O367" i="184"/>
  <c r="O425" i="184"/>
  <c r="O454" i="184"/>
  <c r="O338" i="184"/>
  <c r="O356" i="184" s="1"/>
  <c r="O499" i="184" s="1"/>
  <c r="W56" i="196" s="1"/>
  <c r="O60" i="197"/>
  <c r="O58" i="197"/>
  <c r="O394" i="184"/>
  <c r="O336" i="184"/>
  <c r="O423" i="184"/>
  <c r="O452" i="184"/>
  <c r="O365" i="184"/>
  <c r="T615" i="184"/>
  <c r="AJ44" i="198" s="1"/>
  <c r="T217" i="184"/>
  <c r="T233" i="184" s="1"/>
  <c r="T237" i="184" s="1"/>
  <c r="T344" i="184"/>
  <c r="V217" i="184"/>
  <c r="V233" i="184" s="1"/>
  <c r="V237" i="184" s="1"/>
  <c r="V615" i="184"/>
  <c r="AL44" i="198" s="1"/>
  <c r="V344" i="184"/>
  <c r="V353" i="184" s="1"/>
  <c r="V481" i="184" s="1"/>
  <c r="AL53" i="196" s="1"/>
  <c r="O534" i="184"/>
  <c r="X23" i="198" s="1"/>
  <c r="O200" i="184"/>
  <c r="O242" i="184" s="1"/>
  <c r="T563" i="184"/>
  <c r="AJ28" i="198" s="1"/>
  <c r="T205" i="184"/>
  <c r="T301" i="184" s="1"/>
  <c r="X563" i="184"/>
  <c r="AN28" i="198" s="1"/>
  <c r="X205" i="184"/>
  <c r="X301" i="184" s="1"/>
  <c r="P433" i="184"/>
  <c r="P375" i="184"/>
  <c r="P462" i="184"/>
  <c r="P68" i="197"/>
  <c r="P404" i="184"/>
  <c r="P346" i="184"/>
  <c r="S633" i="184"/>
  <c r="AI47" i="198" s="1"/>
  <c r="S220" i="184"/>
  <c r="S347" i="184"/>
  <c r="S356" i="184" s="1"/>
  <c r="S499" i="184" s="1"/>
  <c r="AI56" i="196" s="1"/>
  <c r="Q286" i="184"/>
  <c r="Q188" i="186" s="1"/>
  <c r="K286" i="184"/>
  <c r="K188" i="186" s="1"/>
  <c r="N533" i="184"/>
  <c r="R23" i="198" s="1"/>
  <c r="U533" i="184"/>
  <c r="AK23" i="198" s="1"/>
  <c r="U200" i="184"/>
  <c r="U242" i="184" s="1"/>
  <c r="U249" i="184" s="1"/>
  <c r="Y645" i="184"/>
  <c r="AO49" i="198" s="1"/>
  <c r="AO120" i="198" s="1"/>
  <c r="Y349" i="184"/>
  <c r="Y358" i="184" s="1"/>
  <c r="Y511" i="184" s="1"/>
  <c r="AO58" i="196" s="1"/>
  <c r="AO81" i="196" s="1"/>
  <c r="W645" i="184"/>
  <c r="AM49" i="198" s="1"/>
  <c r="AM120" i="198" s="1"/>
  <c r="W349" i="184"/>
  <c r="W358" i="184" s="1"/>
  <c r="W511" i="184" s="1"/>
  <c r="AM58" i="196" s="1"/>
  <c r="AM81" i="196" s="1"/>
  <c r="P205" i="184"/>
  <c r="P301" i="184" s="1"/>
  <c r="AF141" i="198"/>
  <c r="AF108" i="198"/>
  <c r="AF112" i="198" s="1"/>
  <c r="K61" i="186"/>
  <c r="K62" i="185"/>
  <c r="K89" i="185" s="1"/>
  <c r="X89" i="185"/>
  <c r="X83" i="185"/>
  <c r="X91" i="185" s="1"/>
  <c r="X267" i="185" s="1"/>
  <c r="X78" i="189" s="1"/>
  <c r="L297" i="184"/>
  <c r="L189" i="186" s="1"/>
  <c r="N217" i="184"/>
  <c r="N233" i="184" s="1"/>
  <c r="N237" i="184" s="1"/>
  <c r="K545" i="184"/>
  <c r="K25" i="198" s="1"/>
  <c r="K202" i="184"/>
  <c r="X202" i="184"/>
  <c r="X545" i="184"/>
  <c r="AN25" i="198" s="1"/>
  <c r="T651" i="184"/>
  <c r="AJ50" i="198" s="1"/>
  <c r="T350" i="184"/>
  <c r="T359" i="184" s="1"/>
  <c r="T517" i="184" s="1"/>
  <c r="AJ59" i="196" s="1"/>
  <c r="T223" i="184"/>
  <c r="T303" i="184" s="1"/>
  <c r="T307" i="184" s="1"/>
  <c r="R651" i="184"/>
  <c r="AH50" i="198" s="1"/>
  <c r="R350" i="184"/>
  <c r="R359" i="184" s="1"/>
  <c r="R517" i="184" s="1"/>
  <c r="AH59" i="196" s="1"/>
  <c r="O530" i="184"/>
  <c r="Z22" i="198" s="1"/>
  <c r="J378" i="184"/>
  <c r="J71" i="197"/>
  <c r="J89" i="197" s="1"/>
  <c r="J374" i="184"/>
  <c r="J67" i="197"/>
  <c r="J85" i="197" s="1"/>
  <c r="P221" i="184"/>
  <c r="P281" i="184" s="1"/>
  <c r="P285" i="184" s="1"/>
  <c r="R627" i="184"/>
  <c r="AH46" i="198" s="1"/>
  <c r="R219" i="184"/>
  <c r="R255" i="184" s="1"/>
  <c r="R259" i="184" s="1"/>
  <c r="R346" i="184"/>
  <c r="X219" i="184"/>
  <c r="X255" i="184" s="1"/>
  <c r="X259" i="184" s="1"/>
  <c r="X627" i="184"/>
  <c r="AN46" i="198" s="1"/>
  <c r="X346" i="184"/>
  <c r="X355" i="184" s="1"/>
  <c r="X493" i="184" s="1"/>
  <c r="AN55" i="196" s="1"/>
  <c r="O531" i="184"/>
  <c r="AA22" i="198" s="1"/>
  <c r="L431" i="184"/>
  <c r="L66" i="197"/>
  <c r="L373" i="184"/>
  <c r="L460" i="184"/>
  <c r="L344" i="184"/>
  <c r="L402" i="184"/>
  <c r="L436" i="184"/>
  <c r="L349" i="184"/>
  <c r="L407" i="184"/>
  <c r="L465" i="184"/>
  <c r="L378" i="184"/>
  <c r="L71" i="197"/>
  <c r="M66" i="197"/>
  <c r="Q84" i="197" s="1"/>
  <c r="M344" i="184"/>
  <c r="Q558" i="184"/>
  <c r="AG27" i="198" s="1"/>
  <c r="Q200" i="184"/>
  <c r="Q242" i="184" s="1"/>
  <c r="Q534" i="184"/>
  <c r="AG23" i="198" s="1"/>
  <c r="J200" i="184"/>
  <c r="J242" i="184" s="1"/>
  <c r="J534" i="184"/>
  <c r="J23" i="198" s="1"/>
  <c r="S563" i="184"/>
  <c r="AI28" i="198" s="1"/>
  <c r="P71" i="197"/>
  <c r="P349" i="184"/>
  <c r="P465" i="184"/>
  <c r="P378" i="184"/>
  <c r="P407" i="184"/>
  <c r="P436" i="184"/>
  <c r="P69" i="197"/>
  <c r="P463" i="184"/>
  <c r="P405" i="184"/>
  <c r="P347" i="184"/>
  <c r="P376" i="184"/>
  <c r="P434" i="184"/>
  <c r="V633" i="184"/>
  <c r="AL47" i="198" s="1"/>
  <c r="V220" i="184"/>
  <c r="V347" i="184"/>
  <c r="V356" i="184" s="1"/>
  <c r="V499" i="184" s="1"/>
  <c r="AL56" i="196" s="1"/>
  <c r="M633" i="184"/>
  <c r="Q47" i="198" s="1"/>
  <c r="M220" i="184"/>
  <c r="Q60" i="197"/>
  <c r="AG78" i="197" s="1"/>
  <c r="Q367" i="184"/>
  <c r="K308" i="184"/>
  <c r="K297" i="184"/>
  <c r="K189" i="186" s="1"/>
  <c r="T533" i="184"/>
  <c r="AJ23" i="198" s="1"/>
  <c r="T200" i="184"/>
  <c r="T242" i="184" s="1"/>
  <c r="O533" i="184"/>
  <c r="W23" i="198" s="1"/>
  <c r="L634" i="184"/>
  <c r="M47" i="198" s="1"/>
  <c r="L220" i="184"/>
  <c r="J220" i="184"/>
  <c r="J634" i="184"/>
  <c r="J47" i="198" s="1"/>
  <c r="J218" i="184"/>
  <c r="J244" i="184" s="1"/>
  <c r="J248" i="184" s="1"/>
  <c r="J622" i="184"/>
  <c r="J45" i="198" s="1"/>
  <c r="O61" i="186"/>
  <c r="O62" i="185"/>
  <c r="O89" i="185" s="1"/>
  <c r="M61" i="186"/>
  <c r="M62" i="185"/>
  <c r="M89" i="185" s="1"/>
  <c r="L58" i="197"/>
  <c r="L452" i="184"/>
  <c r="L394" i="184"/>
  <c r="L423" i="184"/>
  <c r="L336" i="184"/>
  <c r="L365" i="184"/>
  <c r="L60" i="197"/>
  <c r="L338" i="184"/>
  <c r="L396" i="184"/>
  <c r="L454" i="184"/>
  <c r="L367" i="184"/>
  <c r="L425" i="184"/>
  <c r="P536" i="184"/>
  <c r="AE23" i="198" s="1"/>
  <c r="L536" i="184"/>
  <c r="O23" i="198" s="1"/>
  <c r="M545" i="184"/>
  <c r="Q25" i="198" s="1"/>
  <c r="M202" i="184"/>
  <c r="R202" i="184"/>
  <c r="R545" i="184"/>
  <c r="AH25" i="198" s="1"/>
  <c r="V651" i="184"/>
  <c r="AL50" i="198" s="1"/>
  <c r="V223" i="184"/>
  <c r="V303" i="184" s="1"/>
  <c r="V307" i="184" s="1"/>
  <c r="V350" i="184"/>
  <c r="V359" i="184" s="1"/>
  <c r="V517" i="184" s="1"/>
  <c r="AL59" i="196" s="1"/>
  <c r="Y651" i="184"/>
  <c r="AO50" i="198" s="1"/>
  <c r="AO121" i="198" s="1"/>
  <c r="Y350" i="184"/>
  <c r="Y359" i="184" s="1"/>
  <c r="Y517" i="184" s="1"/>
  <c r="AO59" i="196" s="1"/>
  <c r="N455" i="184"/>
  <c r="N368" i="184"/>
  <c r="N397" i="184"/>
  <c r="N339" i="184"/>
  <c r="N61" i="197"/>
  <c r="N426" i="184"/>
  <c r="J297" i="184"/>
  <c r="J189" i="186" s="1"/>
  <c r="J72" i="197"/>
  <c r="J90" i="197" s="1"/>
  <c r="J379" i="184"/>
  <c r="N541" i="184"/>
  <c r="T24" i="198" s="1"/>
  <c r="N466" i="184"/>
  <c r="N72" i="197"/>
  <c r="N437" i="184"/>
  <c r="N350" i="184"/>
  <c r="N379" i="184"/>
  <c r="N408" i="184"/>
  <c r="N547" i="184"/>
  <c r="T25" i="198" s="1"/>
  <c r="V621" i="184"/>
  <c r="AL45" i="198" s="1"/>
  <c r="V218" i="184"/>
  <c r="V244" i="184" s="1"/>
  <c r="V248" i="184" s="1"/>
  <c r="V345" i="184"/>
  <c r="V354" i="184" s="1"/>
  <c r="V487" i="184" s="1"/>
  <c r="AL54" i="196" s="1"/>
  <c r="V539" i="184"/>
  <c r="AL24" i="198" s="1"/>
  <c r="V201" i="184"/>
  <c r="V253" i="184" s="1"/>
  <c r="O537" i="184"/>
  <c r="AA23" i="198" s="1"/>
  <c r="K551" i="184"/>
  <c r="K26" i="198" s="1"/>
  <c r="R551" i="184"/>
  <c r="AH26" i="198" s="1"/>
  <c r="AH99" i="198" s="1"/>
  <c r="R357" i="184"/>
  <c r="R505" i="184" s="1"/>
  <c r="AH57" i="196" s="1"/>
  <c r="AH80" i="196" s="1"/>
  <c r="O628" i="184"/>
  <c r="X46" i="198" s="1"/>
  <c r="O219" i="184"/>
  <c r="O255" i="184" s="1"/>
  <c r="O259" i="184" s="1"/>
  <c r="P628" i="184"/>
  <c r="AC46" i="198" s="1"/>
  <c r="P219" i="184"/>
  <c r="P255" i="184" s="1"/>
  <c r="P259" i="184" s="1"/>
  <c r="M341" i="184"/>
  <c r="M63" i="197"/>
  <c r="Q81" i="197" s="1"/>
  <c r="N435" i="184"/>
  <c r="N70" i="197"/>
  <c r="N464" i="184"/>
  <c r="N348" i="184"/>
  <c r="N406" i="184"/>
  <c r="N377" i="184"/>
  <c r="K68" i="197"/>
  <c r="K86" i="197" s="1"/>
  <c r="K346" i="184"/>
  <c r="L527" i="184"/>
  <c r="L22" i="198" s="1"/>
  <c r="N527" i="184"/>
  <c r="R22" i="198" s="1"/>
  <c r="S557" i="184"/>
  <c r="AI27" i="198" s="1"/>
  <c r="AI100" i="198" s="1"/>
  <c r="L557" i="184"/>
  <c r="L27" i="198" s="1"/>
  <c r="K539" i="184"/>
  <c r="K24" i="198" s="1"/>
  <c r="K201" i="184"/>
  <c r="K253" i="184" s="1"/>
  <c r="P539" i="184"/>
  <c r="AB24" i="198" s="1"/>
  <c r="K571" i="184"/>
  <c r="K33" i="198" s="1"/>
  <c r="K208" i="184"/>
  <c r="K232" i="184" s="1"/>
  <c r="K236" i="184" s="1"/>
  <c r="N554" i="184"/>
  <c r="U26" i="198" s="1"/>
  <c r="Q209" i="184"/>
  <c r="Q243" i="184" s="1"/>
  <c r="Q247" i="184" s="1"/>
  <c r="Q578" i="184"/>
  <c r="AG34" i="198" s="1"/>
  <c r="Q375" i="184"/>
  <c r="Q68" i="197"/>
  <c r="AG86" i="197" s="1"/>
  <c r="L537" i="184"/>
  <c r="P23" i="198" s="1"/>
  <c r="V551" i="184"/>
  <c r="AL26" i="198" s="1"/>
  <c r="AL99" i="198" s="1"/>
  <c r="V357" i="184"/>
  <c r="V505" i="184" s="1"/>
  <c r="AL57" i="196" s="1"/>
  <c r="AL80" i="196" s="1"/>
  <c r="T551" i="184"/>
  <c r="AJ26" i="198" s="1"/>
  <c r="AJ99" i="198" s="1"/>
  <c r="T357" i="184"/>
  <c r="T505" i="184" s="1"/>
  <c r="AJ57" i="196" s="1"/>
  <c r="AJ80" i="196" s="1"/>
  <c r="M59" i="197"/>
  <c r="Q77" i="197" s="1"/>
  <c r="M337" i="184"/>
  <c r="N531" i="184"/>
  <c r="V22" i="198" s="1"/>
  <c r="L403" i="184"/>
  <c r="L461" i="184"/>
  <c r="L374" i="184"/>
  <c r="L67" i="197"/>
  <c r="L432" i="184"/>
  <c r="L345" i="184"/>
  <c r="J558" i="184"/>
  <c r="J27" i="198" s="1"/>
  <c r="N558" i="184"/>
  <c r="S27" i="198" s="1"/>
  <c r="N204" i="184"/>
  <c r="N290" i="184" s="1"/>
  <c r="O341" i="184"/>
  <c r="O63" i="197"/>
  <c r="O428" i="184"/>
  <c r="O457" i="184"/>
  <c r="O370" i="184"/>
  <c r="O399" i="184"/>
  <c r="Y615" i="184"/>
  <c r="AO44" i="198" s="1"/>
  <c r="AO115" i="198" s="1"/>
  <c r="Y344" i="184"/>
  <c r="Y353" i="184" s="1"/>
  <c r="Y481" i="184" s="1"/>
  <c r="AO53" i="196" s="1"/>
  <c r="M615" i="184"/>
  <c r="Q44" i="198" s="1"/>
  <c r="M217" i="184"/>
  <c r="M233" i="184" s="1"/>
  <c r="M237" i="184" s="1"/>
  <c r="Y563" i="184"/>
  <c r="AO28" i="198" s="1"/>
  <c r="Q211" i="184"/>
  <c r="Q590" i="184"/>
  <c r="AG36" i="198" s="1"/>
  <c r="P461" i="184"/>
  <c r="P374" i="184"/>
  <c r="P403" i="184"/>
  <c r="P432" i="184"/>
  <c r="P67" i="197"/>
  <c r="P345" i="184"/>
  <c r="T589" i="184"/>
  <c r="AJ36" i="198" s="1"/>
  <c r="T211" i="184"/>
  <c r="T338" i="184"/>
  <c r="Y633" i="184"/>
  <c r="AO47" i="198" s="1"/>
  <c r="AO118" i="198" s="1"/>
  <c r="Y347" i="184"/>
  <c r="Y356" i="184" s="1"/>
  <c r="Y499" i="184" s="1"/>
  <c r="AO56" i="196" s="1"/>
  <c r="J667" i="184"/>
  <c r="H200" i="178"/>
  <c r="Q57" i="197"/>
  <c r="AG75" i="197" s="1"/>
  <c r="Q364" i="184"/>
  <c r="Q297" i="184"/>
  <c r="Q189" i="186" s="1"/>
  <c r="K337" i="184"/>
  <c r="K59" i="197"/>
  <c r="K77" i="197" s="1"/>
  <c r="K60" i="197"/>
  <c r="K78" i="197" s="1"/>
  <c r="K338" i="184"/>
  <c r="V533" i="184"/>
  <c r="AL23" i="198" s="1"/>
  <c r="V200" i="184"/>
  <c r="V242" i="184" s="1"/>
  <c r="V645" i="184"/>
  <c r="AL49" i="198" s="1"/>
  <c r="AL120" i="198" s="1"/>
  <c r="V349" i="184"/>
  <c r="V358" i="184" s="1"/>
  <c r="V511" i="184" s="1"/>
  <c r="AL58" i="196" s="1"/>
  <c r="AL81" i="196" s="1"/>
  <c r="S83" i="185"/>
  <c r="S91" i="185" s="1"/>
  <c r="S267" i="185" s="1"/>
  <c r="S78" i="189" s="1"/>
  <c r="S89" i="185"/>
  <c r="Y83" i="185"/>
  <c r="Y91" i="185" s="1"/>
  <c r="Y267" i="185" s="1"/>
  <c r="Y78" i="189" s="1"/>
  <c r="Y89" i="185"/>
  <c r="L337" i="184"/>
  <c r="L59" i="197"/>
  <c r="L395" i="184"/>
  <c r="L366" i="184"/>
  <c r="L453" i="184"/>
  <c r="L424" i="184"/>
  <c r="L57" i="197"/>
  <c r="L422" i="184"/>
  <c r="L335" i="184"/>
  <c r="L393" i="184"/>
  <c r="L364" i="184"/>
  <c r="L451" i="184"/>
  <c r="N543" i="184"/>
  <c r="V24" i="198" s="1"/>
  <c r="O552" i="184"/>
  <c r="X26" i="198" s="1"/>
  <c r="O203" i="184"/>
  <c r="O279" i="184" s="1"/>
  <c r="S545" i="184"/>
  <c r="AI25" i="198" s="1"/>
  <c r="S202" i="184"/>
  <c r="N399" i="184"/>
  <c r="N341" i="184"/>
  <c r="N63" i="197"/>
  <c r="N370" i="184"/>
  <c r="N428" i="184"/>
  <c r="N457" i="184"/>
  <c r="N393" i="184"/>
  <c r="N451" i="184"/>
  <c r="N57" i="197"/>
  <c r="N422" i="184"/>
  <c r="N335" i="184"/>
  <c r="N364" i="184"/>
  <c r="K627" i="184"/>
  <c r="K46" i="198" s="1"/>
  <c r="K219" i="184"/>
  <c r="K255" i="184" s="1"/>
  <c r="K259" i="184" s="1"/>
  <c r="L82" i="193"/>
  <c r="L95" i="192"/>
  <c r="L113" i="191"/>
  <c r="L24" i="186"/>
  <c r="U111" i="192"/>
  <c r="U107" i="192"/>
  <c r="T111" i="192"/>
  <c r="T107" i="192"/>
  <c r="S111" i="192"/>
  <c r="S107" i="192"/>
  <c r="Y111" i="192"/>
  <c r="Y107" i="192"/>
  <c r="W111" i="192"/>
  <c r="W107" i="192"/>
  <c r="N114" i="192"/>
  <c r="P111" i="192"/>
  <c r="R108" i="192"/>
  <c r="X114" i="192"/>
  <c r="J112" i="192"/>
  <c r="R114" i="192"/>
  <c r="M111" i="192"/>
  <c r="M107" i="192"/>
  <c r="L111" i="192"/>
  <c r="L107" i="192"/>
  <c r="K111" i="192"/>
  <c r="K107" i="192"/>
  <c r="Q111" i="192"/>
  <c r="Q107" i="192"/>
  <c r="O111" i="192"/>
  <c r="O107" i="192"/>
  <c r="X112" i="192"/>
  <c r="J110" i="192"/>
  <c r="N107" i="192"/>
  <c r="R113" i="192"/>
  <c r="V110" i="192"/>
  <c r="N113" i="192"/>
  <c r="U114" i="192"/>
  <c r="U110" i="192"/>
  <c r="T114" i="192"/>
  <c r="T110" i="192"/>
  <c r="S114" i="192"/>
  <c r="S110" i="192"/>
  <c r="Y114" i="192"/>
  <c r="Y110" i="192"/>
  <c r="W114" i="192"/>
  <c r="W110" i="192"/>
  <c r="P114" i="192"/>
  <c r="R111" i="192"/>
  <c r="V108" i="192"/>
  <c r="V113" i="192"/>
  <c r="N112" i="192"/>
  <c r="P109" i="192"/>
  <c r="M114" i="192"/>
  <c r="M110" i="192"/>
  <c r="L114" i="192"/>
  <c r="L110" i="192"/>
  <c r="K114" i="192"/>
  <c r="K110" i="192"/>
  <c r="Q114" i="192"/>
  <c r="Q110" i="192"/>
  <c r="O114" i="192"/>
  <c r="O110" i="192"/>
  <c r="J113" i="192"/>
  <c r="N110" i="192"/>
  <c r="P107" i="192"/>
  <c r="P112" i="192"/>
  <c r="X110" i="192"/>
  <c r="J108" i="192"/>
  <c r="U113" i="192"/>
  <c r="U109" i="192"/>
  <c r="T113" i="192"/>
  <c r="T109" i="192"/>
  <c r="S113" i="192"/>
  <c r="S109" i="192"/>
  <c r="Y113" i="192"/>
  <c r="Y109" i="192"/>
  <c r="W113" i="192"/>
  <c r="W109" i="192"/>
  <c r="V111" i="192"/>
  <c r="X108" i="192"/>
  <c r="X113" i="192"/>
  <c r="J111" i="192"/>
  <c r="R109" i="192"/>
  <c r="X111" i="192"/>
  <c r="M113" i="192"/>
  <c r="M109" i="192"/>
  <c r="L113" i="192"/>
  <c r="L109" i="192"/>
  <c r="K113" i="192"/>
  <c r="K109" i="192"/>
  <c r="Q113" i="192"/>
  <c r="Q109" i="192"/>
  <c r="O113" i="192"/>
  <c r="O109" i="192"/>
  <c r="P110" i="192"/>
  <c r="R107" i="192"/>
  <c r="R112" i="192"/>
  <c r="V109" i="192"/>
  <c r="N108" i="192"/>
  <c r="R110" i="192"/>
  <c r="U112" i="192"/>
  <c r="U108" i="192"/>
  <c r="T112" i="192"/>
  <c r="T108" i="192"/>
  <c r="S112" i="192"/>
  <c r="S108" i="192"/>
  <c r="Y112" i="192"/>
  <c r="Y108" i="192"/>
  <c r="W112" i="192"/>
  <c r="W108" i="192"/>
  <c r="J109" i="192"/>
  <c r="J114" i="192"/>
  <c r="N111" i="192"/>
  <c r="P108" i="192"/>
  <c r="V114" i="192"/>
  <c r="N109" i="192"/>
  <c r="Q112" i="192"/>
  <c r="P113" i="192"/>
  <c r="Q108" i="192"/>
  <c r="X107" i="192"/>
  <c r="M112" i="192"/>
  <c r="O112" i="192"/>
  <c r="K112" i="192"/>
  <c r="M108" i="192"/>
  <c r="O108" i="192"/>
  <c r="L112" i="192"/>
  <c r="V107" i="192"/>
  <c r="K108" i="192"/>
  <c r="L108" i="192"/>
  <c r="V112" i="192"/>
  <c r="X109" i="192"/>
  <c r="J107" i="192"/>
  <c r="N73" i="182"/>
  <c r="N71" i="182"/>
  <c r="N74" i="182"/>
  <c r="N116" i="182"/>
  <c r="N109" i="182"/>
  <c r="N75" i="182"/>
  <c r="N119" i="182"/>
  <c r="N78" i="182"/>
  <c r="N66" i="182"/>
  <c r="N65" i="182"/>
  <c r="N77" i="182"/>
  <c r="N67" i="182"/>
  <c r="N79" i="182"/>
  <c r="N104" i="182"/>
  <c r="N108" i="182"/>
  <c r="N76" i="182"/>
  <c r="N105" i="182"/>
  <c r="N110" i="182"/>
  <c r="N68" i="182"/>
  <c r="N80" i="182"/>
  <c r="N72" i="182"/>
  <c r="N117" i="182"/>
  <c r="N106" i="182"/>
  <c r="N118" i="182"/>
  <c r="N113" i="182"/>
  <c r="N114" i="182"/>
  <c r="N69" i="182"/>
  <c r="N112" i="182"/>
  <c r="N70" i="182"/>
  <c r="N111" i="182"/>
  <c r="N115" i="182"/>
  <c r="N107" i="182"/>
  <c r="Q82" i="193"/>
  <c r="Q24" i="186"/>
  <c r="Q95" i="192"/>
  <c r="Q113" i="191"/>
  <c r="S76" i="189"/>
  <c r="S72" i="189"/>
  <c r="Y76" i="189"/>
  <c r="Y72" i="189"/>
  <c r="W76" i="189"/>
  <c r="W72" i="189"/>
  <c r="V76" i="189"/>
  <c r="V72" i="189"/>
  <c r="U76" i="189"/>
  <c r="U72" i="189"/>
  <c r="J76" i="189"/>
  <c r="L73" i="189"/>
  <c r="P70" i="189"/>
  <c r="T76" i="189"/>
  <c r="X73" i="189"/>
  <c r="J71" i="189"/>
  <c r="N73" i="189"/>
  <c r="T71" i="189"/>
  <c r="K76" i="189"/>
  <c r="K72" i="189"/>
  <c r="Q76" i="189"/>
  <c r="Q72" i="189"/>
  <c r="O76" i="189"/>
  <c r="O72" i="189"/>
  <c r="N76" i="189"/>
  <c r="N72" i="189"/>
  <c r="M76" i="189"/>
  <c r="M72" i="189"/>
  <c r="T74" i="189"/>
  <c r="X71" i="189"/>
  <c r="J69" i="189"/>
  <c r="P75" i="189"/>
  <c r="R72" i="189"/>
  <c r="T69" i="189"/>
  <c r="Q69" i="189"/>
  <c r="M69" i="189"/>
  <c r="L75" i="189"/>
  <c r="S75" i="189"/>
  <c r="S71" i="189"/>
  <c r="Y75" i="189"/>
  <c r="Y71" i="189"/>
  <c r="W75" i="189"/>
  <c r="W71" i="189"/>
  <c r="V75" i="189"/>
  <c r="V71" i="189"/>
  <c r="U75" i="189"/>
  <c r="U71" i="189"/>
  <c r="P73" i="189"/>
  <c r="R70" i="189"/>
  <c r="X76" i="189"/>
  <c r="J74" i="189"/>
  <c r="L71" i="189"/>
  <c r="L76" i="189"/>
  <c r="K69" i="189"/>
  <c r="N69" i="189"/>
  <c r="K75" i="189"/>
  <c r="K71" i="189"/>
  <c r="Q75" i="189"/>
  <c r="Q71" i="189"/>
  <c r="O75" i="189"/>
  <c r="O71" i="189"/>
  <c r="N75" i="189"/>
  <c r="N71" i="189"/>
  <c r="M75" i="189"/>
  <c r="M71" i="189"/>
  <c r="J72" i="189"/>
  <c r="L69" i="189"/>
  <c r="R75" i="189"/>
  <c r="T72" i="189"/>
  <c r="X69" i="189"/>
  <c r="X74" i="189"/>
  <c r="O73" i="189"/>
  <c r="L70" i="189"/>
  <c r="S74" i="189"/>
  <c r="S70" i="189"/>
  <c r="Y74" i="189"/>
  <c r="Y70" i="189"/>
  <c r="W74" i="189"/>
  <c r="W70" i="189"/>
  <c r="V74" i="189"/>
  <c r="V70" i="189"/>
  <c r="U74" i="189"/>
  <c r="U70" i="189"/>
  <c r="T70" i="189"/>
  <c r="T75" i="189"/>
  <c r="L74" i="189"/>
  <c r="P71" i="189"/>
  <c r="P76" i="189"/>
  <c r="R73" i="189"/>
  <c r="Q73" i="189"/>
  <c r="K74" i="189"/>
  <c r="K70" i="189"/>
  <c r="Q74" i="189"/>
  <c r="Q70" i="189"/>
  <c r="O74" i="189"/>
  <c r="O70" i="189"/>
  <c r="N74" i="189"/>
  <c r="N70" i="189"/>
  <c r="M74" i="189"/>
  <c r="M70" i="189"/>
  <c r="P69" i="189"/>
  <c r="P74" i="189"/>
  <c r="X72" i="189"/>
  <c r="J70" i="189"/>
  <c r="J75" i="189"/>
  <c r="X70" i="189"/>
  <c r="O69" i="189"/>
  <c r="R74" i="189"/>
  <c r="S73" i="189"/>
  <c r="S69" i="189"/>
  <c r="Y73" i="189"/>
  <c r="Y69" i="189"/>
  <c r="W73" i="189"/>
  <c r="W69" i="189"/>
  <c r="V73" i="189"/>
  <c r="V69" i="189"/>
  <c r="U73" i="189"/>
  <c r="U69" i="189"/>
  <c r="X75" i="189"/>
  <c r="J73" i="189"/>
  <c r="R71" i="189"/>
  <c r="R76" i="189"/>
  <c r="T73" i="189"/>
  <c r="L72" i="189"/>
  <c r="K73" i="189"/>
  <c r="M73" i="189"/>
  <c r="P72" i="189"/>
  <c r="R69" i="189"/>
  <c r="K95" i="192"/>
  <c r="K24" i="186"/>
  <c r="K113" i="191"/>
  <c r="K82" i="193"/>
  <c r="K115" i="193"/>
  <c r="K111" i="193"/>
  <c r="J115" i="193"/>
  <c r="J111" i="193"/>
  <c r="Q115" i="193"/>
  <c r="Q111" i="193"/>
  <c r="P115" i="193"/>
  <c r="P111" i="193"/>
  <c r="O115" i="193"/>
  <c r="O111" i="193"/>
  <c r="N115" i="193"/>
  <c r="N111" i="193"/>
  <c r="M115" i="193"/>
  <c r="M111" i="193"/>
  <c r="L109" i="193"/>
  <c r="L111" i="193"/>
  <c r="S114" i="193"/>
  <c r="S110" i="193"/>
  <c r="R114" i="193"/>
  <c r="R110" i="193"/>
  <c r="Y114" i="193"/>
  <c r="Y110" i="193"/>
  <c r="X114" i="193"/>
  <c r="X110" i="193"/>
  <c r="W114" i="193"/>
  <c r="W110" i="193"/>
  <c r="V114" i="193"/>
  <c r="V110" i="193"/>
  <c r="U114" i="193"/>
  <c r="U110" i="193"/>
  <c r="T116" i="193"/>
  <c r="T114" i="193"/>
  <c r="K114" i="193"/>
  <c r="K110" i="193"/>
  <c r="J114" i="193"/>
  <c r="J110" i="193"/>
  <c r="Q114" i="193"/>
  <c r="Q110" i="193"/>
  <c r="P114" i="193"/>
  <c r="P110" i="193"/>
  <c r="O114" i="193"/>
  <c r="O110" i="193"/>
  <c r="N114" i="193"/>
  <c r="N110" i="193"/>
  <c r="M114" i="193"/>
  <c r="M110" i="193"/>
  <c r="T112" i="193"/>
  <c r="T110" i="193"/>
  <c r="S113" i="193"/>
  <c r="S109" i="193"/>
  <c r="R113" i="193"/>
  <c r="R109" i="193"/>
  <c r="Y113" i="193"/>
  <c r="Y109" i="193"/>
  <c r="X113" i="193"/>
  <c r="X109" i="193"/>
  <c r="W113" i="193"/>
  <c r="W109" i="193"/>
  <c r="V113" i="193"/>
  <c r="V109" i="193"/>
  <c r="U113" i="193"/>
  <c r="U109" i="193"/>
  <c r="L116" i="193"/>
  <c r="L110" i="193"/>
  <c r="K113" i="193"/>
  <c r="K109" i="193"/>
  <c r="J113" i="193"/>
  <c r="J109" i="193"/>
  <c r="Q113" i="193"/>
  <c r="Q109" i="193"/>
  <c r="P113" i="193"/>
  <c r="P109" i="193"/>
  <c r="O113" i="193"/>
  <c r="O109" i="193"/>
  <c r="N113" i="193"/>
  <c r="N109" i="193"/>
  <c r="M113" i="193"/>
  <c r="M109" i="193"/>
  <c r="L112" i="193"/>
  <c r="L114" i="193"/>
  <c r="S116" i="193"/>
  <c r="S112" i="193"/>
  <c r="R116" i="193"/>
  <c r="R112" i="193"/>
  <c r="Y116" i="193"/>
  <c r="Y112" i="193"/>
  <c r="X116" i="193"/>
  <c r="X112" i="193"/>
  <c r="W116" i="193"/>
  <c r="W112" i="193"/>
  <c r="V116" i="193"/>
  <c r="V112" i="193"/>
  <c r="U116" i="193"/>
  <c r="U112" i="193"/>
  <c r="T113" i="193"/>
  <c r="T115" i="193"/>
  <c r="K116" i="193"/>
  <c r="K112" i="193"/>
  <c r="J116" i="193"/>
  <c r="J112" i="193"/>
  <c r="Q116" i="193"/>
  <c r="Q112" i="193"/>
  <c r="P116" i="193"/>
  <c r="P112" i="193"/>
  <c r="O116" i="193"/>
  <c r="O112" i="193"/>
  <c r="N116" i="193"/>
  <c r="N112" i="193"/>
  <c r="M116" i="193"/>
  <c r="M112" i="193"/>
  <c r="T109" i="193"/>
  <c r="T111" i="193"/>
  <c r="X111" i="193"/>
  <c r="L115" i="193"/>
  <c r="S115" i="193"/>
  <c r="W115" i="193"/>
  <c r="X115" i="193"/>
  <c r="S111" i="193"/>
  <c r="W111" i="193"/>
  <c r="V115" i="193"/>
  <c r="R115" i="193"/>
  <c r="R111" i="193"/>
  <c r="V111" i="193"/>
  <c r="U111" i="193"/>
  <c r="L113" i="193"/>
  <c r="Y115" i="193"/>
  <c r="U115" i="193"/>
  <c r="Y111" i="193"/>
  <c r="O119" i="182"/>
  <c r="O116" i="182"/>
  <c r="O107" i="182"/>
  <c r="O112" i="182"/>
  <c r="O72" i="182"/>
  <c r="O67" i="182"/>
  <c r="O77" i="182"/>
  <c r="O76" i="182"/>
  <c r="O106" i="182"/>
  <c r="O74" i="182"/>
  <c r="O69" i="182"/>
  <c r="O75" i="182"/>
  <c r="O115" i="182"/>
  <c r="O80" i="182"/>
  <c r="O73" i="182"/>
  <c r="O113" i="182"/>
  <c r="O111" i="182"/>
  <c r="O114" i="182"/>
  <c r="O66" i="182"/>
  <c r="O105" i="182"/>
  <c r="O104" i="182"/>
  <c r="O71" i="182"/>
  <c r="O79" i="182"/>
  <c r="O65" i="182"/>
  <c r="O108" i="182"/>
  <c r="O109" i="182"/>
  <c r="O70" i="182"/>
  <c r="O110" i="182"/>
  <c r="O78" i="182"/>
  <c r="O68" i="182"/>
  <c r="O118" i="182"/>
  <c r="O117" i="182"/>
  <c r="M113" i="191"/>
  <c r="M24" i="186"/>
  <c r="M82" i="193"/>
  <c r="M95" i="192"/>
  <c r="H35" i="193" a="1"/>
  <c r="K31" i="188"/>
  <c r="H45" i="186"/>
  <c r="M104" i="182"/>
  <c r="M106" i="182"/>
  <c r="M111" i="182"/>
  <c r="M116" i="182"/>
  <c r="M117" i="182"/>
  <c r="M110" i="182"/>
  <c r="M113" i="182"/>
  <c r="M71" i="182"/>
  <c r="M114" i="182"/>
  <c r="M67" i="182"/>
  <c r="M112" i="182"/>
  <c r="M65" i="182"/>
  <c r="M72" i="182"/>
  <c r="M70" i="182"/>
  <c r="M108" i="182"/>
  <c r="M115" i="182"/>
  <c r="M75" i="182"/>
  <c r="M76" i="182"/>
  <c r="M118" i="182"/>
  <c r="M119" i="182"/>
  <c r="M78" i="182"/>
  <c r="M109" i="182"/>
  <c r="M74" i="182"/>
  <c r="M80" i="182"/>
  <c r="M77" i="182"/>
  <c r="M79" i="182"/>
  <c r="M73" i="182"/>
  <c r="M68" i="182"/>
  <c r="M69" i="182"/>
  <c r="M66" i="182"/>
  <c r="M107" i="182"/>
  <c r="M105" i="182"/>
  <c r="H43" i="189" a="1"/>
  <c r="H37" i="192" a="1"/>
  <c r="P73" i="182"/>
  <c r="P134" i="182" s="1"/>
  <c r="P80" i="182"/>
  <c r="P141" i="182" s="1"/>
  <c r="P69" i="182"/>
  <c r="P130" i="182" s="1"/>
  <c r="P76" i="182"/>
  <c r="P137" i="182" s="1"/>
  <c r="P65" i="182"/>
  <c r="P126" i="182" s="1"/>
  <c r="P72" i="182"/>
  <c r="P133" i="182" s="1"/>
  <c r="P77" i="182"/>
  <c r="P138" i="182" s="1"/>
  <c r="P78" i="182"/>
  <c r="P139" i="182" s="1"/>
  <c r="P74" i="182"/>
  <c r="P135" i="182" s="1"/>
  <c r="P70" i="182"/>
  <c r="P131" i="182" s="1"/>
  <c r="P68" i="182"/>
  <c r="P129" i="182" s="1"/>
  <c r="P66" i="182"/>
  <c r="P127" i="182" s="1"/>
  <c r="P110" i="182"/>
  <c r="P118" i="182"/>
  <c r="P106" i="182"/>
  <c r="P114" i="182"/>
  <c r="P71" i="182"/>
  <c r="P132" i="182" s="1"/>
  <c r="P119" i="182"/>
  <c r="P117" i="182"/>
  <c r="P112" i="182"/>
  <c r="P67" i="182"/>
  <c r="P128" i="182" s="1"/>
  <c r="P75" i="182"/>
  <c r="P136" i="182" s="1"/>
  <c r="P104" i="182"/>
  <c r="P79" i="182"/>
  <c r="P140" i="182" s="1"/>
  <c r="P108" i="182"/>
  <c r="P105" i="182"/>
  <c r="P109" i="182"/>
  <c r="P107" i="182"/>
  <c r="P113" i="182"/>
  <c r="P116" i="182"/>
  <c r="P115" i="182"/>
  <c r="P111" i="182"/>
  <c r="N95" i="192"/>
  <c r="N113" i="191"/>
  <c r="N82" i="193"/>
  <c r="N24" i="186"/>
  <c r="O95" i="192"/>
  <c r="O82" i="193"/>
  <c r="O113" i="191"/>
  <c r="O24" i="186"/>
  <c r="P24" i="186"/>
  <c r="P82" i="193"/>
  <c r="P95" i="192"/>
  <c r="P113" i="191"/>
  <c r="L20" i="182"/>
  <c r="K21" i="182"/>
  <c r="K23" i="182" s="1"/>
  <c r="K32" i="188" s="1"/>
  <c r="K33" i="188" s="1"/>
  <c r="J82" i="193"/>
  <c r="J113" i="191"/>
  <c r="J95" i="192"/>
  <c r="J24" i="186"/>
  <c r="O26" i="190"/>
  <c r="O22" i="187"/>
  <c r="T26" i="190"/>
  <c r="T22" i="187"/>
  <c r="K26" i="190"/>
  <c r="K22" i="187"/>
  <c r="U21" i="187"/>
  <c r="U25" i="190"/>
  <c r="Y25" i="190"/>
  <c r="Y21" i="187"/>
  <c r="V26" i="190"/>
  <c r="V22" i="187"/>
  <c r="Y26" i="190"/>
  <c r="Y22" i="187"/>
  <c r="W26" i="190"/>
  <c r="W22" i="187"/>
  <c r="M25" i="190"/>
  <c r="M21" i="187"/>
  <c r="R25" i="190"/>
  <c r="R21" i="187"/>
  <c r="R26" i="190"/>
  <c r="R22" i="187"/>
  <c r="P26" i="190"/>
  <c r="P22" i="187"/>
  <c r="W25" i="190"/>
  <c r="W21" i="187"/>
  <c r="L25" i="190"/>
  <c r="L21" i="187"/>
  <c r="N26" i="190"/>
  <c r="N22" i="187"/>
  <c r="U22" i="187"/>
  <c r="U26" i="190"/>
  <c r="P21" i="187"/>
  <c r="P25" i="190"/>
  <c r="V25" i="190"/>
  <c r="V21" i="187"/>
  <c r="N25" i="190"/>
  <c r="N21" i="187"/>
  <c r="S26" i="190"/>
  <c r="S22" i="187"/>
  <c r="X22" i="187"/>
  <c r="X26" i="190"/>
  <c r="K21" i="187"/>
  <c r="K25" i="190"/>
  <c r="T21" i="187"/>
  <c r="T25" i="190"/>
  <c r="M26" i="190"/>
  <c r="M22" i="187"/>
  <c r="J26" i="190"/>
  <c r="J22" i="187"/>
  <c r="L26" i="190"/>
  <c r="L22" i="187"/>
  <c r="X25" i="190"/>
  <c r="X21" i="187"/>
  <c r="O25" i="190"/>
  <c r="O21" i="187"/>
  <c r="S25" i="190"/>
  <c r="S21" i="187"/>
  <c r="J25" i="190"/>
  <c r="J21" i="187"/>
  <c r="N472" i="184" l="1"/>
  <c r="N503" i="184" s="1"/>
  <c r="V56" i="196" s="1"/>
  <c r="V154" i="196" s="1"/>
  <c r="O286" i="184"/>
  <c r="O188" i="186" s="1"/>
  <c r="K238" i="184"/>
  <c r="K31" i="185" s="1"/>
  <c r="O440" i="184"/>
  <c r="O484" i="184" s="1"/>
  <c r="Z53" i="196" s="1"/>
  <c r="L357" i="184"/>
  <c r="L505" i="184" s="1"/>
  <c r="L57" i="196" s="1"/>
  <c r="P415" i="184"/>
  <c r="P507" i="184" s="1"/>
  <c r="AD57" i="196" s="1"/>
  <c r="N413" i="184"/>
  <c r="N495" i="184" s="1"/>
  <c r="T55" i="196" s="1"/>
  <c r="O441" i="184"/>
  <c r="O490" i="184" s="1"/>
  <c r="Z54" i="196" s="1"/>
  <c r="O471" i="184"/>
  <c r="O497" i="184" s="1"/>
  <c r="AA55" i="196" s="1"/>
  <c r="J42" i="55"/>
  <c r="O446" i="184"/>
  <c r="O520" i="184" s="1"/>
  <c r="Z59" i="196" s="1"/>
  <c r="L444" i="184"/>
  <c r="L508" i="184" s="1"/>
  <c r="O57" i="196" s="1"/>
  <c r="N441" i="184"/>
  <c r="N490" i="184" s="1"/>
  <c r="U54" i="196" s="1"/>
  <c r="J383" i="184"/>
  <c r="J488" i="184" s="1"/>
  <c r="J54" i="196" s="1"/>
  <c r="M357" i="184"/>
  <c r="M505" i="184" s="1"/>
  <c r="Q57" i="196" s="1"/>
  <c r="P441" i="184"/>
  <c r="P490" i="184" s="1"/>
  <c r="AE54" i="196" s="1"/>
  <c r="O359" i="184"/>
  <c r="O517" i="184" s="1"/>
  <c r="W59" i="196" s="1"/>
  <c r="M191" i="186"/>
  <c r="M192" i="186" s="1"/>
  <c r="M258" i="186" s="1"/>
  <c r="L474" i="184"/>
  <c r="L515" i="184" s="1"/>
  <c r="P58" i="196" s="1"/>
  <c r="L472" i="184"/>
  <c r="L503" i="184" s="1"/>
  <c r="P56" i="196" s="1"/>
  <c r="P120" i="196" s="1"/>
  <c r="P132" i="196" s="1"/>
  <c r="O414" i="184"/>
  <c r="O501" i="184" s="1"/>
  <c r="Y56" i="196" s="1"/>
  <c r="Y154" i="196" s="1"/>
  <c r="L442" i="184"/>
  <c r="L496" i="184" s="1"/>
  <c r="O55" i="196" s="1"/>
  <c r="J238" i="184"/>
  <c r="J56" i="186" s="1"/>
  <c r="P446" i="184"/>
  <c r="P520" i="184" s="1"/>
  <c r="AE59" i="196" s="1"/>
  <c r="N354" i="184"/>
  <c r="N487" i="184" s="1"/>
  <c r="R54" i="196" s="1"/>
  <c r="K358" i="184"/>
  <c r="K511" i="184" s="1"/>
  <c r="K58" i="196" s="1"/>
  <c r="L471" i="184"/>
  <c r="L497" i="184" s="1"/>
  <c r="P55" i="196" s="1"/>
  <c r="O388" i="184"/>
  <c r="O518" i="184" s="1"/>
  <c r="X59" i="196" s="1"/>
  <c r="L443" i="184"/>
  <c r="L502" i="184" s="1"/>
  <c r="O56" i="196" s="1"/>
  <c r="O154" i="196" s="1"/>
  <c r="N470" i="184"/>
  <c r="N491" i="184" s="1"/>
  <c r="V54" i="196" s="1"/>
  <c r="L249" i="184"/>
  <c r="L57" i="186" s="1"/>
  <c r="M359" i="184"/>
  <c r="M517" i="184" s="1"/>
  <c r="Q59" i="196" s="1"/>
  <c r="Q383" i="184"/>
  <c r="Q488" i="184" s="1"/>
  <c r="AG54" i="196" s="1"/>
  <c r="L411" i="184"/>
  <c r="L483" i="184" s="1"/>
  <c r="N53" i="196" s="1"/>
  <c r="P357" i="184"/>
  <c r="P505" i="184" s="1"/>
  <c r="AB57" i="196" s="1"/>
  <c r="K357" i="184"/>
  <c r="K505" i="184" s="1"/>
  <c r="K57" i="196" s="1"/>
  <c r="M353" i="184"/>
  <c r="M481" i="184" s="1"/>
  <c r="Q53" i="196" s="1"/>
  <c r="R355" i="184"/>
  <c r="R493" i="184" s="1"/>
  <c r="AH55" i="196" s="1"/>
  <c r="L355" i="184"/>
  <c r="L493" i="184" s="1"/>
  <c r="L55" i="196" s="1"/>
  <c r="P308" i="184"/>
  <c r="K359" i="184"/>
  <c r="K517" i="184" s="1"/>
  <c r="K59" i="196" s="1"/>
  <c r="P386" i="184"/>
  <c r="P506" i="184" s="1"/>
  <c r="AC57" i="196" s="1"/>
  <c r="Q387" i="184"/>
  <c r="Q512" i="184" s="1"/>
  <c r="AG58" i="196" s="1"/>
  <c r="O354" i="184"/>
  <c r="O487" i="184" s="1"/>
  <c r="W54" i="196" s="1"/>
  <c r="O474" i="184"/>
  <c r="O515" i="184" s="1"/>
  <c r="AA58" i="196" s="1"/>
  <c r="S260" i="184"/>
  <c r="S58" i="186" s="1"/>
  <c r="N411" i="184"/>
  <c r="N483" i="184" s="1"/>
  <c r="T53" i="196" s="1"/>
  <c r="P388" i="184"/>
  <c r="P518" i="184" s="1"/>
  <c r="AC59" i="196" s="1"/>
  <c r="K354" i="184"/>
  <c r="K487" i="184" s="1"/>
  <c r="K54" i="196" s="1"/>
  <c r="N353" i="184"/>
  <c r="N481" i="184" s="1"/>
  <c r="R53" i="196" s="1"/>
  <c r="Q191" i="186"/>
  <c r="Q192" i="186" s="1"/>
  <c r="N414" i="184"/>
  <c r="N501" i="184" s="1"/>
  <c r="T56" i="196" s="1"/>
  <c r="L382" i="184"/>
  <c r="L482" i="184" s="1"/>
  <c r="M53" i="196" s="1"/>
  <c r="L356" i="184"/>
  <c r="L499" i="184" s="1"/>
  <c r="L56" i="196" s="1"/>
  <c r="L387" i="184"/>
  <c r="L512" i="184" s="1"/>
  <c r="M58" i="196" s="1"/>
  <c r="P359" i="184"/>
  <c r="P517" i="184" s="1"/>
  <c r="AB59" i="196" s="1"/>
  <c r="P473" i="184"/>
  <c r="P509" i="184" s="1"/>
  <c r="AF57" i="196" s="1"/>
  <c r="P238" i="184"/>
  <c r="P56" i="186" s="1"/>
  <c r="O417" i="184"/>
  <c r="O519" i="184" s="1"/>
  <c r="Y59" i="196" s="1"/>
  <c r="P260" i="184"/>
  <c r="P58" i="186" s="1"/>
  <c r="O383" i="184"/>
  <c r="O488" i="184" s="1"/>
  <c r="X54" i="196" s="1"/>
  <c r="O472" i="184"/>
  <c r="O503" i="184" s="1"/>
  <c r="AA56" i="196" s="1"/>
  <c r="AA154" i="196" s="1"/>
  <c r="P355" i="184"/>
  <c r="P493" i="184" s="1"/>
  <c r="AB55" i="196" s="1"/>
  <c r="V260" i="184"/>
  <c r="V58" i="186" s="1"/>
  <c r="J191" i="186"/>
  <c r="J192" i="186" s="1"/>
  <c r="P471" i="184"/>
  <c r="P497" i="184" s="1"/>
  <c r="AF55" i="196" s="1"/>
  <c r="O470" i="184"/>
  <c r="O491" i="184" s="1"/>
  <c r="AA54" i="196" s="1"/>
  <c r="Q238" i="184"/>
  <c r="Q31" i="185" s="1"/>
  <c r="O445" i="184"/>
  <c r="O514" i="184" s="1"/>
  <c r="Z58" i="196" s="1"/>
  <c r="Q382" i="184"/>
  <c r="Q482" i="184" s="1"/>
  <c r="AG53" i="196" s="1"/>
  <c r="L358" i="184"/>
  <c r="L511" i="184" s="1"/>
  <c r="L58" i="196" s="1"/>
  <c r="P417" i="184"/>
  <c r="P519" i="184" s="1"/>
  <c r="AD59" i="196" s="1"/>
  <c r="N385" i="184"/>
  <c r="N500" i="184" s="1"/>
  <c r="S56" i="196" s="1"/>
  <c r="O385" i="184"/>
  <c r="O500" i="184" s="1"/>
  <c r="X56" i="196" s="1"/>
  <c r="X154" i="196" s="1"/>
  <c r="L386" i="184"/>
  <c r="L506" i="184" s="1"/>
  <c r="M57" i="196" s="1"/>
  <c r="O386" i="184"/>
  <c r="O506" i="184" s="1"/>
  <c r="X57" i="196" s="1"/>
  <c r="N356" i="184"/>
  <c r="N499" i="184" s="1"/>
  <c r="R56" i="196" s="1"/>
  <c r="R249" i="184"/>
  <c r="R32" i="185" s="1"/>
  <c r="L414" i="184"/>
  <c r="L501" i="184" s="1"/>
  <c r="N56" i="196" s="1"/>
  <c r="N154" i="196" s="1"/>
  <c r="P354" i="184"/>
  <c r="P487" i="184" s="1"/>
  <c r="AB54" i="196" s="1"/>
  <c r="J385" i="184"/>
  <c r="J500" i="184" s="1"/>
  <c r="J56" i="196" s="1"/>
  <c r="J122" i="196" s="1"/>
  <c r="J134" i="196" s="1"/>
  <c r="N383" i="184"/>
  <c r="N488" i="184" s="1"/>
  <c r="S54" i="196" s="1"/>
  <c r="L238" i="184"/>
  <c r="L31" i="185" s="1"/>
  <c r="AO165" i="196"/>
  <c r="AI165" i="196"/>
  <c r="N685" i="184"/>
  <c r="L353" i="184"/>
  <c r="L481" i="184" s="1"/>
  <c r="L53" i="196" s="1"/>
  <c r="J680" i="184"/>
  <c r="K355" i="184"/>
  <c r="K493" i="184" s="1"/>
  <c r="K55" i="196" s="1"/>
  <c r="P440" i="184"/>
  <c r="P484" i="184" s="1"/>
  <c r="AE53" i="196" s="1"/>
  <c r="P286" i="184"/>
  <c r="P188" i="186" s="1"/>
  <c r="J41" i="55"/>
  <c r="L440" i="184"/>
  <c r="L484" i="184" s="1"/>
  <c r="O53" i="196" s="1"/>
  <c r="N387" i="184"/>
  <c r="N512" i="184" s="1"/>
  <c r="S58" i="196" s="1"/>
  <c r="N446" i="184"/>
  <c r="N520" i="184" s="1"/>
  <c r="U59" i="196" s="1"/>
  <c r="P249" i="184"/>
  <c r="P57" i="186" s="1"/>
  <c r="O387" i="184"/>
  <c r="O512" i="184" s="1"/>
  <c r="X58" i="196" s="1"/>
  <c r="N412" i="184"/>
  <c r="N489" i="184" s="1"/>
  <c r="T54" i="196" s="1"/>
  <c r="N416" i="184"/>
  <c r="N513" i="184" s="1"/>
  <c r="T58" i="196" s="1"/>
  <c r="J387" i="184"/>
  <c r="J512" i="184" s="1"/>
  <c r="J58" i="196" s="1"/>
  <c r="Q386" i="184"/>
  <c r="Q506" i="184" s="1"/>
  <c r="AG57" i="196" s="1"/>
  <c r="Q260" i="184"/>
  <c r="Q58" i="186" s="1"/>
  <c r="L685" i="184"/>
  <c r="O358" i="184"/>
  <c r="O511" i="184" s="1"/>
  <c r="W58" i="196" s="1"/>
  <c r="Q385" i="184"/>
  <c r="Q500" i="184" s="1"/>
  <c r="AG56" i="196" s="1"/>
  <c r="AG120" i="196" s="1"/>
  <c r="AG132" i="196" s="1"/>
  <c r="L383" i="184"/>
  <c r="L488" i="184" s="1"/>
  <c r="M54" i="196" s="1"/>
  <c r="N444" i="184"/>
  <c r="N508" i="184" s="1"/>
  <c r="U57" i="196" s="1"/>
  <c r="O444" i="184"/>
  <c r="O508" i="184" s="1"/>
  <c r="Z57" i="196" s="1"/>
  <c r="M356" i="184"/>
  <c r="M499" i="184" s="1"/>
  <c r="Q56" i="196" s="1"/>
  <c r="T308" i="184"/>
  <c r="M355" i="184"/>
  <c r="M493" i="184" s="1"/>
  <c r="Q55" i="196" s="1"/>
  <c r="N357" i="184"/>
  <c r="N505" i="184" s="1"/>
  <c r="R57" i="196" s="1"/>
  <c r="N238" i="184"/>
  <c r="N56" i="186" s="1"/>
  <c r="J386" i="184"/>
  <c r="J506" i="184" s="1"/>
  <c r="J57" i="196" s="1"/>
  <c r="K353" i="184"/>
  <c r="K481" i="184" s="1"/>
  <c r="K53" i="196" s="1"/>
  <c r="N358" i="184"/>
  <c r="N511" i="184" s="1"/>
  <c r="R58" i="196" s="1"/>
  <c r="L354" i="184"/>
  <c r="L487" i="184" s="1"/>
  <c r="L54" i="196" s="1"/>
  <c r="V238" i="184"/>
  <c r="V31" i="185" s="1"/>
  <c r="O412" i="184"/>
  <c r="O489" i="184" s="1"/>
  <c r="Y54" i="196" s="1"/>
  <c r="O260" i="184"/>
  <c r="O58" i="186" s="1"/>
  <c r="R238" i="184"/>
  <c r="R31" i="185" s="1"/>
  <c r="P416" i="184"/>
  <c r="P513" i="184" s="1"/>
  <c r="AD58" i="196" s="1"/>
  <c r="S249" i="184"/>
  <c r="S32" i="185" s="1"/>
  <c r="P443" i="184"/>
  <c r="P502" i="184" s="1"/>
  <c r="AE56" i="196" s="1"/>
  <c r="AE154" i="196" s="1"/>
  <c r="N474" i="184"/>
  <c r="N515" i="184" s="1"/>
  <c r="V58" i="196" s="1"/>
  <c r="L475" i="184"/>
  <c r="L521" i="184" s="1"/>
  <c r="P59" i="196" s="1"/>
  <c r="V249" i="184"/>
  <c r="L441" i="184"/>
  <c r="L490" i="184" s="1"/>
  <c r="O54" i="196" s="1"/>
  <c r="T353" i="184"/>
  <c r="T481" i="184" s="1"/>
  <c r="AJ53" i="196" s="1"/>
  <c r="AJ165" i="196" s="1"/>
  <c r="P356" i="184"/>
  <c r="P499" i="184" s="1"/>
  <c r="AB56" i="196" s="1"/>
  <c r="P469" i="184"/>
  <c r="P485" i="184" s="1"/>
  <c r="AF53" i="196" s="1"/>
  <c r="J260" i="184"/>
  <c r="J33" i="185" s="1"/>
  <c r="L469" i="184"/>
  <c r="L485" i="184" s="1"/>
  <c r="P53" i="196" s="1"/>
  <c r="L384" i="184"/>
  <c r="L494" i="184" s="1"/>
  <c r="M55" i="196" s="1"/>
  <c r="T356" i="184"/>
  <c r="T499" i="184" s="1"/>
  <c r="AJ56" i="196" s="1"/>
  <c r="L385" i="184"/>
  <c r="L500" i="184" s="1"/>
  <c r="M56" i="196" s="1"/>
  <c r="L412" i="184"/>
  <c r="L489" i="184" s="1"/>
  <c r="N54" i="196" s="1"/>
  <c r="O238" i="184"/>
  <c r="O56" i="186" s="1"/>
  <c r="L445" i="184"/>
  <c r="L514" i="184" s="1"/>
  <c r="O58" i="196" s="1"/>
  <c r="O469" i="184"/>
  <c r="O485" i="184" s="1"/>
  <c r="AA53" i="196" s="1"/>
  <c r="N386" i="184"/>
  <c r="N506" i="184" s="1"/>
  <c r="S57" i="196" s="1"/>
  <c r="L470" i="184"/>
  <c r="L491" i="184" s="1"/>
  <c r="P54" i="196" s="1"/>
  <c r="J681" i="184"/>
  <c r="K249" i="184"/>
  <c r="K57" i="186" s="1"/>
  <c r="M354" i="184"/>
  <c r="M487" i="184" s="1"/>
  <c r="Q54" i="196" s="1"/>
  <c r="P474" i="184"/>
  <c r="P515" i="184" s="1"/>
  <c r="AF58" i="196" s="1"/>
  <c r="P444" i="184"/>
  <c r="P508" i="184" s="1"/>
  <c r="AE57" i="196" s="1"/>
  <c r="M685" i="184"/>
  <c r="P411" i="184"/>
  <c r="P483" i="184" s="1"/>
  <c r="AD53" i="196" s="1"/>
  <c r="P413" i="184"/>
  <c r="P495" i="184" s="1"/>
  <c r="AD55" i="196" s="1"/>
  <c r="J682" i="184"/>
  <c r="N469" i="184"/>
  <c r="N485" i="184" s="1"/>
  <c r="V53" i="196" s="1"/>
  <c r="O475" i="184"/>
  <c r="O521" i="184" s="1"/>
  <c r="AA59" i="196" s="1"/>
  <c r="N260" i="184"/>
  <c r="N33" i="185" s="1"/>
  <c r="O357" i="184"/>
  <c r="O505" i="184" s="1"/>
  <c r="W57" i="196" s="1"/>
  <c r="R354" i="184"/>
  <c r="R487" i="184" s="1"/>
  <c r="AH54" i="196" s="1"/>
  <c r="L359" i="184"/>
  <c r="L517" i="184" s="1"/>
  <c r="L59" i="196" s="1"/>
  <c r="P412" i="184"/>
  <c r="P489" i="184" s="1"/>
  <c r="AD54" i="196" s="1"/>
  <c r="S238" i="184"/>
  <c r="S56" i="186" s="1"/>
  <c r="N471" i="184"/>
  <c r="N497" i="184" s="1"/>
  <c r="V55" i="196" s="1"/>
  <c r="R353" i="184"/>
  <c r="R481" i="184" s="1"/>
  <c r="AH53" i="196" s="1"/>
  <c r="N308" i="184"/>
  <c r="N249" i="184"/>
  <c r="N57" i="186" s="1"/>
  <c r="O384" i="184"/>
  <c r="O494" i="184" s="1"/>
  <c r="X55" i="196" s="1"/>
  <c r="AL165" i="196"/>
  <c r="M358" i="184"/>
  <c r="M511" i="184" s="1"/>
  <c r="Q58" i="196" s="1"/>
  <c r="AM165" i="196"/>
  <c r="W81" i="197"/>
  <c r="Z81" i="197"/>
  <c r="AA81" i="197"/>
  <c r="Y81" i="197"/>
  <c r="X81" i="197"/>
  <c r="Q270" i="184"/>
  <c r="Q274" i="184" s="1"/>
  <c r="Q22" i="195"/>
  <c r="U81" i="197"/>
  <c r="V81" i="197"/>
  <c r="R81" i="197"/>
  <c r="T81" i="197"/>
  <c r="S81" i="197"/>
  <c r="M85" i="197"/>
  <c r="N85" i="197"/>
  <c r="O85" i="197"/>
  <c r="P85" i="197"/>
  <c r="L85" i="197"/>
  <c r="N415" i="184"/>
  <c r="N507" i="184" s="1"/>
  <c r="T57" i="196" s="1"/>
  <c r="M22" i="195"/>
  <c r="M270" i="184"/>
  <c r="M274" i="184" s="1"/>
  <c r="AC89" i="197"/>
  <c r="AF89" i="197"/>
  <c r="AD89" i="197"/>
  <c r="AE89" i="197"/>
  <c r="AB89" i="197"/>
  <c r="Q249" i="184"/>
  <c r="X20" i="195"/>
  <c r="X268" i="184"/>
  <c r="O443" i="184"/>
  <c r="O502" i="184" s="1"/>
  <c r="Z56" i="196" s="1"/>
  <c r="Z154" i="196" s="1"/>
  <c r="M88" i="197"/>
  <c r="L88" i="197"/>
  <c r="N88" i="197"/>
  <c r="P88" i="197"/>
  <c r="O88" i="197"/>
  <c r="W33" i="185"/>
  <c r="W264" i="184"/>
  <c r="W17" i="187" s="1"/>
  <c r="W58" i="186"/>
  <c r="P475" i="184"/>
  <c r="P521" i="184" s="1"/>
  <c r="AF59" i="196" s="1"/>
  <c r="O415" i="184"/>
  <c r="O507" i="184" s="1"/>
  <c r="Y57" i="196" s="1"/>
  <c r="P22" i="195"/>
  <c r="P270" i="184"/>
  <c r="P274" i="184" s="1"/>
  <c r="R270" i="184"/>
  <c r="R274" i="184" s="1"/>
  <c r="R22" i="195"/>
  <c r="M81" i="197"/>
  <c r="L81" i="197"/>
  <c r="N81" i="197"/>
  <c r="O81" i="197"/>
  <c r="P81" i="197"/>
  <c r="AD76" i="197"/>
  <c r="AC76" i="197"/>
  <c r="AF76" i="197"/>
  <c r="AE76" i="197"/>
  <c r="AB76" i="197"/>
  <c r="J388" i="184"/>
  <c r="J518" i="184" s="1"/>
  <c r="J59" i="196" s="1"/>
  <c r="N442" i="184"/>
  <c r="N496" i="184" s="1"/>
  <c r="U55" i="196" s="1"/>
  <c r="U268" i="184"/>
  <c r="U275" i="184" s="1"/>
  <c r="U20" i="195"/>
  <c r="U39" i="195" s="1"/>
  <c r="X249" i="184"/>
  <c r="AK142" i="198"/>
  <c r="AK118" i="198"/>
  <c r="AK122" i="198" s="1"/>
  <c r="Z87" i="197"/>
  <c r="Y87" i="197"/>
  <c r="X87" i="197"/>
  <c r="AA87" i="197"/>
  <c r="W87" i="197"/>
  <c r="K356" i="184"/>
  <c r="K499" i="184" s="1"/>
  <c r="K56" i="196" s="1"/>
  <c r="Y84" i="197"/>
  <c r="AA84" i="197"/>
  <c r="X84" i="197"/>
  <c r="W84" i="197"/>
  <c r="Z84" i="197"/>
  <c r="U86" i="197"/>
  <c r="S86" i="197"/>
  <c r="T86" i="197"/>
  <c r="V86" i="197"/>
  <c r="R86" i="197"/>
  <c r="R20" i="195"/>
  <c r="R268" i="184"/>
  <c r="K20" i="195"/>
  <c r="K268" i="184"/>
  <c r="U57" i="186"/>
  <c r="U32" i="185"/>
  <c r="S22" i="195"/>
  <c r="S270" i="184"/>
  <c r="S274" i="184" s="1"/>
  <c r="N440" i="184"/>
  <c r="N484" i="184" s="1"/>
  <c r="U53" i="196" s="1"/>
  <c r="O473" i="184"/>
  <c r="O509" i="184" s="1"/>
  <c r="AA57" i="196" s="1"/>
  <c r="V20" i="195"/>
  <c r="V268" i="184"/>
  <c r="O86" i="197"/>
  <c r="P86" i="197"/>
  <c r="M86" i="197"/>
  <c r="L86" i="197"/>
  <c r="N86" i="197"/>
  <c r="AC79" i="197"/>
  <c r="AF79" i="197"/>
  <c r="AB79" i="197"/>
  <c r="AE79" i="197"/>
  <c r="AD79" i="197"/>
  <c r="AC78" i="197"/>
  <c r="AF78" i="197"/>
  <c r="AB78" i="197"/>
  <c r="AD78" i="197"/>
  <c r="AE78" i="197"/>
  <c r="Y90" i="197"/>
  <c r="Z90" i="197"/>
  <c r="AA90" i="197"/>
  <c r="W90" i="197"/>
  <c r="X90" i="197"/>
  <c r="J382" i="184"/>
  <c r="J482" i="184" s="1"/>
  <c r="J53" i="196" s="1"/>
  <c r="AN165" i="196"/>
  <c r="H212" i="178"/>
  <c r="H216" i="178" s="1"/>
  <c r="Y20" i="195"/>
  <c r="Y39" i="195" s="1"/>
  <c r="Y268" i="184"/>
  <c r="Y275" i="184" s="1"/>
  <c r="P383" i="184"/>
  <c r="P488" i="184" s="1"/>
  <c r="AC54" i="196" s="1"/>
  <c r="N384" i="184"/>
  <c r="N494" i="184" s="1"/>
  <c r="S55" i="196" s="1"/>
  <c r="R356" i="184"/>
  <c r="R499" i="184" s="1"/>
  <c r="AH56" i="196" s="1"/>
  <c r="O442" i="184"/>
  <c r="O496" i="184" s="1"/>
  <c r="Z55" i="196" s="1"/>
  <c r="O22" i="195"/>
  <c r="O270" i="184"/>
  <c r="O274" i="184" s="1"/>
  <c r="K21" i="195"/>
  <c r="K269" i="184"/>
  <c r="K273" i="184" s="1"/>
  <c r="M87" i="197"/>
  <c r="L87" i="197"/>
  <c r="N87" i="197"/>
  <c r="O87" i="197"/>
  <c r="P87" i="197"/>
  <c r="V75" i="197"/>
  <c r="R75" i="197"/>
  <c r="S75" i="197"/>
  <c r="T75" i="197"/>
  <c r="U75" i="197"/>
  <c r="AO122" i="198"/>
  <c r="AO142" i="198" s="1"/>
  <c r="N297" i="184"/>
  <c r="N189" i="186" s="1"/>
  <c r="K260" i="184"/>
  <c r="N417" i="184"/>
  <c r="N519" i="184" s="1"/>
  <c r="T59" i="196" s="1"/>
  <c r="N473" i="184"/>
  <c r="N509" i="184" s="1"/>
  <c r="V57" i="196" s="1"/>
  <c r="AC87" i="197"/>
  <c r="AE87" i="197"/>
  <c r="AB87" i="197"/>
  <c r="AD87" i="197"/>
  <c r="AF87" i="197"/>
  <c r="X308" i="184"/>
  <c r="N382" i="184"/>
  <c r="N482" i="184" s="1"/>
  <c r="S53" i="196" s="1"/>
  <c r="P20" i="195"/>
  <c r="P268" i="184"/>
  <c r="Q388" i="184"/>
  <c r="Q518" i="184" s="1"/>
  <c r="AG59" i="196" s="1"/>
  <c r="U89" i="197"/>
  <c r="R89" i="197"/>
  <c r="T89" i="197"/>
  <c r="V89" i="197"/>
  <c r="S89" i="197"/>
  <c r="L415" i="184"/>
  <c r="L507" i="184" s="1"/>
  <c r="N57" i="196" s="1"/>
  <c r="AM142" i="198"/>
  <c r="AM118" i="198"/>
  <c r="AM122" i="198" s="1"/>
  <c r="O353" i="184"/>
  <c r="O481" i="184" s="1"/>
  <c r="W53" i="196" s="1"/>
  <c r="AE77" i="197"/>
  <c r="AF77" i="197"/>
  <c r="AC77" i="197"/>
  <c r="AB77" i="197"/>
  <c r="AD77" i="197"/>
  <c r="V308" i="184"/>
  <c r="X260" i="184"/>
  <c r="U77" i="197"/>
  <c r="R77" i="197"/>
  <c r="S77" i="197"/>
  <c r="T77" i="197"/>
  <c r="V77" i="197"/>
  <c r="M80" i="197"/>
  <c r="P80" i="197"/>
  <c r="L80" i="197"/>
  <c r="N80" i="197"/>
  <c r="O80" i="197"/>
  <c r="R21" i="195"/>
  <c r="R269" i="184"/>
  <c r="R273" i="184" s="1"/>
  <c r="L21" i="195"/>
  <c r="L269" i="184"/>
  <c r="L273" i="184" s="1"/>
  <c r="AA77" i="197"/>
  <c r="X77" i="197"/>
  <c r="W77" i="197"/>
  <c r="Z77" i="197"/>
  <c r="Y77" i="197"/>
  <c r="P382" i="184"/>
  <c r="P482" i="184" s="1"/>
  <c r="AC53" i="196" s="1"/>
  <c r="M259" i="186"/>
  <c r="M257" i="186"/>
  <c r="M255" i="186"/>
  <c r="M253" i="186"/>
  <c r="AC81" i="197"/>
  <c r="AD81" i="197"/>
  <c r="AE81" i="197"/>
  <c r="AF81" i="197"/>
  <c r="AB81" i="197"/>
  <c r="O416" i="184"/>
  <c r="O513" i="184" s="1"/>
  <c r="Y58" i="196" s="1"/>
  <c r="R76" i="197"/>
  <c r="S76" i="197"/>
  <c r="U76" i="197"/>
  <c r="T76" i="197"/>
  <c r="V76" i="197"/>
  <c r="K270" i="184"/>
  <c r="K274" i="184" s="1"/>
  <c r="K22" i="195"/>
  <c r="J21" i="195"/>
  <c r="J269" i="184"/>
  <c r="J273" i="184" s="1"/>
  <c r="R260" i="184"/>
  <c r="T260" i="184"/>
  <c r="Y89" i="197"/>
  <c r="AA89" i="197"/>
  <c r="X89" i="197"/>
  <c r="W89" i="197"/>
  <c r="Z89" i="197"/>
  <c r="T249" i="184"/>
  <c r="N286" i="184"/>
  <c r="N188" i="186" s="1"/>
  <c r="AA85" i="197"/>
  <c r="Y85" i="197"/>
  <c r="X85" i="197"/>
  <c r="Z85" i="197"/>
  <c r="W85" i="197"/>
  <c r="Q384" i="184"/>
  <c r="Q494" i="184" s="1"/>
  <c r="AG55" i="196" s="1"/>
  <c r="M75" i="197"/>
  <c r="L75" i="197"/>
  <c r="N75" i="197"/>
  <c r="P75" i="197"/>
  <c r="O75" i="197"/>
  <c r="M238" i="184"/>
  <c r="O249" i="184"/>
  <c r="N21" i="195"/>
  <c r="N269" i="184"/>
  <c r="N273" i="184" s="1"/>
  <c r="Y56" i="186"/>
  <c r="Y31" i="185"/>
  <c r="L413" i="184"/>
  <c r="L495" i="184" s="1"/>
  <c r="N55" i="196" s="1"/>
  <c r="V22" i="195"/>
  <c r="V270" i="184"/>
  <c r="V274" i="184" s="1"/>
  <c r="N126" i="182"/>
  <c r="M77" i="197"/>
  <c r="P77" i="197"/>
  <c r="L77" i="197"/>
  <c r="N77" i="197"/>
  <c r="O77" i="197"/>
  <c r="Q21" i="195"/>
  <c r="Q269" i="184"/>
  <c r="Q273" i="184" s="1"/>
  <c r="N359" i="184"/>
  <c r="N517" i="184" s="1"/>
  <c r="R59" i="196" s="1"/>
  <c r="M76" i="197"/>
  <c r="O76" i="197"/>
  <c r="P76" i="197"/>
  <c r="L76" i="197"/>
  <c r="N76" i="197"/>
  <c r="J270" i="184"/>
  <c r="J274" i="184" s="1"/>
  <c r="J22" i="195"/>
  <c r="L191" i="186"/>
  <c r="L192" i="186" s="1"/>
  <c r="Y76" i="197"/>
  <c r="AA76" i="197"/>
  <c r="Z76" i="197"/>
  <c r="X76" i="197"/>
  <c r="W76" i="197"/>
  <c r="J20" i="195"/>
  <c r="J268" i="184"/>
  <c r="AK165" i="196"/>
  <c r="AA88" i="197"/>
  <c r="Z88" i="197"/>
  <c r="X88" i="197"/>
  <c r="Y88" i="197"/>
  <c r="W88" i="197"/>
  <c r="W80" i="197"/>
  <c r="Z80" i="197"/>
  <c r="AA80" i="197"/>
  <c r="Y80" i="197"/>
  <c r="X80" i="197"/>
  <c r="P358" i="184"/>
  <c r="P511" i="184" s="1"/>
  <c r="AB58" i="196" s="1"/>
  <c r="L20" i="195"/>
  <c r="L268" i="184"/>
  <c r="P414" i="184"/>
  <c r="P501" i="184" s="1"/>
  <c r="AD56" i="196" s="1"/>
  <c r="U80" i="197"/>
  <c r="S80" i="197"/>
  <c r="T80" i="197"/>
  <c r="V80" i="197"/>
  <c r="R80" i="197"/>
  <c r="AC84" i="197"/>
  <c r="AD84" i="197"/>
  <c r="AB84" i="197"/>
  <c r="AF84" i="197"/>
  <c r="AE84" i="197"/>
  <c r="X75" i="197"/>
  <c r="AA75" i="197"/>
  <c r="W75" i="197"/>
  <c r="Y75" i="197"/>
  <c r="Z75" i="197"/>
  <c r="P442" i="184"/>
  <c r="P496" i="184" s="1"/>
  <c r="AE55" i="196" s="1"/>
  <c r="U78" i="197"/>
  <c r="T78" i="197"/>
  <c r="V78" i="197"/>
  <c r="R78" i="197"/>
  <c r="S78" i="197"/>
  <c r="L417" i="184"/>
  <c r="L519" i="184" s="1"/>
  <c r="N59" i="196" s="1"/>
  <c r="W57" i="186"/>
  <c r="W32" i="185"/>
  <c r="Q20" i="195"/>
  <c r="Q268" i="184"/>
  <c r="L416" i="184"/>
  <c r="L513" i="184" s="1"/>
  <c r="N58" i="196" s="1"/>
  <c r="P297" i="184"/>
  <c r="P189" i="186" s="1"/>
  <c r="L260" i="184"/>
  <c r="U85" i="197"/>
  <c r="T85" i="197"/>
  <c r="S85" i="197"/>
  <c r="V85" i="197"/>
  <c r="R85" i="197"/>
  <c r="S20" i="195"/>
  <c r="S268" i="184"/>
  <c r="T21" i="195"/>
  <c r="T269" i="184"/>
  <c r="T273" i="184" s="1"/>
  <c r="N388" i="184"/>
  <c r="N518" i="184" s="1"/>
  <c r="S59" i="196" s="1"/>
  <c r="M20" i="195"/>
  <c r="M268" i="184"/>
  <c r="N475" i="184"/>
  <c r="N521" i="184" s="1"/>
  <c r="V59" i="196" s="1"/>
  <c r="L270" i="184"/>
  <c r="L274" i="184" s="1"/>
  <c r="L22" i="195"/>
  <c r="J249" i="184"/>
  <c r="L89" i="197"/>
  <c r="N89" i="197"/>
  <c r="M89" i="197"/>
  <c r="P89" i="197"/>
  <c r="O89" i="197"/>
  <c r="K191" i="186"/>
  <c r="K192" i="186" s="1"/>
  <c r="AC86" i="197"/>
  <c r="AB86" i="197"/>
  <c r="AF86" i="197"/>
  <c r="AD86" i="197"/>
  <c r="AE86" i="197"/>
  <c r="Z78" i="197"/>
  <c r="Y78" i="197"/>
  <c r="AA78" i="197"/>
  <c r="X78" i="197"/>
  <c r="W78" i="197"/>
  <c r="T238" i="184"/>
  <c r="U56" i="186"/>
  <c r="U31" i="185"/>
  <c r="U84" i="197"/>
  <c r="T84" i="197"/>
  <c r="V84" i="197"/>
  <c r="R84" i="197"/>
  <c r="S84" i="197"/>
  <c r="N268" i="184"/>
  <c r="N20" i="195"/>
  <c r="U87" i="197"/>
  <c r="T87" i="197"/>
  <c r="V87" i="197"/>
  <c r="S87" i="197"/>
  <c r="R87" i="197"/>
  <c r="T22" i="195"/>
  <c r="T270" i="184"/>
  <c r="T274" i="184" s="1"/>
  <c r="O297" i="184"/>
  <c r="O189" i="186" s="1"/>
  <c r="O191" i="186" s="1"/>
  <c r="O192" i="186" s="1"/>
  <c r="P387" i="184"/>
  <c r="P512" i="184" s="1"/>
  <c r="AC58" i="196" s="1"/>
  <c r="P385" i="184"/>
  <c r="P500" i="184" s="1"/>
  <c r="AC56" i="196" s="1"/>
  <c r="AA86" i="197"/>
  <c r="Y86" i="197"/>
  <c r="W86" i="197"/>
  <c r="X86" i="197"/>
  <c r="Z86" i="197"/>
  <c r="J384" i="184"/>
  <c r="J494" i="184" s="1"/>
  <c r="J55" i="196" s="1"/>
  <c r="N445" i="184"/>
  <c r="N514" i="184" s="1"/>
  <c r="U58" i="196" s="1"/>
  <c r="W20" i="195"/>
  <c r="W39" i="195" s="1"/>
  <c r="W268" i="184"/>
  <c r="W275" i="184" s="1"/>
  <c r="M79" i="197"/>
  <c r="P79" i="197"/>
  <c r="N79" i="197"/>
  <c r="L79" i="197"/>
  <c r="O79" i="197"/>
  <c r="O411" i="184"/>
  <c r="O483" i="184" s="1"/>
  <c r="Y53" i="196" s="1"/>
  <c r="P384" i="184"/>
  <c r="P494" i="184" s="1"/>
  <c r="AC55" i="196" s="1"/>
  <c r="M249" i="184"/>
  <c r="N443" i="184"/>
  <c r="N502" i="184" s="1"/>
  <c r="U56" i="196" s="1"/>
  <c r="L446" i="184"/>
  <c r="L520" i="184" s="1"/>
  <c r="O59" i="196" s="1"/>
  <c r="M21" i="195"/>
  <c r="M269" i="184"/>
  <c r="M273" i="184" s="1"/>
  <c r="P470" i="184"/>
  <c r="P491" i="184" s="1"/>
  <c r="AF54" i="196" s="1"/>
  <c r="W31" i="185"/>
  <c r="W56" i="186"/>
  <c r="M260" i="184"/>
  <c r="T268" i="184"/>
  <c r="T20" i="195"/>
  <c r="N22" i="195"/>
  <c r="N270" i="184"/>
  <c r="N274" i="184" s="1"/>
  <c r="AC75" i="197"/>
  <c r="AF75" i="197"/>
  <c r="AD75" i="197"/>
  <c r="AB75" i="197"/>
  <c r="AE75" i="197"/>
  <c r="Y33" i="185"/>
  <c r="Y264" i="184"/>
  <c r="Y17" i="187" s="1"/>
  <c r="Y58" i="186"/>
  <c r="L84" i="197"/>
  <c r="M84" i="197"/>
  <c r="N84" i="197"/>
  <c r="O84" i="197"/>
  <c r="P84" i="197"/>
  <c r="AA79" i="197"/>
  <c r="W79" i="197"/>
  <c r="Z79" i="197"/>
  <c r="Y79" i="197"/>
  <c r="X79" i="197"/>
  <c r="AC80" i="197"/>
  <c r="AE80" i="197"/>
  <c r="AB80" i="197"/>
  <c r="AF80" i="197"/>
  <c r="AD80" i="197"/>
  <c r="Y57" i="186"/>
  <c r="Y32" i="185"/>
  <c r="U88" i="197"/>
  <c r="R88" i="197"/>
  <c r="T88" i="197"/>
  <c r="S88" i="197"/>
  <c r="V88" i="197"/>
  <c r="AC85" i="197"/>
  <c r="AB85" i="197"/>
  <c r="AF85" i="197"/>
  <c r="AD85" i="197"/>
  <c r="AE85" i="197"/>
  <c r="U90" i="197"/>
  <c r="S90" i="197"/>
  <c r="T90" i="197"/>
  <c r="R90" i="197"/>
  <c r="V90" i="197"/>
  <c r="R79" i="197"/>
  <c r="U79" i="197"/>
  <c r="S79" i="197"/>
  <c r="V79" i="197"/>
  <c r="T79" i="197"/>
  <c r="M78" i="197"/>
  <c r="O78" i="197"/>
  <c r="P78" i="197"/>
  <c r="L78" i="197"/>
  <c r="N78" i="197"/>
  <c r="U58" i="186"/>
  <c r="U33" i="185"/>
  <c r="U264" i="184"/>
  <c r="U17" i="187" s="1"/>
  <c r="O90" i="197"/>
  <c r="P90" i="197"/>
  <c r="L90" i="197"/>
  <c r="N90" i="197"/>
  <c r="M90" i="197"/>
  <c r="P445" i="184"/>
  <c r="P514" i="184" s="1"/>
  <c r="AE58" i="196" s="1"/>
  <c r="Q89" i="185"/>
  <c r="Q83" i="185"/>
  <c r="Q91" i="185" s="1"/>
  <c r="Q267" i="185" s="1"/>
  <c r="Q78" i="189" s="1"/>
  <c r="X22" i="195"/>
  <c r="X270" i="184"/>
  <c r="X274" i="184" s="1"/>
  <c r="P472" i="184"/>
  <c r="P503" i="184" s="1"/>
  <c r="AF56" i="196" s="1"/>
  <c r="K685" i="184"/>
  <c r="L473" i="184"/>
  <c r="L509" i="184" s="1"/>
  <c r="P57" i="196" s="1"/>
  <c r="X238" i="184"/>
  <c r="O382" i="184"/>
  <c r="O482" i="184" s="1"/>
  <c r="X53" i="196" s="1"/>
  <c r="O20" i="195"/>
  <c r="O268" i="184"/>
  <c r="O308" i="184"/>
  <c r="L388" i="184"/>
  <c r="L518" i="184" s="1"/>
  <c r="M59" i="196" s="1"/>
  <c r="AB88" i="197"/>
  <c r="AE88" i="197"/>
  <c r="AC88" i="197"/>
  <c r="AD88" i="197"/>
  <c r="AF88" i="197"/>
  <c r="AC90" i="197"/>
  <c r="AB90" i="197"/>
  <c r="AD90" i="197"/>
  <c r="AF90" i="197"/>
  <c r="AE90" i="197"/>
  <c r="H42" i="192"/>
  <c r="H38" i="192"/>
  <c r="H41" i="192"/>
  <c r="H40" i="192"/>
  <c r="H39" i="192"/>
  <c r="H43" i="192"/>
  <c r="H46" i="192"/>
  <c r="H44" i="192"/>
  <c r="H37" i="192"/>
  <c r="H45" i="192"/>
  <c r="J140" i="182"/>
  <c r="M140" i="182"/>
  <c r="L140" i="182"/>
  <c r="J137" i="182"/>
  <c r="L137" i="182"/>
  <c r="K137" i="182"/>
  <c r="M137" i="182"/>
  <c r="M128" i="182"/>
  <c r="J128" i="182"/>
  <c r="L128" i="182"/>
  <c r="K128" i="182"/>
  <c r="N127" i="182"/>
  <c r="N134" i="182"/>
  <c r="H44" i="189"/>
  <c r="H51" i="189"/>
  <c r="H43" i="189"/>
  <c r="H50" i="189"/>
  <c r="H46" i="189"/>
  <c r="H49" i="189"/>
  <c r="H45" i="189"/>
  <c r="H48" i="189"/>
  <c r="H47" i="189"/>
  <c r="H52" i="189"/>
  <c r="L138" i="182"/>
  <c r="K138" i="182"/>
  <c r="M138" i="182"/>
  <c r="M136" i="182"/>
  <c r="J136" i="182"/>
  <c r="L136" i="182"/>
  <c r="K136" i="182"/>
  <c r="M126" i="182"/>
  <c r="O126" i="182"/>
  <c r="O137" i="182"/>
  <c r="N137" i="182"/>
  <c r="N139" i="182"/>
  <c r="M40" i="188"/>
  <c r="M48" i="188" s="1"/>
  <c r="M55" i="188" s="1"/>
  <c r="M56" i="188" s="1"/>
  <c r="M114" i="188" s="1"/>
  <c r="K40" i="188"/>
  <c r="K48" i="188" s="1"/>
  <c r="S40" i="188"/>
  <c r="S48" i="188" s="1"/>
  <c r="P40" i="188"/>
  <c r="P48" i="188" s="1"/>
  <c r="O40" i="188"/>
  <c r="O48" i="188" s="1"/>
  <c r="R40" i="188"/>
  <c r="R48" i="188" s="1"/>
  <c r="Q40" i="188"/>
  <c r="Q48" i="188" s="1"/>
  <c r="N40" i="188"/>
  <c r="N48" i="188" s="1"/>
  <c r="L40" i="188"/>
  <c r="L48" i="188" s="1"/>
  <c r="L55" i="188" s="1"/>
  <c r="L56" i="188" s="1"/>
  <c r="L114" i="188" s="1"/>
  <c r="L141" i="182"/>
  <c r="K141" i="182"/>
  <c r="J141" i="182"/>
  <c r="M141" i="182"/>
  <c r="M132" i="182"/>
  <c r="L132" i="182"/>
  <c r="K132" i="182"/>
  <c r="K140" i="182"/>
  <c r="O140" i="182"/>
  <c r="O134" i="182"/>
  <c r="J138" i="182"/>
  <c r="O138" i="182"/>
  <c r="L134" i="182"/>
  <c r="M134" i="182"/>
  <c r="K134" i="182"/>
  <c r="J134" i="182"/>
  <c r="O135" i="182"/>
  <c r="L21" i="182"/>
  <c r="L23" i="182" s="1"/>
  <c r="M20" i="182"/>
  <c r="K135" i="182"/>
  <c r="J135" i="182"/>
  <c r="M135" i="182"/>
  <c r="L135" i="182"/>
  <c r="O129" i="182"/>
  <c r="J132" i="182"/>
  <c r="O132" i="182"/>
  <c r="O141" i="182"/>
  <c r="N128" i="182"/>
  <c r="O128" i="182"/>
  <c r="N136" i="182"/>
  <c r="N132" i="182"/>
  <c r="K127" i="182"/>
  <c r="J127" i="182"/>
  <c r="M127" i="182"/>
  <c r="J131" i="182"/>
  <c r="K131" i="182"/>
  <c r="M131" i="182"/>
  <c r="H41" i="193"/>
  <c r="H40" i="193"/>
  <c r="H39" i="193"/>
  <c r="H44" i="193"/>
  <c r="H38" i="193"/>
  <c r="H43" i="193"/>
  <c r="H36" i="193"/>
  <c r="H37" i="193"/>
  <c r="H35" i="193"/>
  <c r="H42" i="193"/>
  <c r="O139" i="182"/>
  <c r="O133" i="182"/>
  <c r="L131" i="182"/>
  <c r="N131" i="182"/>
  <c r="N133" i="182"/>
  <c r="N140" i="182"/>
  <c r="M130" i="182"/>
  <c r="L130" i="182"/>
  <c r="K130" i="182"/>
  <c r="M139" i="182"/>
  <c r="L139" i="182"/>
  <c r="J139" i="182"/>
  <c r="K139" i="182"/>
  <c r="J133" i="182"/>
  <c r="L133" i="182"/>
  <c r="K133" i="182"/>
  <c r="M133" i="182"/>
  <c r="O136" i="182"/>
  <c r="N141" i="182"/>
  <c r="J129" i="182"/>
  <c r="L129" i="182"/>
  <c r="M129" i="182"/>
  <c r="K129" i="182"/>
  <c r="K126" i="182"/>
  <c r="J126" i="182"/>
  <c r="L126" i="182"/>
  <c r="O131" i="182"/>
  <c r="L127" i="182"/>
  <c r="O127" i="182"/>
  <c r="O130" i="182"/>
  <c r="J130" i="182"/>
  <c r="N130" i="182"/>
  <c r="N129" i="182"/>
  <c r="N138" i="182"/>
  <c r="N135" i="182"/>
  <c r="H122" i="98"/>
  <c r="H123" i="98"/>
  <c r="M254" i="186" l="1"/>
  <c r="M252" i="186"/>
  <c r="K56" i="186"/>
  <c r="M256" i="186"/>
  <c r="M260" i="186"/>
  <c r="J39" i="195"/>
  <c r="V33" i="185"/>
  <c r="P116" i="196"/>
  <c r="P128" i="196" s="1"/>
  <c r="O33" i="185"/>
  <c r="Z165" i="196"/>
  <c r="Z167" i="196" s="1"/>
  <c r="Z175" i="196" s="1"/>
  <c r="N32" i="185"/>
  <c r="V264" i="184"/>
  <c r="V17" i="187" s="1"/>
  <c r="T119" i="196"/>
  <c r="T131" i="196" s="1"/>
  <c r="Y118" i="196"/>
  <c r="Y130" i="196" s="1"/>
  <c r="P117" i="196"/>
  <c r="P129" i="196" s="1"/>
  <c r="P118" i="196"/>
  <c r="P130" i="196" s="1"/>
  <c r="N118" i="196"/>
  <c r="N130" i="196" s="1"/>
  <c r="P115" i="196"/>
  <c r="P127" i="196" s="1"/>
  <c r="Q56" i="186"/>
  <c r="P154" i="196"/>
  <c r="W165" i="196"/>
  <c r="V32" i="185"/>
  <c r="R57" i="186"/>
  <c r="Y165" i="196"/>
  <c r="Y167" i="196" s="1"/>
  <c r="Y175" i="196" s="1"/>
  <c r="S31" i="185"/>
  <c r="L32" i="185"/>
  <c r="Y115" i="196"/>
  <c r="Y127" i="196" s="1"/>
  <c r="O119" i="196"/>
  <c r="O131" i="196" s="1"/>
  <c r="Q33" i="185"/>
  <c r="V57" i="186"/>
  <c r="S33" i="185"/>
  <c r="J31" i="185"/>
  <c r="V56" i="186"/>
  <c r="O39" i="195"/>
  <c r="T39" i="195"/>
  <c r="AA115" i="196"/>
  <c r="AA127" i="196" s="1"/>
  <c r="AB165" i="196"/>
  <c r="M39" i="195"/>
  <c r="AG165" i="196"/>
  <c r="AG167" i="196" s="1"/>
  <c r="AG175" i="196" s="1"/>
  <c r="AA117" i="196"/>
  <c r="AA129" i="196" s="1"/>
  <c r="L39" i="195"/>
  <c r="N39" i="195"/>
  <c r="Y119" i="196"/>
  <c r="Y131" i="196" s="1"/>
  <c r="T116" i="196"/>
  <c r="T128" i="196" s="1"/>
  <c r="S118" i="196"/>
  <c r="S130" i="196" s="1"/>
  <c r="S154" i="196"/>
  <c r="R56" i="186"/>
  <c r="X118" i="196"/>
  <c r="X130" i="196" s="1"/>
  <c r="X115" i="196"/>
  <c r="X127" i="196" s="1"/>
  <c r="J116" i="196"/>
  <c r="J128" i="196" s="1"/>
  <c r="R165" i="196"/>
  <c r="O116" i="196"/>
  <c r="O128" i="196" s="1"/>
  <c r="V116" i="196"/>
  <c r="V128" i="196" s="1"/>
  <c r="V117" i="196"/>
  <c r="V129" i="196" s="1"/>
  <c r="V120" i="196"/>
  <c r="V132" i="196" s="1"/>
  <c r="AA120" i="196"/>
  <c r="AA132" i="196" s="1"/>
  <c r="Q39" i="195"/>
  <c r="S39" i="195"/>
  <c r="R39" i="195"/>
  <c r="P39" i="195"/>
  <c r="X39" i="195"/>
  <c r="V39" i="195"/>
  <c r="K39" i="195"/>
  <c r="S115" i="196"/>
  <c r="S127" i="196" s="1"/>
  <c r="S121" i="196"/>
  <c r="S133" i="196" s="1"/>
  <c r="P119" i="196"/>
  <c r="P131" i="196" s="1"/>
  <c r="X121" i="196"/>
  <c r="X133" i="196" s="1"/>
  <c r="S119" i="196"/>
  <c r="S131" i="196" s="1"/>
  <c r="P31" i="185"/>
  <c r="O118" i="196"/>
  <c r="O130" i="196" s="1"/>
  <c r="V115" i="196"/>
  <c r="V127" i="196" s="1"/>
  <c r="S116" i="196"/>
  <c r="S128" i="196" s="1"/>
  <c r="X117" i="196"/>
  <c r="X129" i="196" s="1"/>
  <c r="J58" i="186"/>
  <c r="S117" i="196"/>
  <c r="S129" i="196" s="1"/>
  <c r="X116" i="196"/>
  <c r="X128" i="196" s="1"/>
  <c r="P32" i="185"/>
  <c r="O115" i="196"/>
  <c r="O127" i="196" s="1"/>
  <c r="O121" i="196"/>
  <c r="O133" i="196" s="1"/>
  <c r="AA116" i="196"/>
  <c r="AA128" i="196" s="1"/>
  <c r="P121" i="196"/>
  <c r="P133" i="196" s="1"/>
  <c r="Y116" i="196"/>
  <c r="Y128" i="196" s="1"/>
  <c r="X119" i="196"/>
  <c r="X131" i="196" s="1"/>
  <c r="P275" i="184"/>
  <c r="P16" i="187" s="1"/>
  <c r="Q264" i="184"/>
  <c r="Q17" i="187" s="1"/>
  <c r="Q29" i="187" s="1"/>
  <c r="W34" i="185"/>
  <c r="W49" i="185" s="1"/>
  <c r="T118" i="196"/>
  <c r="T130" i="196" s="1"/>
  <c r="P33" i="185"/>
  <c r="T115" i="196"/>
  <c r="T127" i="196" s="1"/>
  <c r="P264" i="184"/>
  <c r="P17" i="187" s="1"/>
  <c r="T154" i="196"/>
  <c r="AA165" i="196"/>
  <c r="AA167" i="196" s="1"/>
  <c r="AA175" i="196" s="1"/>
  <c r="N121" i="196"/>
  <c r="N133" i="196" s="1"/>
  <c r="N117" i="196"/>
  <c r="N129" i="196" s="1"/>
  <c r="L165" i="196"/>
  <c r="O117" i="196"/>
  <c r="O129" i="196" s="1"/>
  <c r="N115" i="196"/>
  <c r="N127" i="196" s="1"/>
  <c r="T165" i="196"/>
  <c r="T167" i="196" s="1"/>
  <c r="T175" i="196" s="1"/>
  <c r="O120" i="196"/>
  <c r="O132" i="196" s="1"/>
  <c r="J264" i="184"/>
  <c r="J17" i="187" s="1"/>
  <c r="P191" i="186"/>
  <c r="P192" i="186" s="1"/>
  <c r="X165" i="196"/>
  <c r="X167" i="196" s="1"/>
  <c r="X175" i="196" s="1"/>
  <c r="J120" i="196"/>
  <c r="J132" i="196" s="1"/>
  <c r="J115" i="196"/>
  <c r="J127" i="196" s="1"/>
  <c r="J119" i="196"/>
  <c r="J131" i="196" s="1"/>
  <c r="J117" i="196"/>
  <c r="J129" i="196" s="1"/>
  <c r="J154" i="196"/>
  <c r="J118" i="196"/>
  <c r="J130" i="196" s="1"/>
  <c r="K32" i="185"/>
  <c r="J121" i="196"/>
  <c r="J133" i="196" s="1"/>
  <c r="X275" i="184"/>
  <c r="X18" i="194" s="1"/>
  <c r="L56" i="186"/>
  <c r="N120" i="196"/>
  <c r="N132" i="196" s="1"/>
  <c r="N165" i="196"/>
  <c r="N167" i="196" s="1"/>
  <c r="M165" i="196"/>
  <c r="M167" i="196" s="1"/>
  <c r="AE165" i="196"/>
  <c r="AE167" i="196" s="1"/>
  <c r="AE175" i="196" s="1"/>
  <c r="N31" i="185"/>
  <c r="Q165" i="196"/>
  <c r="M122" i="196"/>
  <c r="M134" i="196" s="1"/>
  <c r="AG115" i="196"/>
  <c r="AG127" i="196" s="1"/>
  <c r="AG117" i="196"/>
  <c r="AG129" i="196" s="1"/>
  <c r="M121" i="196"/>
  <c r="M133" i="196" s="1"/>
  <c r="M119" i="196"/>
  <c r="M131" i="196" s="1"/>
  <c r="K165" i="196"/>
  <c r="J173" i="196" s="1"/>
  <c r="AG122" i="196"/>
  <c r="AG134" i="196" s="1"/>
  <c r="P122" i="196"/>
  <c r="P134" i="196" s="1"/>
  <c r="M118" i="196"/>
  <c r="M130" i="196" s="1"/>
  <c r="AG121" i="196"/>
  <c r="AG133" i="196" s="1"/>
  <c r="AG116" i="196"/>
  <c r="AG128" i="196" s="1"/>
  <c r="M154" i="196"/>
  <c r="M120" i="196"/>
  <c r="M132" i="196" s="1"/>
  <c r="N116" i="196"/>
  <c r="N128" i="196" s="1"/>
  <c r="AG118" i="196"/>
  <c r="AG130" i="196" s="1"/>
  <c r="N122" i="196"/>
  <c r="N134" i="196" s="1"/>
  <c r="N119" i="196"/>
  <c r="N131" i="196" s="1"/>
  <c r="P165" i="196"/>
  <c r="P167" i="196" s="1"/>
  <c r="M115" i="196"/>
  <c r="M127" i="196" s="1"/>
  <c r="P59" i="186"/>
  <c r="AG154" i="196"/>
  <c r="O122" i="196"/>
  <c r="O134" i="196" s="1"/>
  <c r="M116" i="196"/>
  <c r="M128" i="196" s="1"/>
  <c r="Z121" i="196"/>
  <c r="Z133" i="196" s="1"/>
  <c r="AG119" i="196"/>
  <c r="AG131" i="196" s="1"/>
  <c r="M117" i="196"/>
  <c r="M129" i="196" s="1"/>
  <c r="S165" i="196"/>
  <c r="S167" i="196" s="1"/>
  <c r="S175" i="196" s="1"/>
  <c r="O165" i="196"/>
  <c r="O167" i="196" s="1"/>
  <c r="AH165" i="196"/>
  <c r="J685" i="184"/>
  <c r="H687" i="184" s="1"/>
  <c r="S275" i="184"/>
  <c r="S16" i="187" s="1"/>
  <c r="Y120" i="196"/>
  <c r="Y132" i="196" s="1"/>
  <c r="AD165" i="196"/>
  <c r="AD167" i="196" s="1"/>
  <c r="AD175" i="196" s="1"/>
  <c r="U165" i="196"/>
  <c r="U167" i="196" s="1"/>
  <c r="U175" i="196" s="1"/>
  <c r="AE119" i="196"/>
  <c r="AE131" i="196" s="1"/>
  <c r="S264" i="184"/>
  <c r="S17" i="187" s="1"/>
  <c r="O31" i="185"/>
  <c r="U120" i="196"/>
  <c r="U132" i="196" s="1"/>
  <c r="K275" i="184"/>
  <c r="K16" i="187" s="1"/>
  <c r="AE115" i="196"/>
  <c r="AE127" i="196" s="1"/>
  <c r="T117" i="196"/>
  <c r="T129" i="196" s="1"/>
  <c r="V165" i="196"/>
  <c r="V167" i="196" s="1"/>
  <c r="V175" i="196" s="1"/>
  <c r="AF165" i="196"/>
  <c r="AF167" i="196" s="1"/>
  <c r="AF175" i="196" s="1"/>
  <c r="Y34" i="185"/>
  <c r="Y48" i="185" s="1"/>
  <c r="AE116" i="196"/>
  <c r="AE128" i="196" s="1"/>
  <c r="O275" i="184"/>
  <c r="O18" i="194" s="1"/>
  <c r="T120" i="196"/>
  <c r="T132" i="196" s="1"/>
  <c r="N264" i="184"/>
  <c r="N17" i="187" s="1"/>
  <c r="U34" i="185"/>
  <c r="U48" i="185" s="1"/>
  <c r="U59" i="186"/>
  <c r="S57" i="186"/>
  <c r="S59" i="186" s="1"/>
  <c r="Z120" i="196"/>
  <c r="Z132" i="196" s="1"/>
  <c r="Z117" i="196"/>
  <c r="Z129" i="196" s="1"/>
  <c r="N58" i="186"/>
  <c r="N59" i="186" s="1"/>
  <c r="AC165" i="196"/>
  <c r="AC167" i="196" s="1"/>
  <c r="AC175" i="196" s="1"/>
  <c r="S122" i="196"/>
  <c r="S134" i="196" s="1"/>
  <c r="O264" i="184"/>
  <c r="O17" i="187" s="1"/>
  <c r="A4" i="178"/>
  <c r="J39" i="55"/>
  <c r="H131" i="182"/>
  <c r="R150" i="182" s="1"/>
  <c r="J57" i="186"/>
  <c r="J32" i="185"/>
  <c r="J34" i="185" s="1"/>
  <c r="Q55" i="195"/>
  <c r="Q65" i="195" s="1"/>
  <c r="Q38" i="195"/>
  <c r="Q40" i="195"/>
  <c r="X122" i="196"/>
  <c r="X134" i="196" s="1"/>
  <c r="V122" i="196"/>
  <c r="V134" i="196" s="1"/>
  <c r="Y59" i="186"/>
  <c r="J165" i="196"/>
  <c r="J167" i="196" s="1"/>
  <c r="K55" i="195"/>
  <c r="K65" i="195" s="1"/>
  <c r="K40" i="195"/>
  <c r="K38" i="195"/>
  <c r="R275" i="184"/>
  <c r="X57" i="186"/>
  <c r="X32" i="185"/>
  <c r="Q275" i="184"/>
  <c r="Y117" i="196"/>
  <c r="Y129" i="196" s="1"/>
  <c r="T32" i="185"/>
  <c r="T57" i="186"/>
  <c r="T55" i="195"/>
  <c r="T65" i="195" s="1"/>
  <c r="T38" i="195"/>
  <c r="T40" i="195"/>
  <c r="AE121" i="196"/>
  <c r="AE133" i="196" s="1"/>
  <c r="AD121" i="196"/>
  <c r="AD133" i="196" s="1"/>
  <c r="AE117" i="196"/>
  <c r="AE129" i="196" s="1"/>
  <c r="AF121" i="196"/>
  <c r="AF133" i="196" s="1"/>
  <c r="AD115" i="196"/>
  <c r="AD127" i="196" s="1"/>
  <c r="AD118" i="196"/>
  <c r="AD130" i="196" s="1"/>
  <c r="AD117" i="196"/>
  <c r="AD129" i="196" s="1"/>
  <c r="AD154" i="196"/>
  <c r="J275" i="184"/>
  <c r="R55" i="195"/>
  <c r="R65" i="195" s="1"/>
  <c r="R40" i="195"/>
  <c r="R38" i="195"/>
  <c r="U55" i="195"/>
  <c r="U65" i="195" s="1"/>
  <c r="U38" i="195"/>
  <c r="U40" i="195"/>
  <c r="O38" i="195"/>
  <c r="O40" i="195"/>
  <c r="H139" i="182"/>
  <c r="M177" i="182" s="1"/>
  <c r="N275" i="184"/>
  <c r="K33" i="185"/>
  <c r="K264" i="184"/>
  <c r="K17" i="187" s="1"/>
  <c r="K58" i="186"/>
  <c r="AF117" i="196"/>
  <c r="AF129" i="196" s="1"/>
  <c r="AF120" i="196"/>
  <c r="AF132" i="196" s="1"/>
  <c r="AF154" i="196"/>
  <c r="AF115" i="196"/>
  <c r="AF127" i="196" s="1"/>
  <c r="AF116" i="196"/>
  <c r="AF128" i="196" s="1"/>
  <c r="T275" i="184"/>
  <c r="Z115" i="196"/>
  <c r="Z127" i="196" s="1"/>
  <c r="AA118" i="196"/>
  <c r="AA130" i="196" s="1"/>
  <c r="Z116" i="196"/>
  <c r="Z128" i="196" s="1"/>
  <c r="Z119" i="196"/>
  <c r="Z131" i="196" s="1"/>
  <c r="U116" i="196"/>
  <c r="U128" i="196" s="1"/>
  <c r="U154" i="196"/>
  <c r="U119" i="196"/>
  <c r="U131" i="196" s="1"/>
  <c r="U118" i="196"/>
  <c r="U130" i="196" s="1"/>
  <c r="U115" i="196"/>
  <c r="U127" i="196" s="1"/>
  <c r="V118" i="196"/>
  <c r="V130" i="196" s="1"/>
  <c r="AA119" i="196"/>
  <c r="AA131" i="196" s="1"/>
  <c r="Z118" i="196"/>
  <c r="Z130" i="196" s="1"/>
  <c r="V119" i="196"/>
  <c r="V131" i="196" s="1"/>
  <c r="K260" i="186"/>
  <c r="K253" i="186"/>
  <c r="K252" i="186"/>
  <c r="K258" i="186"/>
  <c r="K259" i="186"/>
  <c r="K255" i="186"/>
  <c r="K254" i="186"/>
  <c r="K257" i="186"/>
  <c r="K256" i="186"/>
  <c r="M275" i="184"/>
  <c r="L275" i="184"/>
  <c r="Y122" i="196"/>
  <c r="Y134" i="196" s="1"/>
  <c r="U122" i="196"/>
  <c r="U134" i="196" s="1"/>
  <c r="J40" i="195"/>
  <c r="J38" i="195"/>
  <c r="X33" i="185"/>
  <c r="X264" i="184"/>
  <c r="X17" i="187" s="1"/>
  <c r="X58" i="186"/>
  <c r="AF118" i="196"/>
  <c r="AF130" i="196" s="1"/>
  <c r="U18" i="194"/>
  <c r="U16" i="187"/>
  <c r="X55" i="195"/>
  <c r="X65" i="195" s="1"/>
  <c r="X38" i="195"/>
  <c r="X40" i="195"/>
  <c r="U117" i="196"/>
  <c r="U129" i="196" s="1"/>
  <c r="S34" i="185"/>
  <c r="X31" i="185"/>
  <c r="X56" i="186"/>
  <c r="M58" i="186"/>
  <c r="M33" i="185"/>
  <c r="M32" i="185"/>
  <c r="M57" i="186"/>
  <c r="W18" i="194"/>
  <c r="W16" i="187"/>
  <c r="M55" i="195"/>
  <c r="M65" i="195" s="1"/>
  <c r="M38" i="195"/>
  <c r="M40" i="195"/>
  <c r="L38" i="195"/>
  <c r="L40" i="195"/>
  <c r="X120" i="196"/>
  <c r="X132" i="196" s="1"/>
  <c r="AA122" i="196"/>
  <c r="AA134" i="196" s="1"/>
  <c r="O57" i="186"/>
  <c r="O59" i="186" s="1"/>
  <c r="O32" i="185"/>
  <c r="T58" i="186"/>
  <c r="T33" i="185"/>
  <c r="T264" i="184"/>
  <c r="T17" i="187" s="1"/>
  <c r="Y18" i="194"/>
  <c r="Y16" i="187"/>
  <c r="Q57" i="186"/>
  <c r="Q32" i="185"/>
  <c r="AA121" i="196"/>
  <c r="AA133" i="196" s="1"/>
  <c r="T56" i="186"/>
  <c r="T31" i="185"/>
  <c r="W59" i="186"/>
  <c r="W55" i="195"/>
  <c r="W65" i="195" s="1"/>
  <c r="W38" i="195"/>
  <c r="W40" i="195"/>
  <c r="AD120" i="196"/>
  <c r="AD132" i="196" s="1"/>
  <c r="AC118" i="196"/>
  <c r="AC130" i="196" s="1"/>
  <c r="AE122" i="196"/>
  <c r="AE134" i="196" s="1"/>
  <c r="AC121" i="196"/>
  <c r="AC133" i="196" s="1"/>
  <c r="AC117" i="196"/>
  <c r="AC129" i="196" s="1"/>
  <c r="AC154" i="196"/>
  <c r="AC116" i="196"/>
  <c r="AC128" i="196" s="1"/>
  <c r="AF122" i="196"/>
  <c r="AF134" i="196" s="1"/>
  <c r="AD116" i="196"/>
  <c r="AD128" i="196" s="1"/>
  <c r="AD122" i="196"/>
  <c r="AD134" i="196" s="1"/>
  <c r="AC115" i="196"/>
  <c r="AC127" i="196" s="1"/>
  <c r="AE120" i="196"/>
  <c r="AE132" i="196" s="1"/>
  <c r="AD119" i="196"/>
  <c r="AD131" i="196" s="1"/>
  <c r="AC119" i="196"/>
  <c r="AC131" i="196" s="1"/>
  <c r="AC120" i="196"/>
  <c r="AC132" i="196" s="1"/>
  <c r="AC122" i="196"/>
  <c r="AC134" i="196" s="1"/>
  <c r="S55" i="195"/>
  <c r="S65" i="195" s="1"/>
  <c r="S40" i="195"/>
  <c r="S38" i="195"/>
  <c r="Z122" i="196"/>
  <c r="Z134" i="196" s="1"/>
  <c r="T122" i="196"/>
  <c r="T134" i="196" s="1"/>
  <c r="S120" i="196"/>
  <c r="S132" i="196" s="1"/>
  <c r="M264" i="184"/>
  <c r="M17" i="187" s="1"/>
  <c r="M31" i="185"/>
  <c r="M56" i="186"/>
  <c r="N191" i="186"/>
  <c r="N192" i="186" s="1"/>
  <c r="R33" i="185"/>
  <c r="R34" i="185" s="1"/>
  <c r="R58" i="186"/>
  <c r="R264" i="184"/>
  <c r="R17" i="187" s="1"/>
  <c r="P38" i="195"/>
  <c r="P40" i="195"/>
  <c r="Y55" i="195"/>
  <c r="Y65" i="195" s="1"/>
  <c r="Y40" i="195"/>
  <c r="Y38" i="195"/>
  <c r="Y121" i="196"/>
  <c r="Y133" i="196" s="1"/>
  <c r="U121" i="196"/>
  <c r="U133" i="196" s="1"/>
  <c r="V275" i="184"/>
  <c r="AF119" i="196"/>
  <c r="AF131" i="196" s="1"/>
  <c r="V121" i="196"/>
  <c r="V133" i="196" s="1"/>
  <c r="T121" i="196"/>
  <c r="T133" i="196" s="1"/>
  <c r="N38" i="195"/>
  <c r="N40" i="195"/>
  <c r="L58" i="186"/>
  <c r="L264" i="184"/>
  <c r="L17" i="187" s="1"/>
  <c r="L33" i="185"/>
  <c r="V55" i="195"/>
  <c r="V65" i="195" s="1"/>
  <c r="V40" i="195"/>
  <c r="V38" i="195"/>
  <c r="AE118" i="196"/>
  <c r="AE130" i="196" s="1"/>
  <c r="H137" i="182"/>
  <c r="H133" i="182"/>
  <c r="H135" i="182"/>
  <c r="H134" i="182"/>
  <c r="H132" i="182"/>
  <c r="N55" i="188"/>
  <c r="N56" i="188" s="1"/>
  <c r="N114" i="188" s="1"/>
  <c r="N129" i="188"/>
  <c r="H140" i="182"/>
  <c r="S55" i="188"/>
  <c r="S56" i="188" s="1"/>
  <c r="S114" i="188" s="1"/>
  <c r="S129" i="188"/>
  <c r="H130" i="182"/>
  <c r="H126" i="182"/>
  <c r="Q55" i="188"/>
  <c r="Q56" i="188" s="1"/>
  <c r="Q114" i="188" s="1"/>
  <c r="Q129" i="188"/>
  <c r="H136" i="182"/>
  <c r="H128" i="182"/>
  <c r="H127" i="182"/>
  <c r="R55" i="188"/>
  <c r="R56" i="188" s="1"/>
  <c r="R114" i="188" s="1"/>
  <c r="R129" i="188"/>
  <c r="H129" i="182"/>
  <c r="M21" i="182"/>
  <c r="N20" i="182"/>
  <c r="O55" i="188"/>
  <c r="O56" i="188" s="1"/>
  <c r="O114" i="188" s="1"/>
  <c r="O129" i="188"/>
  <c r="H138" i="182"/>
  <c r="H141" i="182"/>
  <c r="P55" i="188"/>
  <c r="P56" i="188" s="1"/>
  <c r="P114" i="188" s="1"/>
  <c r="P129" i="188"/>
  <c r="H125" i="98"/>
  <c r="J37" i="55" s="1"/>
  <c r="A2" i="85"/>
  <c r="A1" i="85"/>
  <c r="A2" i="84"/>
  <c r="A1" i="84"/>
  <c r="K59" i="186" l="1"/>
  <c r="V59" i="186"/>
  <c r="V34" i="185"/>
  <c r="V50" i="185" s="1"/>
  <c r="K158" i="182"/>
  <c r="Q59" i="186"/>
  <c r="N34" i="185"/>
  <c r="N44" i="185" s="1"/>
  <c r="N50" i="185" s="1"/>
  <c r="R59" i="186"/>
  <c r="L59" i="186"/>
  <c r="L34" i="185"/>
  <c r="H693" i="184" a="1"/>
  <c r="H693" i="184" s="1"/>
  <c r="J45" i="55" s="1"/>
  <c r="P18" i="194"/>
  <c r="P34" i="185"/>
  <c r="P42" i="185" s="1"/>
  <c r="P48" i="185" s="1"/>
  <c r="Q34" i="185"/>
  <c r="Q48" i="185" s="1"/>
  <c r="W50" i="185"/>
  <c r="J175" i="196"/>
  <c r="J59" i="186"/>
  <c r="H44" i="195"/>
  <c r="N49" i="195" s="1"/>
  <c r="S18" i="194"/>
  <c r="W48" i="185"/>
  <c r="M150" i="182"/>
  <c r="X16" i="187"/>
  <c r="X27" i="187" s="1"/>
  <c r="X33" i="187" s="1"/>
  <c r="K34" i="185"/>
  <c r="K42" i="185" s="1"/>
  <c r="K48" i="185" s="1"/>
  <c r="J150" i="182"/>
  <c r="K150" i="182"/>
  <c r="S150" i="182"/>
  <c r="M59" i="186"/>
  <c r="N150" i="182"/>
  <c r="O150" i="182"/>
  <c r="O34" i="185"/>
  <c r="O42" i="185" s="1"/>
  <c r="O48" i="185" s="1"/>
  <c r="Y49" i="185"/>
  <c r="Y50" i="185"/>
  <c r="K18" i="194"/>
  <c r="O137" i="196"/>
  <c r="AD138" i="196"/>
  <c r="O16" i="187"/>
  <c r="O27" i="187" s="1"/>
  <c r="O33" i="187" s="1"/>
  <c r="J138" i="196"/>
  <c r="V138" i="196"/>
  <c r="S138" i="196"/>
  <c r="M138" i="196"/>
  <c r="AF142" i="196"/>
  <c r="T137" i="196"/>
  <c r="Q177" i="182"/>
  <c r="P150" i="182"/>
  <c r="AA144" i="196"/>
  <c r="L150" i="182"/>
  <c r="X59" i="186"/>
  <c r="T34" i="185"/>
  <c r="T48" i="185" s="1"/>
  <c r="P44" i="185"/>
  <c r="P50" i="185" s="1"/>
  <c r="Q150" i="182"/>
  <c r="N43" i="185"/>
  <c r="N49" i="185" s="1"/>
  <c r="AE142" i="196"/>
  <c r="M144" i="196"/>
  <c r="S137" i="196"/>
  <c r="P141" i="196"/>
  <c r="AF138" i="196"/>
  <c r="AC140" i="196"/>
  <c r="P139" i="196"/>
  <c r="N142" i="196"/>
  <c r="M34" i="185"/>
  <c r="Z140" i="196"/>
  <c r="O141" i="196"/>
  <c r="R158" i="182"/>
  <c r="R177" i="182"/>
  <c r="J137" i="196"/>
  <c r="N138" i="196"/>
  <c r="P177" i="182"/>
  <c r="O158" i="182"/>
  <c r="P158" i="182"/>
  <c r="AG137" i="196"/>
  <c r="P137" i="196"/>
  <c r="Y143" i="196"/>
  <c r="P138" i="196"/>
  <c r="U49" i="185"/>
  <c r="AD137" i="196"/>
  <c r="L158" i="182"/>
  <c r="N158" i="182"/>
  <c r="J177" i="182"/>
  <c r="X137" i="196"/>
  <c r="V137" i="196"/>
  <c r="U138" i="196"/>
  <c r="V142" i="196"/>
  <c r="S142" i="196"/>
  <c r="M139" i="196"/>
  <c r="U50" i="185"/>
  <c r="AC137" i="196"/>
  <c r="Z142" i="196"/>
  <c r="S158" i="182"/>
  <c r="L177" i="182"/>
  <c r="Y137" i="196"/>
  <c r="P142" i="196"/>
  <c r="V144" i="196"/>
  <c r="AA140" i="196"/>
  <c r="N137" i="196"/>
  <c r="N139" i="196"/>
  <c r="Q158" i="182"/>
  <c r="N177" i="182"/>
  <c r="Y144" i="196"/>
  <c r="AC142" i="196"/>
  <c r="AE139" i="196"/>
  <c r="AD140" i="196"/>
  <c r="K177" i="182"/>
  <c r="X138" i="196"/>
  <c r="M158" i="182"/>
  <c r="O177" i="182"/>
  <c r="AA137" i="196"/>
  <c r="J158" i="182"/>
  <c r="Z137" i="196"/>
  <c r="AA138" i="196"/>
  <c r="S177" i="182"/>
  <c r="AF137" i="196"/>
  <c r="M137" i="196"/>
  <c r="J142" i="196"/>
  <c r="O138" i="196"/>
  <c r="N141" i="196"/>
  <c r="R50" i="185"/>
  <c r="R49" i="185"/>
  <c r="R48" i="185"/>
  <c r="O143" i="196"/>
  <c r="N143" i="196"/>
  <c r="P27" i="187"/>
  <c r="P33" i="187" s="1"/>
  <c r="P28" i="187"/>
  <c r="P34" i="187" s="1"/>
  <c r="W27" i="187"/>
  <c r="W33" i="187" s="1"/>
  <c r="W28" i="187"/>
  <c r="W34" i="187" s="1"/>
  <c r="M141" i="196"/>
  <c r="AE137" i="196"/>
  <c r="AD142" i="196"/>
  <c r="X142" i="196"/>
  <c r="T138" i="196"/>
  <c r="Z138" i="196"/>
  <c r="AG138" i="196"/>
  <c r="O144" i="196"/>
  <c r="AC144" i="196"/>
  <c r="J143" i="196"/>
  <c r="X143" i="196"/>
  <c r="X34" i="185"/>
  <c r="U140" i="196"/>
  <c r="O140" i="196"/>
  <c r="H45" i="195"/>
  <c r="X141" i="196"/>
  <c r="U141" i="196"/>
  <c r="V139" i="196"/>
  <c r="AA139" i="196"/>
  <c r="V18" i="194"/>
  <c r="V16" i="187"/>
  <c r="U28" i="187"/>
  <c r="U34" i="187" s="1"/>
  <c r="U27" i="187"/>
  <c r="U33" i="187" s="1"/>
  <c r="H43" i="195"/>
  <c r="J48" i="195" s="1"/>
  <c r="H51" i="193" a="1"/>
  <c r="H52" i="193" s="1"/>
  <c r="U137" i="196"/>
  <c r="M142" i="196"/>
  <c r="T142" i="196"/>
  <c r="AC138" i="196"/>
  <c r="AE138" i="196"/>
  <c r="X144" i="196"/>
  <c r="S144" i="196"/>
  <c r="U144" i="196"/>
  <c r="AA143" i="196"/>
  <c r="P143" i="196"/>
  <c r="S50" i="185"/>
  <c r="S49" i="185"/>
  <c r="S48" i="185"/>
  <c r="Y140" i="196"/>
  <c r="P140" i="196"/>
  <c r="V141" i="196"/>
  <c r="AE141" i="196"/>
  <c r="AF141" i="196"/>
  <c r="R18" i="194"/>
  <c r="R16" i="187"/>
  <c r="X139" i="196"/>
  <c r="AD139" i="196"/>
  <c r="Z144" i="196"/>
  <c r="AD144" i="196"/>
  <c r="AG144" i="196"/>
  <c r="Y28" i="187"/>
  <c r="Y34" i="187" s="1"/>
  <c r="Y27" i="187"/>
  <c r="Y33" i="187" s="1"/>
  <c r="S143" i="196"/>
  <c r="V143" i="196"/>
  <c r="AF140" i="196"/>
  <c r="X140" i="196"/>
  <c r="M140" i="196"/>
  <c r="AA141" i="196"/>
  <c r="S141" i="196"/>
  <c r="AC141" i="196"/>
  <c r="L689" i="184"/>
  <c r="N171" i="196" s="1"/>
  <c r="N173" i="196" s="1"/>
  <c r="N175" i="196" s="1"/>
  <c r="N689" i="184"/>
  <c r="P171" i="196" s="1"/>
  <c r="P173" i="196" s="1"/>
  <c r="P175" i="196" s="1"/>
  <c r="J689" i="184"/>
  <c r="M689" i="184"/>
  <c r="O171" i="196" s="1"/>
  <c r="O173" i="196" s="1"/>
  <c r="O175" i="196" s="1"/>
  <c r="K689" i="184"/>
  <c r="M171" i="196" s="1"/>
  <c r="M173" i="196" s="1"/>
  <c r="M175" i="196" s="1"/>
  <c r="O139" i="196"/>
  <c r="Z139" i="196"/>
  <c r="Y142" i="196"/>
  <c r="AE144" i="196"/>
  <c r="N144" i="196"/>
  <c r="K28" i="187"/>
  <c r="K34" i="187" s="1"/>
  <c r="K27" i="187"/>
  <c r="K33" i="187" s="1"/>
  <c r="Z143" i="196"/>
  <c r="AE143" i="196"/>
  <c r="S28" i="187"/>
  <c r="S34" i="187" s="1"/>
  <c r="S27" i="187"/>
  <c r="S33" i="187" s="1"/>
  <c r="AE140" i="196"/>
  <c r="S140" i="196"/>
  <c r="L18" i="194"/>
  <c r="L16" i="187"/>
  <c r="T18" i="194"/>
  <c r="T16" i="187"/>
  <c r="Y141" i="196"/>
  <c r="AG141" i="196"/>
  <c r="J139" i="196"/>
  <c r="T139" i="196"/>
  <c r="H53" i="192" a="1"/>
  <c r="H55" i="192" s="1"/>
  <c r="O142" i="196"/>
  <c r="Y138" i="196"/>
  <c r="P144" i="196"/>
  <c r="M143" i="196"/>
  <c r="T143" i="196"/>
  <c r="AD143" i="196"/>
  <c r="O43" i="185"/>
  <c r="O49" i="185" s="1"/>
  <c r="J140" i="196"/>
  <c r="T140" i="196"/>
  <c r="M16" i="187"/>
  <c r="M18" i="194"/>
  <c r="N18" i="194"/>
  <c r="N16" i="187"/>
  <c r="J18" i="194"/>
  <c r="J16" i="187"/>
  <c r="AD141" i="196"/>
  <c r="AG139" i="196"/>
  <c r="S139" i="196"/>
  <c r="U142" i="196"/>
  <c r="AA142" i="196"/>
  <c r="T144" i="196"/>
  <c r="AF144" i="196"/>
  <c r="V49" i="185"/>
  <c r="U143" i="196"/>
  <c r="AG143" i="196"/>
  <c r="AC143" i="196"/>
  <c r="V140" i="196"/>
  <c r="AG140" i="196"/>
  <c r="T141" i="196"/>
  <c r="J141" i="196"/>
  <c r="U139" i="196"/>
  <c r="AC139" i="196"/>
  <c r="AG142" i="196"/>
  <c r="J144" i="196"/>
  <c r="T59" i="186"/>
  <c r="AF143" i="196"/>
  <c r="N140" i="196"/>
  <c r="Z141" i="196"/>
  <c r="Q18" i="194"/>
  <c r="Q16" i="187"/>
  <c r="Y139" i="196"/>
  <c r="AF139" i="196"/>
  <c r="N21" i="182"/>
  <c r="N23" i="182" s="1"/>
  <c r="O20" i="182"/>
  <c r="H20" i="189" a="1"/>
  <c r="M23" i="182"/>
  <c r="P22" i="182"/>
  <c r="P23" i="182" s="1"/>
  <c r="Q149" i="182"/>
  <c r="R149" i="182"/>
  <c r="K149" i="182"/>
  <c r="J149" i="182"/>
  <c r="L149" i="182"/>
  <c r="O149" i="182"/>
  <c r="M149" i="182"/>
  <c r="P149" i="182"/>
  <c r="N149" i="182"/>
  <c r="S149" i="182"/>
  <c r="S148" i="182"/>
  <c r="N148" i="182"/>
  <c r="K148" i="182"/>
  <c r="M148" i="182"/>
  <c r="R148" i="182"/>
  <c r="J148" i="182"/>
  <c r="Q148" i="182"/>
  <c r="L148" i="182"/>
  <c r="P148" i="182"/>
  <c r="O148" i="182"/>
  <c r="K159" i="182"/>
  <c r="Q159" i="182"/>
  <c r="N159" i="182"/>
  <c r="S178" i="182"/>
  <c r="O159" i="182"/>
  <c r="K178" i="182"/>
  <c r="O178" i="182"/>
  <c r="L178" i="182"/>
  <c r="P178" i="182"/>
  <c r="Q178" i="182"/>
  <c r="N178" i="182"/>
  <c r="J159" i="182"/>
  <c r="R159" i="182"/>
  <c r="J178" i="182"/>
  <c r="P159" i="182"/>
  <c r="M159" i="182"/>
  <c r="R178" i="182"/>
  <c r="S159" i="182"/>
  <c r="L159" i="182"/>
  <c r="M178" i="182"/>
  <c r="N173" i="182"/>
  <c r="K154" i="182"/>
  <c r="L154" i="182"/>
  <c r="N154" i="182"/>
  <c r="S173" i="182"/>
  <c r="K173" i="182"/>
  <c r="M173" i="182"/>
  <c r="S154" i="182"/>
  <c r="M154" i="182"/>
  <c r="Q173" i="182"/>
  <c r="R173" i="182"/>
  <c r="Q154" i="182"/>
  <c r="J173" i="182"/>
  <c r="P173" i="182"/>
  <c r="O173" i="182"/>
  <c r="R154" i="182"/>
  <c r="P154" i="182"/>
  <c r="O154" i="182"/>
  <c r="J154" i="182"/>
  <c r="L173" i="182"/>
  <c r="H129" i="188"/>
  <c r="L152" i="182"/>
  <c r="S152" i="182"/>
  <c r="P152" i="182"/>
  <c r="K152" i="182"/>
  <c r="O152" i="182"/>
  <c r="R152" i="182"/>
  <c r="J152" i="182"/>
  <c r="Q152" i="182"/>
  <c r="N152" i="182"/>
  <c r="M152" i="182"/>
  <c r="R179" i="182"/>
  <c r="Q179" i="182"/>
  <c r="Q160" i="182"/>
  <c r="N160" i="182"/>
  <c r="O179" i="182"/>
  <c r="O160" i="182"/>
  <c r="K179" i="182"/>
  <c r="S179" i="182"/>
  <c r="N179" i="182"/>
  <c r="L160" i="182"/>
  <c r="M160" i="182"/>
  <c r="K160" i="182"/>
  <c r="J179" i="182"/>
  <c r="M179" i="182"/>
  <c r="P160" i="182"/>
  <c r="L179" i="182"/>
  <c r="J160" i="182"/>
  <c r="S160" i="182"/>
  <c r="R160" i="182"/>
  <c r="P179" i="182"/>
  <c r="J156" i="182"/>
  <c r="O156" i="182"/>
  <c r="S175" i="182"/>
  <c r="Q175" i="182"/>
  <c r="M175" i="182"/>
  <c r="K175" i="182"/>
  <c r="Q156" i="182"/>
  <c r="M156" i="182"/>
  <c r="S156" i="182"/>
  <c r="N175" i="182"/>
  <c r="L175" i="182"/>
  <c r="K156" i="182"/>
  <c r="N156" i="182"/>
  <c r="L156" i="182"/>
  <c r="R175" i="182"/>
  <c r="P175" i="182"/>
  <c r="J175" i="182"/>
  <c r="P156" i="182"/>
  <c r="O175" i="182"/>
  <c r="R156" i="182"/>
  <c r="M174" i="182"/>
  <c r="P174" i="182"/>
  <c r="J155" i="182"/>
  <c r="M155" i="182"/>
  <c r="P155" i="182"/>
  <c r="R174" i="182"/>
  <c r="L174" i="182"/>
  <c r="Q174" i="182"/>
  <c r="R155" i="182"/>
  <c r="L155" i="182"/>
  <c r="O174" i="182"/>
  <c r="Q155" i="182"/>
  <c r="S174" i="182"/>
  <c r="O155" i="182"/>
  <c r="K174" i="182"/>
  <c r="N174" i="182"/>
  <c r="S155" i="182"/>
  <c r="N155" i="182"/>
  <c r="J174" i="182"/>
  <c r="K155" i="182"/>
  <c r="P157" i="182"/>
  <c r="J176" i="182"/>
  <c r="M176" i="182"/>
  <c r="O176" i="182"/>
  <c r="J157" i="182"/>
  <c r="O157" i="182"/>
  <c r="S176" i="182"/>
  <c r="L176" i="182"/>
  <c r="S157" i="182"/>
  <c r="L157" i="182"/>
  <c r="R176" i="182"/>
  <c r="Q176" i="182"/>
  <c r="M157" i="182"/>
  <c r="R157" i="182"/>
  <c r="Q157" i="182"/>
  <c r="K176" i="182"/>
  <c r="N176" i="182"/>
  <c r="P176" i="182"/>
  <c r="K157" i="182"/>
  <c r="N157" i="182"/>
  <c r="S146" i="182"/>
  <c r="N146" i="182"/>
  <c r="P146" i="182"/>
  <c r="L146" i="182"/>
  <c r="M146" i="182"/>
  <c r="O146" i="182"/>
  <c r="Q146" i="182"/>
  <c r="J146" i="182"/>
  <c r="K146" i="182"/>
  <c r="R146" i="182"/>
  <c r="P151" i="182"/>
  <c r="S151" i="182"/>
  <c r="Q151" i="182"/>
  <c r="K151" i="182"/>
  <c r="J151" i="182"/>
  <c r="O151" i="182"/>
  <c r="L151" i="182"/>
  <c r="M151" i="182"/>
  <c r="N151" i="182"/>
  <c r="R151" i="182"/>
  <c r="Q147" i="182"/>
  <c r="S147" i="182"/>
  <c r="P147" i="182"/>
  <c r="O147" i="182"/>
  <c r="R147" i="182"/>
  <c r="N147" i="182"/>
  <c r="M147" i="182"/>
  <c r="J147" i="182"/>
  <c r="K147" i="182"/>
  <c r="L147" i="182"/>
  <c r="S145" i="182"/>
  <c r="M145" i="182"/>
  <c r="P145" i="182"/>
  <c r="Q145" i="182"/>
  <c r="J145" i="182"/>
  <c r="O145" i="182"/>
  <c r="R145" i="182"/>
  <c r="K145" i="182"/>
  <c r="N145" i="182"/>
  <c r="L145" i="182"/>
  <c r="L172" i="182"/>
  <c r="M172" i="182"/>
  <c r="L153" i="182"/>
  <c r="M153" i="182"/>
  <c r="Q172" i="182"/>
  <c r="S172" i="182"/>
  <c r="K172" i="182"/>
  <c r="Q153" i="182"/>
  <c r="S153" i="182"/>
  <c r="K153" i="182"/>
  <c r="P172" i="182"/>
  <c r="R172" i="182"/>
  <c r="J172" i="182"/>
  <c r="P153" i="182"/>
  <c r="R153" i="182"/>
  <c r="J153" i="182"/>
  <c r="O172" i="182"/>
  <c r="N172" i="182"/>
  <c r="O153" i="182"/>
  <c r="N153" i="182"/>
  <c r="A4" i="98"/>
  <c r="V48" i="185" l="1"/>
  <c r="N42" i="185"/>
  <c r="N48" i="185" s="1"/>
  <c r="L44" i="185"/>
  <c r="L50" i="185" s="1"/>
  <c r="P43" i="185"/>
  <c r="P49" i="185" s="1"/>
  <c r="A4" i="184"/>
  <c r="J44" i="185"/>
  <c r="J50" i="185" s="1"/>
  <c r="J42" i="185"/>
  <c r="J48" i="185" s="1"/>
  <c r="K44" i="185"/>
  <c r="K50" i="185" s="1"/>
  <c r="K43" i="185"/>
  <c r="K49" i="185" s="1"/>
  <c r="Q50" i="185"/>
  <c r="X28" i="187"/>
  <c r="X34" i="187" s="1"/>
  <c r="O44" i="185"/>
  <c r="O50" i="185" s="1"/>
  <c r="Q49" i="185"/>
  <c r="J49" i="195"/>
  <c r="L49" i="195"/>
  <c r="P49" i="195"/>
  <c r="O49" i="195"/>
  <c r="J43" i="185"/>
  <c r="J49" i="185" s="1"/>
  <c r="H53" i="192"/>
  <c r="T50" i="185"/>
  <c r="T49" i="185"/>
  <c r="L42" i="185"/>
  <c r="L48" i="185" s="1"/>
  <c r="O28" i="187"/>
  <c r="O34" i="187" s="1"/>
  <c r="M44" i="185"/>
  <c r="M50" i="185" s="1"/>
  <c r="M43" i="185"/>
  <c r="M49" i="185" s="1"/>
  <c r="L43" i="185"/>
  <c r="L49" i="185" s="1"/>
  <c r="M42" i="185"/>
  <c r="M48" i="185" s="1"/>
  <c r="K129" i="194"/>
  <c r="K132" i="194" s="1"/>
  <c r="Z146" i="196"/>
  <c r="M146" i="196"/>
  <c r="M148" i="196" s="1" a="1"/>
  <c r="M148" i="196" s="1"/>
  <c r="M150" i="196" s="1"/>
  <c r="V146" i="196"/>
  <c r="V148" i="196" s="1" a="1"/>
  <c r="V148" i="196" s="1"/>
  <c r="V150" i="196" s="1"/>
  <c r="H60" i="192"/>
  <c r="Y146" i="196"/>
  <c r="Y148" i="196" s="1" a="1"/>
  <c r="Y148" i="196" s="1"/>
  <c r="Y150" i="196" s="1"/>
  <c r="O146" i="196"/>
  <c r="O148" i="196" s="1" a="1"/>
  <c r="O148" i="196" s="1"/>
  <c r="O150" i="196" s="1"/>
  <c r="AA146" i="196"/>
  <c r="AA148" i="196" s="1" a="1"/>
  <c r="AA148" i="196" s="1"/>
  <c r="AA150" i="196" s="1"/>
  <c r="AC146" i="196"/>
  <c r="AC148" i="196" s="1" a="1"/>
  <c r="AC148" i="196" s="1"/>
  <c r="AC150" i="196" s="1"/>
  <c r="H55" i="193"/>
  <c r="H56" i="193"/>
  <c r="N146" i="196"/>
  <c r="N148" i="196" s="1" a="1"/>
  <c r="W129" i="194"/>
  <c r="W132" i="194" s="1"/>
  <c r="X146" i="196"/>
  <c r="X148" i="196" s="1" a="1"/>
  <c r="X148" i="196" s="1"/>
  <c r="X150" i="196" s="1"/>
  <c r="H54" i="193"/>
  <c r="Q129" i="194"/>
  <c r="Q133" i="194" s="1"/>
  <c r="P129" i="194"/>
  <c r="P133" i="194" s="1"/>
  <c r="T146" i="196"/>
  <c r="T148" i="196" s="1" a="1"/>
  <c r="T148" i="196" s="1"/>
  <c r="T150" i="196" s="1"/>
  <c r="P146" i="196"/>
  <c r="P148" i="196" s="1" a="1"/>
  <c r="P148" i="196" s="1"/>
  <c r="P150" i="196" s="1"/>
  <c r="H57" i="193"/>
  <c r="S146" i="196"/>
  <c r="S148" i="196" s="1" a="1"/>
  <c r="S148" i="196" s="1"/>
  <c r="S150" i="196" s="1"/>
  <c r="J146" i="196"/>
  <c r="J148" i="196" s="1" a="1"/>
  <c r="AD146" i="196"/>
  <c r="AD148" i="196" s="1" a="1"/>
  <c r="AD148" i="196" s="1"/>
  <c r="AD150" i="196" s="1"/>
  <c r="AF146" i="196"/>
  <c r="AF148" i="196" s="1" a="1"/>
  <c r="AF148" i="196" s="1"/>
  <c r="AF150" i="196" s="1"/>
  <c r="AG146" i="196"/>
  <c r="U129" i="194"/>
  <c r="U132" i="194" s="1"/>
  <c r="T129" i="194"/>
  <c r="X50" i="185"/>
  <c r="X48" i="185"/>
  <c r="X49" i="185"/>
  <c r="H56" i="192"/>
  <c r="H53" i="193"/>
  <c r="S129" i="194"/>
  <c r="X129" i="194"/>
  <c r="H57" i="192"/>
  <c r="H58" i="193"/>
  <c r="M27" i="187"/>
  <c r="M33" i="187" s="1"/>
  <c r="M28" i="187"/>
  <c r="M34" i="187" s="1"/>
  <c r="V129" i="194"/>
  <c r="R129" i="194"/>
  <c r="V27" i="187"/>
  <c r="V33" i="187" s="1"/>
  <c r="V28" i="187"/>
  <c r="V34" i="187" s="1"/>
  <c r="H58" i="192"/>
  <c r="Q28" i="187"/>
  <c r="Q34" i="187" s="1"/>
  <c r="Q27" i="187"/>
  <c r="Q33" i="187" s="1"/>
  <c r="H54" i="192"/>
  <c r="H51" i="193"/>
  <c r="O129" i="194"/>
  <c r="N129" i="194"/>
  <c r="AE146" i="196"/>
  <c r="AE148" i="196" s="1" a="1"/>
  <c r="AE148" i="196" s="1"/>
  <c r="AE150" i="196" s="1"/>
  <c r="J34" i="186" a="1"/>
  <c r="M39" i="186" s="1"/>
  <c r="Y129" i="194"/>
  <c r="T28" i="187"/>
  <c r="T34" i="187" s="1"/>
  <c r="T27" i="187"/>
  <c r="T33" i="187" s="1"/>
  <c r="H59" i="192"/>
  <c r="J27" i="187"/>
  <c r="J33" i="187" s="1"/>
  <c r="J28" i="187"/>
  <c r="J34" i="187" s="1"/>
  <c r="M129" i="194"/>
  <c r="U146" i="196"/>
  <c r="U148" i="196" s="1" a="1"/>
  <c r="U148" i="196" s="1"/>
  <c r="U150" i="196" s="1"/>
  <c r="O50" i="195"/>
  <c r="N50" i="195"/>
  <c r="N51" i="195" s="1"/>
  <c r="P50" i="195"/>
  <c r="J50" i="195"/>
  <c r="L50" i="195"/>
  <c r="L129" i="194"/>
  <c r="J129" i="194"/>
  <c r="L28" i="187"/>
  <c r="L34" i="187" s="1"/>
  <c r="L27" i="187"/>
  <c r="L33" i="187" s="1"/>
  <c r="R28" i="187"/>
  <c r="R34" i="187" s="1"/>
  <c r="R27" i="187"/>
  <c r="R33" i="187" s="1"/>
  <c r="N28" i="187"/>
  <c r="N34" i="187" s="1"/>
  <c r="N27" i="187"/>
  <c r="N33" i="187" s="1"/>
  <c r="J80" i="192" a="1"/>
  <c r="J55" i="189" a="1"/>
  <c r="H25" i="189"/>
  <c r="H24" i="189"/>
  <c r="H23" i="189"/>
  <c r="H26" i="189"/>
  <c r="H22" i="189"/>
  <c r="H20" i="189"/>
  <c r="H27" i="189"/>
  <c r="H21" i="189"/>
  <c r="R93" i="193" a="1"/>
  <c r="O21" i="182"/>
  <c r="O23" i="182" s="1"/>
  <c r="P20" i="182"/>
  <c r="A1" i="55"/>
  <c r="P51" i="195" l="1"/>
  <c r="P55" i="195" s="1"/>
  <c r="J51" i="195"/>
  <c r="O51" i="195"/>
  <c r="O29" i="196" s="1"/>
  <c r="L51" i="195"/>
  <c r="L59" i="195" s="1"/>
  <c r="W133" i="194"/>
  <c r="Z148" i="196" a="1"/>
  <c r="Z148" i="196" s="1"/>
  <c r="Z150" i="196" s="1"/>
  <c r="N148" i="196"/>
  <c r="N150" i="196" s="1"/>
  <c r="J148" i="196"/>
  <c r="J150" i="196" s="1"/>
  <c r="AG148" i="196" a="1"/>
  <c r="AG148" i="196" s="1"/>
  <c r="AG150" i="196" s="1"/>
  <c r="K133" i="194"/>
  <c r="U133" i="194"/>
  <c r="Q132" i="194"/>
  <c r="N36" i="186"/>
  <c r="V42" i="186"/>
  <c r="V202" i="186" s="1"/>
  <c r="V40" i="186"/>
  <c r="U34" i="186"/>
  <c r="S36" i="186"/>
  <c r="Q34" i="186"/>
  <c r="M36" i="186"/>
  <c r="R39" i="186"/>
  <c r="W38" i="186"/>
  <c r="S34" i="186"/>
  <c r="T37" i="186"/>
  <c r="X37" i="186"/>
  <c r="W36" i="186"/>
  <c r="L42" i="186"/>
  <c r="L202" i="186" s="1"/>
  <c r="Q38" i="186"/>
  <c r="O40" i="186"/>
  <c r="Q39" i="186"/>
  <c r="J40" i="186"/>
  <c r="X42" i="186"/>
  <c r="X202" i="186" s="1"/>
  <c r="U37" i="186"/>
  <c r="P41" i="186"/>
  <c r="N35" i="186"/>
  <c r="K37" i="186"/>
  <c r="S40" i="186"/>
  <c r="N41" i="186"/>
  <c r="J37" i="186"/>
  <c r="M34" i="186"/>
  <c r="L39" i="186"/>
  <c r="T41" i="186"/>
  <c r="P35" i="186"/>
  <c r="J41" i="186"/>
  <c r="P39" i="186"/>
  <c r="T42" i="186"/>
  <c r="T202" i="186" s="1"/>
  <c r="L34" i="186"/>
  <c r="W34" i="186"/>
  <c r="X41" i="186"/>
  <c r="K35" i="186"/>
  <c r="K41" i="186"/>
  <c r="S35" i="186"/>
  <c r="U40" i="186"/>
  <c r="X39" i="186"/>
  <c r="J38" i="186"/>
  <c r="R41" i="186"/>
  <c r="K40" i="186"/>
  <c r="T38" i="186"/>
  <c r="S39" i="186"/>
  <c r="S41" i="186"/>
  <c r="W40" i="186"/>
  <c r="R38" i="186"/>
  <c r="Y34" i="186"/>
  <c r="N34" i="186"/>
  <c r="L40" i="186"/>
  <c r="O42" i="186"/>
  <c r="O202" i="186" s="1"/>
  <c r="Y35" i="186"/>
  <c r="R36" i="186"/>
  <c r="Y41" i="186"/>
  <c r="V41" i="186"/>
  <c r="U35" i="186"/>
  <c r="M40" i="186"/>
  <c r="O37" i="186"/>
  <c r="J42" i="186"/>
  <c r="J202" i="186" s="1"/>
  <c r="Q42" i="186"/>
  <c r="Q202" i="186" s="1"/>
  <c r="S38" i="186"/>
  <c r="V37" i="186"/>
  <c r="M41" i="186"/>
  <c r="X35" i="186"/>
  <c r="X34" i="186"/>
  <c r="P38" i="186"/>
  <c r="P132" i="194"/>
  <c r="Y36" i="186"/>
  <c r="J39" i="186"/>
  <c r="V34" i="186"/>
  <c r="Q40" i="186"/>
  <c r="J35" i="186"/>
  <c r="P36" i="186"/>
  <c r="Q35" i="186"/>
  <c r="U42" i="186"/>
  <c r="U202" i="186" s="1"/>
  <c r="N39" i="186"/>
  <c r="R40" i="186"/>
  <c r="Y42" i="186"/>
  <c r="Y202" i="186" s="1"/>
  <c r="V39" i="186"/>
  <c r="S42" i="186"/>
  <c r="S204" i="186" s="1"/>
  <c r="J34" i="186"/>
  <c r="L41" i="186"/>
  <c r="O39" i="186"/>
  <c r="L35" i="186"/>
  <c r="W41" i="186"/>
  <c r="M37" i="186"/>
  <c r="O35" i="186"/>
  <c r="O38" i="186"/>
  <c r="W37" i="186"/>
  <c r="H34" i="187"/>
  <c r="U74" i="188" s="1"/>
  <c r="U76" i="188" s="1"/>
  <c r="U108" i="188" s="1"/>
  <c r="O132" i="194"/>
  <c r="O133" i="194"/>
  <c r="O36" i="186"/>
  <c r="O41" i="186"/>
  <c r="X40" i="186"/>
  <c r="Q37" i="186"/>
  <c r="S37" i="186"/>
  <c r="T35" i="186"/>
  <c r="N40" i="186"/>
  <c r="K38" i="186"/>
  <c r="L37" i="186"/>
  <c r="Q36" i="186"/>
  <c r="R34" i="186"/>
  <c r="U39" i="186"/>
  <c r="N42" i="186"/>
  <c r="N202" i="186" s="1"/>
  <c r="N206" i="186" s="1"/>
  <c r="M38" i="186"/>
  <c r="R35" i="186"/>
  <c r="W39" i="186"/>
  <c r="Y40" i="186"/>
  <c r="Y37" i="186"/>
  <c r="V132" i="194"/>
  <c r="V133" i="194"/>
  <c r="H33" i="187"/>
  <c r="T74" i="188" s="1"/>
  <c r="T76" i="188" s="1"/>
  <c r="T108" i="188" s="1"/>
  <c r="R133" i="194"/>
  <c r="R132" i="194"/>
  <c r="N38" i="186"/>
  <c r="T39" i="186"/>
  <c r="M35" i="186"/>
  <c r="V36" i="186"/>
  <c r="L36" i="186"/>
  <c r="Q41" i="186"/>
  <c r="X36" i="186"/>
  <c r="K42" i="186"/>
  <c r="K202" i="186" s="1"/>
  <c r="K206" i="186" s="1"/>
  <c r="U36" i="186"/>
  <c r="K39" i="186"/>
  <c r="P37" i="186"/>
  <c r="T40" i="186"/>
  <c r="V35" i="186"/>
  <c r="R37" i="186"/>
  <c r="O34" i="186"/>
  <c r="P34" i="186"/>
  <c r="W42" i="186"/>
  <c r="W202" i="186" s="1"/>
  <c r="M42" i="186"/>
  <c r="M202" i="186" s="1"/>
  <c r="M206" i="186" s="1"/>
  <c r="N59" i="195"/>
  <c r="N55" i="195"/>
  <c r="N29" i="196"/>
  <c r="J133" i="194"/>
  <c r="J132" i="194"/>
  <c r="R42" i="186"/>
  <c r="R202" i="186" s="1"/>
  <c r="N37" i="186"/>
  <c r="V38" i="186"/>
  <c r="K34" i="186"/>
  <c r="K36" i="186"/>
  <c r="P40" i="186"/>
  <c r="J36" i="186"/>
  <c r="Y38" i="186"/>
  <c r="Y39" i="186"/>
  <c r="W35" i="186"/>
  <c r="P42" i="186"/>
  <c r="P202" i="186" s="1"/>
  <c r="U41" i="186"/>
  <c r="U38" i="186"/>
  <c r="T36" i="186"/>
  <c r="T34" i="186"/>
  <c r="L38" i="186"/>
  <c r="X38" i="186"/>
  <c r="L133" i="194"/>
  <c r="L132" i="194"/>
  <c r="Y133" i="194"/>
  <c r="Y132" i="194"/>
  <c r="M133" i="194"/>
  <c r="M132" i="194"/>
  <c r="T133" i="194"/>
  <c r="T132" i="194"/>
  <c r="X132" i="194"/>
  <c r="X133" i="194"/>
  <c r="N133" i="194"/>
  <c r="N132" i="194"/>
  <c r="S133" i="194"/>
  <c r="S132" i="194"/>
  <c r="Q20" i="182"/>
  <c r="P21" i="182"/>
  <c r="T100" i="193"/>
  <c r="S102" i="193"/>
  <c r="S94" i="193"/>
  <c r="R96" i="193"/>
  <c r="Y98" i="193"/>
  <c r="X100" i="193"/>
  <c r="W102" i="193"/>
  <c r="W94" i="193"/>
  <c r="V96" i="193"/>
  <c r="U101" i="193"/>
  <c r="V95" i="193"/>
  <c r="T99" i="193"/>
  <c r="S101" i="193"/>
  <c r="S93" i="193"/>
  <c r="R95" i="193"/>
  <c r="Y97" i="193"/>
  <c r="X99" i="193"/>
  <c r="W101" i="193"/>
  <c r="W93" i="193"/>
  <c r="U93" i="193"/>
  <c r="T98" i="193"/>
  <c r="S100" i="193"/>
  <c r="R102" i="193"/>
  <c r="R94" i="193"/>
  <c r="Y96" i="193"/>
  <c r="X98" i="193"/>
  <c r="W100" i="193"/>
  <c r="V102" i="193"/>
  <c r="V94" i="193"/>
  <c r="U100" i="193"/>
  <c r="T97" i="193"/>
  <c r="S99" i="193"/>
  <c r="R101" i="193"/>
  <c r="R93" i="193"/>
  <c r="Y95" i="193"/>
  <c r="X97" i="193"/>
  <c r="W99" i="193"/>
  <c r="V101" i="193"/>
  <c r="V93" i="193"/>
  <c r="U99" i="193"/>
  <c r="T96" i="193"/>
  <c r="S98" i="193"/>
  <c r="R100" i="193"/>
  <c r="Y102" i="193"/>
  <c r="Y94" i="193"/>
  <c r="X96" i="193"/>
  <c r="W98" i="193"/>
  <c r="V100" i="193"/>
  <c r="U96" i="193"/>
  <c r="U98" i="193"/>
  <c r="T95" i="193"/>
  <c r="S97" i="193"/>
  <c r="R99" i="193"/>
  <c r="Y101" i="193"/>
  <c r="Y93" i="193"/>
  <c r="X95" i="193"/>
  <c r="W97" i="193"/>
  <c r="V99" i="193"/>
  <c r="U95" i="193"/>
  <c r="U97" i="193"/>
  <c r="S95" i="193"/>
  <c r="X93" i="193"/>
  <c r="R98" i="193"/>
  <c r="W96" i="193"/>
  <c r="R97" i="193"/>
  <c r="U102" i="193"/>
  <c r="S96" i="193"/>
  <c r="W95" i="193"/>
  <c r="T102" i="193"/>
  <c r="Y100" i="193"/>
  <c r="V98" i="193"/>
  <c r="T94" i="193"/>
  <c r="T101" i="193"/>
  <c r="Y99" i="193"/>
  <c r="V97" i="193"/>
  <c r="X102" i="193"/>
  <c r="T93" i="193"/>
  <c r="X101" i="193"/>
  <c r="U94" i="193"/>
  <c r="X94" i="193"/>
  <c r="T63" i="189"/>
  <c r="T59" i="189"/>
  <c r="T55" i="189"/>
  <c r="R61" i="189"/>
  <c r="R57" i="189"/>
  <c r="X63" i="189"/>
  <c r="X59" i="189"/>
  <c r="X55" i="189"/>
  <c r="W61" i="189"/>
  <c r="W57" i="189"/>
  <c r="V63" i="189"/>
  <c r="V59" i="189"/>
  <c r="V55" i="189"/>
  <c r="K56" i="189"/>
  <c r="U63" i="189"/>
  <c r="S63" i="189"/>
  <c r="Q63" i="189"/>
  <c r="M63" i="189"/>
  <c r="K63" i="189"/>
  <c r="S61" i="189"/>
  <c r="X64" i="189"/>
  <c r="V60" i="189"/>
  <c r="L63" i="189"/>
  <c r="L59" i="189"/>
  <c r="L55" i="189"/>
  <c r="J61" i="189"/>
  <c r="J57" i="189"/>
  <c r="P63" i="189"/>
  <c r="P59" i="189"/>
  <c r="P55" i="189"/>
  <c r="O61" i="189"/>
  <c r="O57" i="189"/>
  <c r="N63" i="189"/>
  <c r="N59" i="189"/>
  <c r="N55" i="189"/>
  <c r="Y63" i="189"/>
  <c r="Q62" i="189"/>
  <c r="M62" i="189"/>
  <c r="K62" i="189"/>
  <c r="Y61" i="189"/>
  <c r="U61" i="189"/>
  <c r="M60" i="189"/>
  <c r="T60" i="189"/>
  <c r="W58" i="189"/>
  <c r="T62" i="189"/>
  <c r="T58" i="189"/>
  <c r="R64" i="189"/>
  <c r="R60" i="189"/>
  <c r="R56" i="189"/>
  <c r="X62" i="189"/>
  <c r="X58" i="189"/>
  <c r="W64" i="189"/>
  <c r="W60" i="189"/>
  <c r="W56" i="189"/>
  <c r="V62" i="189"/>
  <c r="V58" i="189"/>
  <c r="K64" i="189"/>
  <c r="S62" i="189"/>
  <c r="K61" i="189"/>
  <c r="Y60" i="189"/>
  <c r="U60" i="189"/>
  <c r="S60" i="189"/>
  <c r="Q60" i="189"/>
  <c r="Y58" i="189"/>
  <c r="T64" i="189"/>
  <c r="X60" i="189"/>
  <c r="V64" i="189"/>
  <c r="L62" i="189"/>
  <c r="L58" i="189"/>
  <c r="J64" i="189"/>
  <c r="J60" i="189"/>
  <c r="J56" i="189"/>
  <c r="P62" i="189"/>
  <c r="P58" i="189"/>
  <c r="O64" i="189"/>
  <c r="O60" i="189"/>
  <c r="O56" i="189"/>
  <c r="N62" i="189"/>
  <c r="N58" i="189"/>
  <c r="U62" i="189"/>
  <c r="M61" i="189"/>
  <c r="U59" i="189"/>
  <c r="S59" i="189"/>
  <c r="Q59" i="189"/>
  <c r="M59" i="189"/>
  <c r="K59" i="189"/>
  <c r="M56" i="189"/>
  <c r="T61" i="189"/>
  <c r="T57" i="189"/>
  <c r="R63" i="189"/>
  <c r="R59" i="189"/>
  <c r="R55" i="189"/>
  <c r="X61" i="189"/>
  <c r="X57" i="189"/>
  <c r="W63" i="189"/>
  <c r="W59" i="189"/>
  <c r="W55" i="189"/>
  <c r="V61" i="189"/>
  <c r="V57" i="189"/>
  <c r="Q61" i="189"/>
  <c r="Y59" i="189"/>
  <c r="Q58" i="189"/>
  <c r="M58" i="189"/>
  <c r="K58" i="189"/>
  <c r="Y57" i="189"/>
  <c r="U57" i="189"/>
  <c r="M64" i="189"/>
  <c r="R62" i="189"/>
  <c r="W62" i="189"/>
  <c r="L61" i="189"/>
  <c r="L57" i="189"/>
  <c r="J63" i="189"/>
  <c r="J59" i="189"/>
  <c r="J55" i="189"/>
  <c r="P61" i="189"/>
  <c r="P57" i="189"/>
  <c r="O63" i="189"/>
  <c r="O59" i="189"/>
  <c r="O55" i="189"/>
  <c r="N61" i="189"/>
  <c r="N57" i="189"/>
  <c r="K60" i="189"/>
  <c r="S58" i="189"/>
  <c r="K57" i="189"/>
  <c r="Y56" i="189"/>
  <c r="U56" i="189"/>
  <c r="S56" i="189"/>
  <c r="Q56" i="189"/>
  <c r="S57" i="189"/>
  <c r="T56" i="189"/>
  <c r="X56" i="189"/>
  <c r="P64" i="189"/>
  <c r="N56" i="189"/>
  <c r="U64" i="189"/>
  <c r="P60" i="189"/>
  <c r="U58" i="189"/>
  <c r="Q55" i="189"/>
  <c r="U55" i="189"/>
  <c r="L64" i="189"/>
  <c r="P56" i="189"/>
  <c r="Q57" i="189"/>
  <c r="S64" i="189"/>
  <c r="K55" i="189"/>
  <c r="L60" i="189"/>
  <c r="O62" i="189"/>
  <c r="M57" i="189"/>
  <c r="M55" i="189"/>
  <c r="N64" i="189"/>
  <c r="L56" i="189"/>
  <c r="O58" i="189"/>
  <c r="Y55" i="189"/>
  <c r="Q64" i="189"/>
  <c r="J62" i="189"/>
  <c r="R58" i="189"/>
  <c r="N60" i="189"/>
  <c r="Y64" i="189"/>
  <c r="Y62" i="189"/>
  <c r="J58" i="189"/>
  <c r="V56" i="189"/>
  <c r="S55" i="189"/>
  <c r="N88" i="192"/>
  <c r="K87" i="192"/>
  <c r="R82" i="192"/>
  <c r="V88" i="192"/>
  <c r="M83" i="192"/>
  <c r="Y80" i="192"/>
  <c r="R87" i="192"/>
  <c r="V89" i="192"/>
  <c r="Q85" i="192"/>
  <c r="M80" i="192"/>
  <c r="K81" i="192"/>
  <c r="W86" i="192"/>
  <c r="U80" i="192"/>
  <c r="Q83" i="192"/>
  <c r="J85" i="192"/>
  <c r="N87" i="192"/>
  <c r="T83" i="192"/>
  <c r="O89" i="192"/>
  <c r="U85" i="192"/>
  <c r="S87" i="192"/>
  <c r="L80" i="192"/>
  <c r="W89" i="192"/>
  <c r="T87" i="192"/>
  <c r="O87" i="192"/>
  <c r="R86" i="192"/>
  <c r="Q88" i="192"/>
  <c r="M87" i="192"/>
  <c r="Q82" i="192"/>
  <c r="T81" i="192"/>
  <c r="S89" i="192"/>
  <c r="P82" i="192"/>
  <c r="M84" i="192"/>
  <c r="L89" i="192"/>
  <c r="X82" i="192"/>
  <c r="U84" i="192"/>
  <c r="Y84" i="192"/>
  <c r="J89" i="192"/>
  <c r="S88" i="192"/>
  <c r="Y86" i="192"/>
  <c r="X83" i="192"/>
  <c r="U89" i="192"/>
  <c r="K89" i="192"/>
  <c r="L84" i="192"/>
  <c r="X89" i="192"/>
  <c r="Y88" i="192"/>
  <c r="T80" i="192"/>
  <c r="W88" i="192"/>
  <c r="N81" i="192"/>
  <c r="Y83" i="192"/>
  <c r="T85" i="192"/>
  <c r="Q80" i="192"/>
  <c r="P86" i="192"/>
  <c r="M88" i="192"/>
  <c r="W81" i="192"/>
  <c r="X86" i="192"/>
  <c r="U88" i="192"/>
  <c r="Q86" i="192"/>
  <c r="L83" i="192"/>
  <c r="P81" i="192"/>
  <c r="S82" i="192"/>
  <c r="X87" i="192"/>
  <c r="V83" i="192"/>
  <c r="K80" i="192"/>
  <c r="L88" i="192"/>
  <c r="J83" i="192"/>
  <c r="Y85" i="192"/>
  <c r="O81" i="192"/>
  <c r="T84" i="192"/>
  <c r="W82" i="192"/>
  <c r="N85" i="192"/>
  <c r="K84" i="192"/>
  <c r="T89" i="192"/>
  <c r="S80" i="192"/>
  <c r="J80" i="192"/>
  <c r="N82" i="192"/>
  <c r="Y81" i="192"/>
  <c r="R80" i="192"/>
  <c r="V82" i="192"/>
  <c r="Y87" i="192"/>
  <c r="L87" i="192"/>
  <c r="L85" i="192"/>
  <c r="J87" i="192"/>
  <c r="R81" i="192"/>
  <c r="V87" i="192"/>
  <c r="P80" i="192"/>
  <c r="M82" i="192"/>
  <c r="V81" i="192"/>
  <c r="Q81" i="192"/>
  <c r="T88" i="192"/>
  <c r="P85" i="192"/>
  <c r="N89" i="192"/>
  <c r="X81" i="192"/>
  <c r="U83" i="192"/>
  <c r="W80" i="192"/>
  <c r="J84" i="192"/>
  <c r="N86" i="192"/>
  <c r="K82" i="192"/>
  <c r="R84" i="192"/>
  <c r="V86" i="192"/>
  <c r="K88" i="192"/>
  <c r="M81" i="192"/>
  <c r="O80" i="192"/>
  <c r="Y82" i="192"/>
  <c r="R85" i="192"/>
  <c r="O84" i="192"/>
  <c r="P84" i="192"/>
  <c r="M86" i="192"/>
  <c r="V80" i="192"/>
  <c r="L82" i="192"/>
  <c r="Q87" i="192"/>
  <c r="T82" i="192"/>
  <c r="P87" i="192"/>
  <c r="O86" i="192"/>
  <c r="J82" i="192"/>
  <c r="X80" i="192"/>
  <c r="U82" i="192"/>
  <c r="P89" i="192"/>
  <c r="O88" i="192"/>
  <c r="X85" i="192"/>
  <c r="U87" i="192"/>
  <c r="O82" i="192"/>
  <c r="J88" i="192"/>
  <c r="S85" i="192"/>
  <c r="S83" i="192"/>
  <c r="R88" i="192"/>
  <c r="S81" i="192"/>
  <c r="P83" i="192"/>
  <c r="M85" i="192"/>
  <c r="Q84" i="192"/>
  <c r="S84" i="192"/>
  <c r="R89" i="192"/>
  <c r="W85" i="192"/>
  <c r="P88" i="192"/>
  <c r="N80" i="192"/>
  <c r="X84" i="192"/>
  <c r="W83" i="192"/>
  <c r="K85" i="192"/>
  <c r="K83" i="192"/>
  <c r="M89" i="192"/>
  <c r="W84" i="192"/>
  <c r="N84" i="192"/>
  <c r="X88" i="192"/>
  <c r="U86" i="192"/>
  <c r="U81" i="192"/>
  <c r="V84" i="192"/>
  <c r="S86" i="192"/>
  <c r="K86" i="192"/>
  <c r="L81" i="192"/>
  <c r="T86" i="192"/>
  <c r="J86" i="192"/>
  <c r="Y89" i="192"/>
  <c r="O83" i="192"/>
  <c r="V85" i="192"/>
  <c r="R83" i="192"/>
  <c r="J81" i="192"/>
  <c r="N83" i="192"/>
  <c r="O85" i="192"/>
  <c r="Q89" i="192"/>
  <c r="L86" i="192"/>
  <c r="W87" i="192"/>
  <c r="B14" i="27"/>
  <c r="B10" i="27"/>
  <c r="B6" i="27"/>
  <c r="B8" i="27"/>
  <c r="O59" i="195" l="1"/>
  <c r="O55" i="195"/>
  <c r="P29" i="196"/>
  <c r="AC48" i="196" s="1"/>
  <c r="AC47" i="197" s="1"/>
  <c r="P59" i="195"/>
  <c r="P65" i="195" s="1"/>
  <c r="L29" i="196"/>
  <c r="L48" i="196" s="1"/>
  <c r="L47" i="197" s="1"/>
  <c r="L55" i="195"/>
  <c r="L65" i="195" s="1"/>
  <c r="S202" i="186"/>
  <c r="S206" i="186" s="1"/>
  <c r="T204" i="186"/>
  <c r="T206" i="186" s="1"/>
  <c r="V204" i="186"/>
  <c r="V206" i="186" s="1"/>
  <c r="W204" i="186"/>
  <c r="W206" i="186" s="1"/>
  <c r="AM183" i="196"/>
  <c r="J183" i="196"/>
  <c r="Q183" i="196"/>
  <c r="S156" i="196"/>
  <c r="S158" i="196" s="1"/>
  <c r="AE183" i="196"/>
  <c r="X183" i="196"/>
  <c r="Z156" i="196"/>
  <c r="Z158" i="196" s="1"/>
  <c r="R156" i="196"/>
  <c r="R158" i="196" s="1"/>
  <c r="AO183" i="196"/>
  <c r="W183" i="196"/>
  <c r="T156" i="196"/>
  <c r="T158" i="196" s="1"/>
  <c r="AE156" i="196"/>
  <c r="AE158" i="196" s="1"/>
  <c r="AI156" i="196"/>
  <c r="AI158" i="196" s="1"/>
  <c r="AA156" i="196"/>
  <c r="AA158" i="196" s="1"/>
  <c r="P156" i="196"/>
  <c r="P158" i="196" s="1"/>
  <c r="X156" i="196"/>
  <c r="X158" i="196" s="1"/>
  <c r="AF156" i="196"/>
  <c r="AF158" i="196" s="1"/>
  <c r="R183" i="196"/>
  <c r="AI183" i="196"/>
  <c r="AK156" i="196"/>
  <c r="AK158" i="196" s="1"/>
  <c r="U183" i="196"/>
  <c r="Y156" i="196"/>
  <c r="Y158" i="196" s="1"/>
  <c r="AB183" i="196"/>
  <c r="O156" i="196"/>
  <c r="O158" i="196" s="1"/>
  <c r="N156" i="196"/>
  <c r="N158" i="196" s="1"/>
  <c r="Z183" i="196"/>
  <c r="AL156" i="196"/>
  <c r="AL158" i="196" s="1"/>
  <c r="K183" i="196"/>
  <c r="AB156" i="196"/>
  <c r="AB158" i="196" s="1"/>
  <c r="L156" i="196"/>
  <c r="L158" i="196" s="1"/>
  <c r="U156" i="196"/>
  <c r="U158" i="196" s="1"/>
  <c r="AL183" i="196"/>
  <c r="Y183" i="196"/>
  <c r="J156" i="196"/>
  <c r="J158" i="196" s="1"/>
  <c r="S183" i="196"/>
  <c r="O183" i="196"/>
  <c r="AC183" i="196"/>
  <c r="AH183" i="196"/>
  <c r="AJ156" i="196"/>
  <c r="AJ158" i="196" s="1"/>
  <c r="L183" i="196"/>
  <c r="M183" i="196"/>
  <c r="W156" i="196"/>
  <c r="W158" i="196" s="1"/>
  <c r="W185" i="196" s="1"/>
  <c r="V183" i="196"/>
  <c r="AD156" i="196"/>
  <c r="AD158" i="196" s="1"/>
  <c r="Q156" i="196"/>
  <c r="Q158" i="196" s="1"/>
  <c r="AM156" i="196"/>
  <c r="AM158" i="196" s="1"/>
  <c r="AH156" i="196"/>
  <c r="AH158" i="196" s="1"/>
  <c r="AN156" i="196"/>
  <c r="AN158" i="196" s="1"/>
  <c r="AA183" i="196"/>
  <c r="N183" i="196"/>
  <c r="T183" i="196"/>
  <c r="AD183" i="196"/>
  <c r="AJ183" i="196"/>
  <c r="K156" i="196"/>
  <c r="K158" i="196" s="1"/>
  <c r="AN183" i="196"/>
  <c r="AO156" i="196"/>
  <c r="AO158" i="196" s="1"/>
  <c r="P183" i="196"/>
  <c r="AG156" i="196"/>
  <c r="AG158" i="196" s="1"/>
  <c r="AG183" i="196"/>
  <c r="AC156" i="196"/>
  <c r="AC158" i="196" s="1"/>
  <c r="V156" i="196"/>
  <c r="V158" i="196" s="1"/>
  <c r="AF183" i="196"/>
  <c r="AK183" i="196"/>
  <c r="M156" i="196"/>
  <c r="M158" i="196" s="1"/>
  <c r="X204" i="186"/>
  <c r="X206" i="186" s="1"/>
  <c r="U204" i="186"/>
  <c r="U206" i="186" s="1"/>
  <c r="N65" i="195"/>
  <c r="O65" i="195"/>
  <c r="H38" i="187" a="1"/>
  <c r="H38" i="187" s="1"/>
  <c r="J48" i="55" s="1"/>
  <c r="Y204" i="186"/>
  <c r="Y206" i="186" s="1"/>
  <c r="Y48" i="196"/>
  <c r="Y47" i="197" s="1"/>
  <c r="AA48" i="196"/>
  <c r="AA47" i="197" s="1"/>
  <c r="X48" i="196"/>
  <c r="X47" i="197" s="1"/>
  <c r="Z48" i="196"/>
  <c r="Z47" i="197" s="1"/>
  <c r="W48" i="196"/>
  <c r="W47" i="197" s="1"/>
  <c r="U48" i="196"/>
  <c r="U47" i="197" s="1"/>
  <c r="R48" i="196"/>
  <c r="R47" i="197" s="1"/>
  <c r="V48" i="196"/>
  <c r="V47" i="197" s="1"/>
  <c r="S48" i="196"/>
  <c r="S47" i="197" s="1"/>
  <c r="T48" i="196"/>
  <c r="T47" i="197" s="1"/>
  <c r="J29" i="196"/>
  <c r="J48" i="196" s="1"/>
  <c r="J47" i="197" s="1"/>
  <c r="J55" i="195"/>
  <c r="J59" i="195"/>
  <c r="R204" i="186"/>
  <c r="R206" i="186" s="1"/>
  <c r="AD48" i="196"/>
  <c r="AD47" i="197" s="1"/>
  <c r="Q21" i="182"/>
  <c r="Q23" i="182" s="1"/>
  <c r="R20" i="182"/>
  <c r="A2" i="28"/>
  <c r="A2" i="55"/>
  <c r="D14" i="27"/>
  <c r="D10" i="27"/>
  <c r="D8" i="27"/>
  <c r="D6" i="27"/>
  <c r="AF48" i="196" l="1"/>
  <c r="AF47" i="197" s="1"/>
  <c r="AB48" i="196"/>
  <c r="AB47" i="197" s="1"/>
  <c r="H61" i="195"/>
  <c r="H87" i="198" s="1"/>
  <c r="H130" i="198" s="1"/>
  <c r="AE48" i="196"/>
  <c r="AE47" i="197" s="1"/>
  <c r="O48" i="196"/>
  <c r="O47" i="197" s="1"/>
  <c r="N48" i="196"/>
  <c r="N47" i="197" s="1"/>
  <c r="P48" i="196"/>
  <c r="P47" i="197" s="1"/>
  <c r="M48" i="196"/>
  <c r="M47" i="197" s="1"/>
  <c r="X185" i="196"/>
  <c r="L185" i="196"/>
  <c r="T185" i="196"/>
  <c r="AH185" i="196"/>
  <c r="AA185" i="196"/>
  <c r="Q185" i="196"/>
  <c r="V185" i="196"/>
  <c r="AI185" i="196"/>
  <c r="AE185" i="196"/>
  <c r="O185" i="196"/>
  <c r="Y185" i="196"/>
  <c r="AF185" i="196"/>
  <c r="AO185" i="196"/>
  <c r="AL185" i="196"/>
  <c r="AK185" i="196"/>
  <c r="K185" i="196"/>
  <c r="AC185" i="196"/>
  <c r="AD185" i="196"/>
  <c r="M185" i="196"/>
  <c r="J185" i="196"/>
  <c r="U185" i="196"/>
  <c r="AB185" i="196"/>
  <c r="AJ185" i="196"/>
  <c r="P185" i="196"/>
  <c r="AN185" i="196"/>
  <c r="S185" i="196"/>
  <c r="AG185" i="196"/>
  <c r="Z185" i="196"/>
  <c r="R185" i="196"/>
  <c r="N185" i="196"/>
  <c r="AM185" i="196"/>
  <c r="A3" i="177"/>
  <c r="A3" i="185"/>
  <c r="A3" i="193"/>
  <c r="A3" i="182"/>
  <c r="A3" i="186"/>
  <c r="A3" i="194"/>
  <c r="A3" i="178"/>
  <c r="A3" i="190"/>
  <c r="A3" i="198"/>
  <c r="A3" i="183"/>
  <c r="A3" i="191"/>
  <c r="A3" i="192"/>
  <c r="A3" i="179"/>
  <c r="A3" i="187"/>
  <c r="A3" i="195"/>
  <c r="A3" i="196"/>
  <c r="A3" i="180"/>
  <c r="A3" i="184"/>
  <c r="A3" i="188"/>
  <c r="A3" i="181"/>
  <c r="A3" i="189"/>
  <c r="A3" i="197"/>
  <c r="A4" i="187"/>
  <c r="H57" i="195"/>
  <c r="J65" i="195"/>
  <c r="H67" i="195" s="1"/>
  <c r="H69" i="195" s="1"/>
  <c r="R21" i="182"/>
  <c r="R23" i="182" s="1"/>
  <c r="S20" i="182"/>
  <c r="S21" i="182" s="1"/>
  <c r="S23" i="182" s="1"/>
  <c r="A3" i="28"/>
  <c r="A3" i="93"/>
  <c r="A3" i="97"/>
  <c r="A3" i="92"/>
  <c r="A3" i="85"/>
  <c r="A3" i="94"/>
  <c r="A3" i="55"/>
  <c r="A3" i="96"/>
  <c r="A3" i="107"/>
  <c r="A3" i="84"/>
  <c r="A3" i="95"/>
  <c r="A3" i="100"/>
  <c r="A3" i="106"/>
  <c r="A3" i="98"/>
  <c r="H71" i="195" l="1" a="1"/>
  <c r="H71" i="195" s="1"/>
  <c r="H214" i="186" a="1"/>
  <c r="H218" i="186" s="1"/>
  <c r="H230" i="186" s="1"/>
  <c r="H187" i="196"/>
  <c r="AL189" i="196" s="1"/>
  <c r="H183" i="182" a="1"/>
  <c r="H183" i="182" s="1"/>
  <c r="A4" i="182" s="1"/>
  <c r="H86" i="198"/>
  <c r="H129" i="198" s="1"/>
  <c r="A1" i="28"/>
  <c r="H219" i="186" l="1"/>
  <c r="H231" i="186" s="1"/>
  <c r="T244" i="186" s="1"/>
  <c r="H221" i="186"/>
  <c r="H233" i="186" s="1"/>
  <c r="R246" i="186" s="1"/>
  <c r="H216" i="186"/>
  <c r="H228" i="186" s="1"/>
  <c r="U241" i="186" s="1"/>
  <c r="H220" i="186"/>
  <c r="H232" i="186" s="1"/>
  <c r="V245" i="186" s="1"/>
  <c r="H217" i="186"/>
  <c r="H229" i="186" s="1"/>
  <c r="Y255" i="186" s="1"/>
  <c r="H215" i="186"/>
  <c r="H227" i="186" s="1"/>
  <c r="J240" i="186" s="1"/>
  <c r="AD189" i="196"/>
  <c r="U189" i="196"/>
  <c r="AM189" i="196"/>
  <c r="AJ189" i="196"/>
  <c r="AF189" i="196"/>
  <c r="H222" i="186"/>
  <c r="R189" i="196"/>
  <c r="W189" i="196"/>
  <c r="S189" i="196"/>
  <c r="X189" i="196"/>
  <c r="AK189" i="196"/>
  <c r="Y189" i="196"/>
  <c r="AB189" i="196"/>
  <c r="L189" i="196"/>
  <c r="Q189" i="196"/>
  <c r="AA189" i="196"/>
  <c r="K189" i="196"/>
  <c r="AI189" i="196"/>
  <c r="AN189" i="196"/>
  <c r="AC189" i="196"/>
  <c r="AE189" i="196"/>
  <c r="AO189" i="196"/>
  <c r="V189" i="196"/>
  <c r="N189" i="196"/>
  <c r="AG189" i="196"/>
  <c r="H214" i="186"/>
  <c r="H226" i="186" s="1"/>
  <c r="H23" i="192" s="1"/>
  <c r="M189" i="196"/>
  <c r="P189" i="196"/>
  <c r="Z189" i="196"/>
  <c r="J189" i="196"/>
  <c r="T189" i="196"/>
  <c r="O189" i="196"/>
  <c r="AH189" i="196"/>
  <c r="J43" i="55"/>
  <c r="J56" i="55"/>
  <c r="A4" i="195"/>
  <c r="H28" i="192"/>
  <c r="R256" i="186"/>
  <c r="V243" i="186"/>
  <c r="T256" i="186"/>
  <c r="P243" i="186"/>
  <c r="S256" i="186"/>
  <c r="W243" i="186"/>
  <c r="M243" i="186"/>
  <c r="V256" i="186"/>
  <c r="O243" i="186"/>
  <c r="W256" i="186"/>
  <c r="K243" i="186"/>
  <c r="L243" i="186"/>
  <c r="X256" i="186"/>
  <c r="Q243" i="186"/>
  <c r="N243" i="186"/>
  <c r="J243" i="186"/>
  <c r="Y243" i="186"/>
  <c r="U256" i="186"/>
  <c r="X243" i="186"/>
  <c r="S243" i="186"/>
  <c r="R243" i="186"/>
  <c r="Y256" i="186"/>
  <c r="U243" i="186"/>
  <c r="T243" i="186"/>
  <c r="A4" i="100"/>
  <c r="A4" i="97"/>
  <c r="W244" i="186" l="1"/>
  <c r="V257" i="186"/>
  <c r="S257" i="186"/>
  <c r="X244" i="186"/>
  <c r="N244" i="186"/>
  <c r="P244" i="186"/>
  <c r="M244" i="186"/>
  <c r="R257" i="186"/>
  <c r="U244" i="186"/>
  <c r="L246" i="186"/>
  <c r="U257" i="186"/>
  <c r="R244" i="186"/>
  <c r="K244" i="186"/>
  <c r="Q244" i="186"/>
  <c r="V244" i="186"/>
  <c r="O246" i="186"/>
  <c r="S244" i="186"/>
  <c r="L244" i="186"/>
  <c r="Y257" i="186"/>
  <c r="Y244" i="186"/>
  <c r="H29" i="192"/>
  <c r="M138" i="192" s="1"/>
  <c r="T257" i="186"/>
  <c r="W257" i="186"/>
  <c r="J244" i="186"/>
  <c r="O244" i="186"/>
  <c r="X257" i="186"/>
  <c r="X246" i="186"/>
  <c r="N246" i="186"/>
  <c r="V259" i="186"/>
  <c r="J246" i="186"/>
  <c r="H31" i="192"/>
  <c r="O140" i="192" s="1"/>
  <c r="N240" i="186"/>
  <c r="S253" i="186"/>
  <c r="T254" i="186"/>
  <c r="Y254" i="186"/>
  <c r="Q241" i="186"/>
  <c r="T240" i="186"/>
  <c r="W253" i="186"/>
  <c r="P246" i="186"/>
  <c r="X259" i="186"/>
  <c r="T246" i="186"/>
  <c r="T259" i="186"/>
  <c r="Y259" i="186"/>
  <c r="W246" i="186"/>
  <c r="R259" i="186"/>
  <c r="U246" i="186"/>
  <c r="V246" i="186"/>
  <c r="S246" i="186"/>
  <c r="U259" i="186"/>
  <c r="Y246" i="186"/>
  <c r="K241" i="186"/>
  <c r="O241" i="186"/>
  <c r="M246" i="186"/>
  <c r="S259" i="186"/>
  <c r="K246" i="186"/>
  <c r="W259" i="186"/>
  <c r="Q246" i="186"/>
  <c r="V254" i="186"/>
  <c r="Q240" i="186"/>
  <c r="L240" i="186"/>
  <c r="W240" i="186"/>
  <c r="O240" i="186"/>
  <c r="Y240" i="186"/>
  <c r="P240" i="186"/>
  <c r="X253" i="186"/>
  <c r="M240" i="186"/>
  <c r="H24" i="192"/>
  <c r="O245" i="186"/>
  <c r="X241" i="186"/>
  <c r="V241" i="186"/>
  <c r="N241" i="186"/>
  <c r="H26" i="192"/>
  <c r="Q165" i="192" s="1"/>
  <c r="Q225" i="192" s="1"/>
  <c r="L241" i="186"/>
  <c r="R254" i="186"/>
  <c r="W254" i="186"/>
  <c r="X254" i="186"/>
  <c r="R241" i="186"/>
  <c r="S254" i="186"/>
  <c r="S241" i="186"/>
  <c r="U254" i="186"/>
  <c r="T241" i="186"/>
  <c r="T258" i="186"/>
  <c r="Y239" i="186"/>
  <c r="Y241" i="186"/>
  <c r="W241" i="186"/>
  <c r="J241" i="186"/>
  <c r="M241" i="186"/>
  <c r="P241" i="186"/>
  <c r="L245" i="186"/>
  <c r="X245" i="186"/>
  <c r="V239" i="186"/>
  <c r="Y245" i="186"/>
  <c r="S258" i="186"/>
  <c r="Y252" i="186"/>
  <c r="W258" i="186"/>
  <c r="J239" i="186"/>
  <c r="J245" i="186"/>
  <c r="T245" i="186"/>
  <c r="M245" i="186"/>
  <c r="H30" i="192"/>
  <c r="N169" i="192" s="1"/>
  <c r="N229" i="192" s="1"/>
  <c r="U252" i="186"/>
  <c r="Y258" i="186"/>
  <c r="Q245" i="186"/>
  <c r="N245" i="186"/>
  <c r="U255" i="186"/>
  <c r="L242" i="186"/>
  <c r="X255" i="186"/>
  <c r="R255" i="186"/>
  <c r="N242" i="186"/>
  <c r="S242" i="186"/>
  <c r="T242" i="186"/>
  <c r="V242" i="186"/>
  <c r="Y242" i="186"/>
  <c r="V252" i="186"/>
  <c r="K239" i="186"/>
  <c r="S245" i="186"/>
  <c r="W245" i="186"/>
  <c r="U258" i="186"/>
  <c r="U245" i="186"/>
  <c r="V258" i="186"/>
  <c r="K245" i="186"/>
  <c r="X242" i="186"/>
  <c r="K242" i="186"/>
  <c r="O242" i="186"/>
  <c r="V255" i="186"/>
  <c r="R242" i="186"/>
  <c r="X258" i="186"/>
  <c r="R245" i="186"/>
  <c r="R258" i="186"/>
  <c r="P245" i="186"/>
  <c r="J242" i="186"/>
  <c r="S255" i="186"/>
  <c r="P242" i="186"/>
  <c r="T255" i="186"/>
  <c r="H27" i="192"/>
  <c r="P166" i="192" s="1"/>
  <c r="P226" i="192" s="1"/>
  <c r="H25" i="192"/>
  <c r="N134" i="192" s="1"/>
  <c r="V253" i="186"/>
  <c r="V240" i="186"/>
  <c r="S240" i="186"/>
  <c r="U240" i="186"/>
  <c r="R253" i="186"/>
  <c r="K240" i="186"/>
  <c r="T253" i="186"/>
  <c r="Y253" i="186"/>
  <c r="R240" i="186"/>
  <c r="X240" i="186"/>
  <c r="U253" i="186"/>
  <c r="M242" i="186"/>
  <c r="U242" i="186"/>
  <c r="Q242" i="186"/>
  <c r="W242" i="186"/>
  <c r="W255" i="186"/>
  <c r="W252" i="186"/>
  <c r="Q239" i="186"/>
  <c r="R239" i="186"/>
  <c r="P239" i="186"/>
  <c r="S239" i="186"/>
  <c r="U239" i="186"/>
  <c r="R252" i="186"/>
  <c r="T252" i="186"/>
  <c r="T239" i="186"/>
  <c r="W239" i="186"/>
  <c r="S252" i="186"/>
  <c r="X252" i="186"/>
  <c r="X239" i="186"/>
  <c r="M239" i="186"/>
  <c r="N239" i="186"/>
  <c r="O239" i="186"/>
  <c r="L239" i="186"/>
  <c r="J137" i="192"/>
  <c r="O167" i="192"/>
  <c r="O227" i="192" s="1"/>
  <c r="P137" i="192"/>
  <c r="M167" i="192"/>
  <c r="M227" i="192" s="1"/>
  <c r="O137" i="192"/>
  <c r="P167" i="192"/>
  <c r="P227" i="192" s="1"/>
  <c r="M137" i="192"/>
  <c r="J167" i="192"/>
  <c r="J227" i="192" s="1"/>
  <c r="Q167" i="192"/>
  <c r="Q227" i="192" s="1"/>
  <c r="Q137" i="192"/>
  <c r="N137" i="192"/>
  <c r="L137" i="192"/>
  <c r="K167" i="192"/>
  <c r="K227" i="192" s="1"/>
  <c r="N167" i="192"/>
  <c r="N227" i="192" s="1"/>
  <c r="L167" i="192"/>
  <c r="L227" i="192" s="1"/>
  <c r="K137" i="192"/>
  <c r="A4" i="180"/>
  <c r="U259" i="185"/>
  <c r="T230" i="185"/>
  <c r="J248" i="185"/>
  <c r="W240" i="185"/>
  <c r="R242" i="185"/>
  <c r="L253" i="185"/>
  <c r="R237" i="185"/>
  <c r="M248" i="185"/>
  <c r="R231" i="185"/>
  <c r="R247" i="185"/>
  <c r="X244" i="185"/>
  <c r="X248" i="185"/>
  <c r="U258" i="185"/>
  <c r="R234" i="185"/>
  <c r="L257" i="185"/>
  <c r="X253" i="185"/>
  <c r="X245" i="185"/>
  <c r="X237" i="185"/>
  <c r="J230" i="185"/>
  <c r="Q243" i="185"/>
  <c r="K243" i="185"/>
  <c r="M245" i="185"/>
  <c r="T252" i="185"/>
  <c r="N258" i="185"/>
  <c r="P232" i="185"/>
  <c r="Q253" i="185"/>
  <c r="L256" i="185"/>
  <c r="K254" i="185"/>
  <c r="J232" i="185"/>
  <c r="M254" i="185"/>
  <c r="N237" i="185"/>
  <c r="T253" i="185"/>
  <c r="Q256" i="185"/>
  <c r="K233" i="185"/>
  <c r="U240" i="185"/>
  <c r="N240" i="185"/>
  <c r="T257" i="185"/>
  <c r="Y236" i="185"/>
  <c r="L240" i="185"/>
  <c r="S259" i="185"/>
  <c r="M257" i="185"/>
  <c r="J245" i="185"/>
  <c r="N235" i="185"/>
  <c r="P244" i="185"/>
  <c r="R255" i="185"/>
  <c r="R254" i="185"/>
  <c r="X255" i="185"/>
  <c r="T258" i="185"/>
  <c r="P229" i="185"/>
  <c r="V247" i="185"/>
  <c r="P248" i="185"/>
  <c r="Y242" i="185"/>
  <c r="U242" i="185"/>
  <c r="P245" i="185"/>
  <c r="O241" i="185"/>
  <c r="N241" i="185"/>
  <c r="M235" i="185"/>
  <c r="Y245" i="185"/>
  <c r="T229" i="185"/>
  <c r="T234" i="185"/>
  <c r="L233" i="185"/>
  <c r="V245" i="185"/>
  <c r="L251" i="185"/>
  <c r="X256" i="185"/>
  <c r="S247" i="185"/>
  <c r="P258" i="185"/>
  <c r="M246" i="185"/>
  <c r="N231" i="185"/>
  <c r="J258" i="185"/>
  <c r="U252" i="185"/>
  <c r="Q234" i="185"/>
  <c r="K232" i="185"/>
  <c r="J256" i="185"/>
  <c r="W233" i="185"/>
  <c r="N255" i="185"/>
  <c r="T245" i="185"/>
  <c r="Q258" i="185"/>
  <c r="O248" i="185"/>
  <c r="O234" i="185"/>
  <c r="L241" i="185"/>
  <c r="X234" i="185"/>
  <c r="Q257" i="185"/>
  <c r="U253" i="185"/>
  <c r="L248" i="185"/>
  <c r="U246" i="185"/>
  <c r="K245" i="185"/>
  <c r="P254" i="185"/>
  <c r="L230" i="185"/>
  <c r="O254" i="185"/>
  <c r="R244" i="185"/>
  <c r="S231" i="185"/>
  <c r="V256" i="185"/>
  <c r="S258" i="185"/>
  <c r="T247" i="185"/>
  <c r="N234" i="185"/>
  <c r="W234" i="185"/>
  <c r="X259" i="185"/>
  <c r="W259" i="185"/>
  <c r="S241" i="185"/>
  <c r="K235" i="185"/>
  <c r="W232" i="185"/>
  <c r="M229" i="185"/>
  <c r="R248" i="185"/>
  <c r="P230" i="185"/>
  <c r="U247" i="185"/>
  <c r="Q245" i="185"/>
  <c r="O256" i="185"/>
  <c r="K246" i="185"/>
  <c r="P251" i="185"/>
  <c r="X241" i="185"/>
  <c r="U237" i="185"/>
  <c r="U251" i="185"/>
  <c r="Q248" i="185"/>
  <c r="X247" i="185"/>
  <c r="K257" i="185"/>
  <c r="M258" i="185"/>
  <c r="N232" i="185"/>
  <c r="M255" i="185"/>
  <c r="X236" i="185"/>
  <c r="Q251" i="185"/>
  <c r="K244" i="185"/>
  <c r="W244" i="185"/>
  <c r="T232" i="185"/>
  <c r="N259" i="185"/>
  <c r="J242" i="185"/>
  <c r="Y231" i="185"/>
  <c r="R253" i="185"/>
  <c r="M256" i="185"/>
  <c r="U244" i="185"/>
  <c r="N230" i="185"/>
  <c r="J246" i="185"/>
  <c r="Y234" i="185"/>
  <c r="O240" i="185"/>
  <c r="J243" i="185"/>
  <c r="W257" i="185"/>
  <c r="N233" i="185"/>
  <c r="W254" i="185"/>
  <c r="Y237" i="185"/>
  <c r="O237" i="185"/>
  <c r="S252" i="185"/>
  <c r="M232" i="185"/>
  <c r="P259" i="185"/>
  <c r="V237" i="185"/>
  <c r="W258" i="185"/>
  <c r="Y240" i="185"/>
  <c r="L236" i="185"/>
  <c r="X232" i="185"/>
  <c r="P237" i="185"/>
  <c r="W230" i="185"/>
  <c r="L235" i="185"/>
  <c r="K259" i="185"/>
  <c r="K230" i="185"/>
  <c r="V251" i="185"/>
  <c r="L246" i="185"/>
  <c r="Q237" i="185"/>
  <c r="L237" i="185"/>
  <c r="X243" i="185"/>
  <c r="T246" i="185"/>
  <c r="U248" i="185"/>
  <c r="V230" i="185"/>
  <c r="O235" i="185"/>
  <c r="R258" i="185"/>
  <c r="T240" i="185"/>
  <c r="R245" i="185"/>
  <c r="W235" i="185"/>
  <c r="W245" i="185"/>
  <c r="N256" i="185"/>
  <c r="W242" i="185"/>
  <c r="Q235" i="185"/>
  <c r="L247" i="185"/>
  <c r="K236" i="185"/>
  <c r="P242" i="185"/>
  <c r="S230" i="185"/>
  <c r="L258" i="185"/>
  <c r="P240" i="185"/>
  <c r="Y255" i="185"/>
  <c r="J251" i="185"/>
  <c r="W243" i="185"/>
  <c r="T236" i="185"/>
  <c r="N254" i="185"/>
  <c r="T233" i="185"/>
  <c r="Y258" i="185"/>
  <c r="S233" i="185"/>
  <c r="M230" i="185"/>
  <c r="P255" i="185"/>
  <c r="N257" i="185"/>
  <c r="P252" i="185"/>
  <c r="U255" i="185"/>
  <c r="Q252" i="185"/>
  <c r="S244" i="185"/>
  <c r="S251" i="185"/>
  <c r="J257" i="185"/>
  <c r="N252" i="185"/>
  <c r="P256" i="185"/>
  <c r="Y232" i="185"/>
  <c r="R229" i="185"/>
  <c r="X235" i="185"/>
  <c r="K256" i="185"/>
  <c r="T243" i="185"/>
  <c r="P231" i="185"/>
  <c r="N247" i="185"/>
  <c r="M243" i="185"/>
  <c r="L232" i="185"/>
  <c r="L231" i="185"/>
  <c r="M236" i="185"/>
  <c r="O246" i="185"/>
  <c r="V240" i="185"/>
  <c r="X246" i="185"/>
  <c r="S229" i="185"/>
  <c r="J236" i="185"/>
  <c r="R256" i="185"/>
  <c r="T254" i="185"/>
  <c r="V236" i="185"/>
  <c r="U231" i="185"/>
  <c r="X251" i="185"/>
  <c r="S240" i="185"/>
  <c r="J229" i="185"/>
  <c r="V232" i="185"/>
  <c r="Y235" i="185"/>
  <c r="P253" i="185"/>
  <c r="O251" i="185"/>
  <c r="O245" i="185"/>
  <c r="Q229" i="185"/>
  <c r="V257" i="185"/>
  <c r="P247" i="185"/>
  <c r="O236" i="185"/>
  <c r="V255" i="185"/>
  <c r="T237" i="185"/>
  <c r="Y253" i="185"/>
  <c r="J247" i="185"/>
  <c r="V248" i="185"/>
  <c r="O233" i="185"/>
  <c r="O253" i="185"/>
  <c r="R241" i="185"/>
  <c r="L259" i="185"/>
  <c r="U254" i="185"/>
  <c r="P257" i="185"/>
  <c r="R259" i="185"/>
  <c r="V243" i="185"/>
  <c r="U233" i="185"/>
  <c r="L252" i="185"/>
  <c r="J241" i="185"/>
  <c r="M244" i="185"/>
  <c r="U256" i="185"/>
  <c r="V254" i="185"/>
  <c r="X254" i="185"/>
  <c r="Y241" i="185"/>
  <c r="O257" i="185"/>
  <c r="L243" i="185"/>
  <c r="P233" i="185"/>
  <c r="P243" i="185"/>
  <c r="N248" i="185"/>
  <c r="K251" i="185"/>
  <c r="Q259" i="185"/>
  <c r="U234" i="185"/>
  <c r="J259" i="185"/>
  <c r="K240" i="185"/>
  <c r="V252" i="185"/>
  <c r="U245" i="185"/>
  <c r="L245" i="185"/>
  <c r="Y247" i="185"/>
  <c r="S254" i="185"/>
  <c r="X230" i="185"/>
  <c r="M234" i="185"/>
  <c r="N246" i="185"/>
  <c r="M231" i="185"/>
  <c r="Q241" i="185"/>
  <c r="S257" i="185"/>
  <c r="W248" i="185"/>
  <c r="J253" i="185"/>
  <c r="R236" i="185"/>
  <c r="K229" i="185"/>
  <c r="Q244" i="185"/>
  <c r="S236" i="185"/>
  <c r="M237" i="185"/>
  <c r="T244" i="185"/>
  <c r="N244" i="185"/>
  <c r="J254" i="185"/>
  <c r="Y256" i="185"/>
  <c r="R233" i="185"/>
  <c r="K248" i="185"/>
  <c r="U230" i="185"/>
  <c r="X229" i="185"/>
  <c r="O259" i="185"/>
  <c r="K241" i="185"/>
  <c r="Y251" i="185"/>
  <c r="K253" i="185"/>
  <c r="W256" i="185"/>
  <c r="M242" i="185"/>
  <c r="N236" i="185"/>
  <c r="U241" i="185"/>
  <c r="Y248" i="185"/>
  <c r="Y243" i="185"/>
  <c r="S253" i="185"/>
  <c r="T251" i="185"/>
  <c r="Q254" i="185"/>
  <c r="K234" i="185"/>
  <c r="M233" i="185"/>
  <c r="V242" i="185"/>
  <c r="W255" i="185"/>
  <c r="J233" i="185"/>
  <c r="J234" i="185"/>
  <c r="Q232" i="185"/>
  <c r="M253" i="185"/>
  <c r="J240" i="185"/>
  <c r="R235" i="185"/>
  <c r="U236" i="185"/>
  <c r="T241" i="185"/>
  <c r="O252" i="185"/>
  <c r="J255" i="185"/>
  <c r="R243" i="185"/>
  <c r="V235" i="185"/>
  <c r="O231" i="185"/>
  <c r="Y230" i="185"/>
  <c r="K252" i="185"/>
  <c r="W231" i="185"/>
  <c r="U232" i="185"/>
  <c r="V246" i="185"/>
  <c r="R252" i="185"/>
  <c r="Y233" i="185"/>
  <c r="O230" i="185"/>
  <c r="J231" i="185"/>
  <c r="M241" i="185"/>
  <c r="X258" i="185"/>
  <c r="O232" i="185"/>
  <c r="J235" i="185"/>
  <c r="O258" i="185"/>
  <c r="V244" i="185"/>
  <c r="O243" i="185"/>
  <c r="Q230" i="185"/>
  <c r="S246" i="185"/>
  <c r="T259" i="185"/>
  <c r="W253" i="185"/>
  <c r="O247" i="185"/>
  <c r="U229" i="185"/>
  <c r="Q233" i="185"/>
  <c r="K242" i="185"/>
  <c r="T235" i="185"/>
  <c r="M251" i="185"/>
  <c r="L234" i="185"/>
  <c r="Q236" i="185"/>
  <c r="L242" i="185"/>
  <c r="S237" i="185"/>
  <c r="S248" i="185"/>
  <c r="W241" i="185"/>
  <c r="S235" i="185"/>
  <c r="N243" i="185"/>
  <c r="W246" i="185"/>
  <c r="K247" i="185"/>
  <c r="U235" i="185"/>
  <c r="X252" i="185"/>
  <c r="X233" i="185"/>
  <c r="V253" i="185"/>
  <c r="X240" i="185"/>
  <c r="R240" i="185"/>
  <c r="L244" i="185"/>
  <c r="U243" i="185"/>
  <c r="S242" i="185"/>
  <c r="T242" i="185"/>
  <c r="W237" i="185"/>
  <c r="V259" i="185"/>
  <c r="W229" i="185"/>
  <c r="Y254" i="185"/>
  <c r="O229" i="185"/>
  <c r="N229" i="185"/>
  <c r="L229" i="185"/>
  <c r="Y257" i="185"/>
  <c r="S232" i="185"/>
  <c r="V241" i="185"/>
  <c r="K231" i="185"/>
  <c r="P246" i="185"/>
  <c r="U257" i="185"/>
  <c r="Q231" i="185"/>
  <c r="Y259" i="185"/>
  <c r="P234" i="185"/>
  <c r="T256" i="185"/>
  <c r="N245" i="185"/>
  <c r="Y244" i="185"/>
  <c r="T231" i="185"/>
  <c r="R230" i="185"/>
  <c r="L255" i="185"/>
  <c r="W247" i="185"/>
  <c r="V258" i="185"/>
  <c r="X231" i="185"/>
  <c r="X257" i="185"/>
  <c r="X242" i="185"/>
  <c r="Q247" i="185"/>
  <c r="S255" i="185"/>
  <c r="T248" i="185"/>
  <c r="R251" i="185"/>
  <c r="S234" i="185"/>
  <c r="M240" i="185"/>
  <c r="P235" i="185"/>
  <c r="N242" i="185"/>
  <c r="M247" i="185"/>
  <c r="Y246" i="185"/>
  <c r="S245" i="185"/>
  <c r="W236" i="185"/>
  <c r="J237" i="185"/>
  <c r="N253" i="185"/>
  <c r="P236" i="185"/>
  <c r="R246" i="185"/>
  <c r="Q240" i="185"/>
  <c r="S256" i="185"/>
  <c r="T255" i="185"/>
  <c r="V233" i="185"/>
  <c r="L254" i="185"/>
  <c r="Y252" i="185"/>
  <c r="S243" i="185"/>
  <c r="M252" i="185"/>
  <c r="O242" i="185"/>
  <c r="N251" i="185"/>
  <c r="M259" i="185"/>
  <c r="Q246" i="185"/>
  <c r="K255" i="185"/>
  <c r="J244" i="185"/>
  <c r="V231" i="185"/>
  <c r="R232" i="185"/>
  <c r="R257" i="185"/>
  <c r="K258" i="185"/>
  <c r="W252" i="185"/>
  <c r="V234" i="185"/>
  <c r="W251" i="185"/>
  <c r="Y229" i="185"/>
  <c r="O244" i="185"/>
  <c r="K237" i="185"/>
  <c r="P241" i="185"/>
  <c r="V229" i="185"/>
  <c r="O255" i="185"/>
  <c r="J252" i="185"/>
  <c r="Q255" i="185"/>
  <c r="Q242" i="185"/>
  <c r="K69" i="185"/>
  <c r="K71" i="185"/>
  <c r="K73" i="185" s="1"/>
  <c r="N71" i="185"/>
  <c r="N73" i="185" s="1"/>
  <c r="N79" i="185" s="1"/>
  <c r="N85" i="185" s="1"/>
  <c r="M69" i="185"/>
  <c r="O69" i="185"/>
  <c r="L71" i="185"/>
  <c r="L73" i="185" s="1"/>
  <c r="P71" i="185"/>
  <c r="P73" i="185" s="1"/>
  <c r="P79" i="185" s="1"/>
  <c r="P85" i="185" s="1"/>
  <c r="Q200" i="186"/>
  <c r="Y54" i="185"/>
  <c r="Y93" i="185" s="1"/>
  <c r="P200" i="186"/>
  <c r="M71" i="185"/>
  <c r="M73" i="185" s="1"/>
  <c r="K54" i="185"/>
  <c r="Q54" i="185"/>
  <c r="Q93" i="185" s="1"/>
  <c r="O71" i="185"/>
  <c r="O73" i="185" s="1"/>
  <c r="O79" i="185" s="1"/>
  <c r="O85" i="185" s="1"/>
  <c r="J71" i="185"/>
  <c r="J73" i="185" s="1"/>
  <c r="U54" i="185"/>
  <c r="U93" i="185" s="1"/>
  <c r="J54" i="185"/>
  <c r="L69" i="185"/>
  <c r="L200" i="186"/>
  <c r="O200" i="186"/>
  <c r="P69" i="185"/>
  <c r="P54" i="185"/>
  <c r="N54" i="185"/>
  <c r="N200" i="186"/>
  <c r="R54" i="185"/>
  <c r="R93" i="185" s="1"/>
  <c r="M200" i="186"/>
  <c r="M20" i="194" s="1"/>
  <c r="K200" i="186"/>
  <c r="K20" i="194" s="1"/>
  <c r="J200" i="186"/>
  <c r="O54" i="185"/>
  <c r="N69" i="185"/>
  <c r="T54" i="185"/>
  <c r="T93" i="185" s="1"/>
  <c r="J69" i="185"/>
  <c r="S54" i="185"/>
  <c r="S93" i="185" s="1"/>
  <c r="W164" i="193"/>
  <c r="W199" i="193" s="1"/>
  <c r="W229" i="193" s="1"/>
  <c r="W165" i="193"/>
  <c r="W200" i="193" s="1"/>
  <c r="W230" i="193" s="1"/>
  <c r="Y166" i="193"/>
  <c r="Y201" i="193" s="1"/>
  <c r="Y231" i="193" s="1"/>
  <c r="X166" i="193"/>
  <c r="X201" i="193" s="1"/>
  <c r="X231" i="193" s="1"/>
  <c r="X167" i="193"/>
  <c r="X202" i="193" s="1"/>
  <c r="X232" i="193" s="1"/>
  <c r="X160" i="193"/>
  <c r="X195" i="193" s="1"/>
  <c r="X225" i="193" s="1"/>
  <c r="X161" i="193"/>
  <c r="X196" i="193" s="1"/>
  <c r="X226" i="193" s="1"/>
  <c r="R162" i="193"/>
  <c r="R197" i="193" s="1"/>
  <c r="R227" i="193" s="1"/>
  <c r="U163" i="193"/>
  <c r="U198" i="193" s="1"/>
  <c r="U228" i="193" s="1"/>
  <c r="X54" i="185"/>
  <c r="X93" i="185" s="1"/>
  <c r="V54" i="185"/>
  <c r="V93" i="185" s="1"/>
  <c r="W161" i="193"/>
  <c r="W196" i="193" s="1"/>
  <c r="W226" i="193" s="1"/>
  <c r="S163" i="193"/>
  <c r="S198" i="193" s="1"/>
  <c r="S228" i="193" s="1"/>
  <c r="R163" i="193"/>
  <c r="R198" i="193" s="1"/>
  <c r="R228" i="193" s="1"/>
  <c r="R161" i="193"/>
  <c r="R196" i="193" s="1"/>
  <c r="R226" i="193" s="1"/>
  <c r="W54" i="185"/>
  <c r="W93" i="185" s="1"/>
  <c r="Y167" i="193"/>
  <c r="Y202" i="193" s="1"/>
  <c r="Y232" i="193" s="1"/>
  <c r="Y160" i="193"/>
  <c r="Y195" i="193" s="1"/>
  <c r="Y225" i="193" s="1"/>
  <c r="S162" i="193"/>
  <c r="S197" i="193" s="1"/>
  <c r="S227" i="193" s="1"/>
  <c r="V163" i="193"/>
  <c r="V198" i="193" s="1"/>
  <c r="V228" i="193" s="1"/>
  <c r="V166" i="193"/>
  <c r="V201" i="193" s="1"/>
  <c r="V231" i="193" s="1"/>
  <c r="X162" i="193"/>
  <c r="X197" i="193" s="1"/>
  <c r="X227" i="193" s="1"/>
  <c r="W162" i="193"/>
  <c r="W197" i="193" s="1"/>
  <c r="W227" i="193" s="1"/>
  <c r="R167" i="193"/>
  <c r="R202" i="193" s="1"/>
  <c r="R232" i="193" s="1"/>
  <c r="U167" i="193"/>
  <c r="U202" i="193" s="1"/>
  <c r="U232" i="193" s="1"/>
  <c r="T162" i="193"/>
  <c r="T197" i="193" s="1"/>
  <c r="T227" i="193" s="1"/>
  <c r="Y161" i="193"/>
  <c r="Y196" i="193" s="1"/>
  <c r="Y226" i="193" s="1"/>
  <c r="M54" i="185"/>
  <c r="V162" i="193"/>
  <c r="V197" i="193" s="1"/>
  <c r="V227" i="193" s="1"/>
  <c r="U162" i="193"/>
  <c r="U197" i="193" s="1"/>
  <c r="U227" i="193" s="1"/>
  <c r="R166" i="193"/>
  <c r="R201" i="193" s="1"/>
  <c r="R231" i="193" s="1"/>
  <c r="W163" i="193"/>
  <c r="W198" i="193" s="1"/>
  <c r="W228" i="193" s="1"/>
  <c r="S161" i="193"/>
  <c r="S196" i="193" s="1"/>
  <c r="S226" i="193" s="1"/>
  <c r="V165" i="193"/>
  <c r="V200" i="193" s="1"/>
  <c r="V230" i="193" s="1"/>
  <c r="R160" i="193"/>
  <c r="R195" i="193" s="1"/>
  <c r="R225" i="193" s="1"/>
  <c r="X165" i="193"/>
  <c r="X200" i="193" s="1"/>
  <c r="X230" i="193" s="1"/>
  <c r="W160" i="193"/>
  <c r="W195" i="193" s="1"/>
  <c r="W225" i="193" s="1"/>
  <c r="R165" i="193"/>
  <c r="R200" i="193" s="1"/>
  <c r="R230" i="193" s="1"/>
  <c r="S166" i="193"/>
  <c r="S201" i="193" s="1"/>
  <c r="S231" i="193" s="1"/>
  <c r="T128" i="189"/>
  <c r="S124" i="189"/>
  <c r="Y124" i="189"/>
  <c r="U130" i="189"/>
  <c r="X132" i="189"/>
  <c r="W126" i="189"/>
  <c r="S126" i="189"/>
  <c r="R125" i="189"/>
  <c r="X125" i="189"/>
  <c r="Y125" i="189"/>
  <c r="R132" i="189"/>
  <c r="Q132" i="189"/>
  <c r="Q132" i="193" s="1"/>
  <c r="Q202" i="193" s="1"/>
  <c r="Q232" i="193" s="1"/>
  <c r="X124" i="189"/>
  <c r="X126" i="189"/>
  <c r="W125" i="189"/>
  <c r="Y123" i="189"/>
  <c r="T164" i="193"/>
  <c r="T199" i="193" s="1"/>
  <c r="T229" i="193" s="1"/>
  <c r="Y163" i="193"/>
  <c r="Y198" i="193" s="1"/>
  <c r="Y228" i="193" s="1"/>
  <c r="Y164" i="193"/>
  <c r="Y199" i="193" s="1"/>
  <c r="Y229" i="193" s="1"/>
  <c r="T161" i="193"/>
  <c r="T196" i="193" s="1"/>
  <c r="T226" i="193" s="1"/>
  <c r="Y165" i="193"/>
  <c r="Y200" i="193" s="1"/>
  <c r="Y230" i="193" s="1"/>
  <c r="U128" i="189"/>
  <c r="T129" i="189"/>
  <c r="S129" i="189"/>
  <c r="X131" i="189"/>
  <c r="Y131" i="189"/>
  <c r="Q131" i="189"/>
  <c r="Q131" i="193" s="1"/>
  <c r="Q201" i="193" s="1"/>
  <c r="Q231" i="193" s="1"/>
  <c r="V130" i="189"/>
  <c r="X127" i="189"/>
  <c r="Q127" i="189"/>
  <c r="Q127" i="193" s="1"/>
  <c r="Q197" i="193" s="1"/>
  <c r="Q227" i="193" s="1"/>
  <c r="S167" i="193"/>
  <c r="S202" i="193" s="1"/>
  <c r="S232" i="193" s="1"/>
  <c r="S160" i="193"/>
  <c r="S195" i="193" s="1"/>
  <c r="S225" i="193" s="1"/>
  <c r="T167" i="193"/>
  <c r="T202" i="193" s="1"/>
  <c r="T232" i="193" s="1"/>
  <c r="W130" i="189"/>
  <c r="S130" i="189"/>
  <c r="T132" i="189"/>
  <c r="R126" i="189"/>
  <c r="Q126" i="189"/>
  <c r="Q126" i="193" s="1"/>
  <c r="Q196" i="193" s="1"/>
  <c r="Q226" i="193" s="1"/>
  <c r="U165" i="193"/>
  <c r="U200" i="193" s="1"/>
  <c r="U230" i="193" s="1"/>
  <c r="T165" i="193"/>
  <c r="T200" i="193" s="1"/>
  <c r="T230" i="193" s="1"/>
  <c r="T166" i="193"/>
  <c r="T201" i="193" s="1"/>
  <c r="T231" i="193" s="1"/>
  <c r="U160" i="193"/>
  <c r="U195" i="193" s="1"/>
  <c r="U225" i="193" s="1"/>
  <c r="V128" i="189"/>
  <c r="S128" i="189"/>
  <c r="U129" i="189"/>
  <c r="R131" i="189"/>
  <c r="V124" i="189"/>
  <c r="X130" i="189"/>
  <c r="R127" i="189"/>
  <c r="Y127" i="189"/>
  <c r="U132" i="189"/>
  <c r="Y132" i="189"/>
  <c r="W124" i="189"/>
  <c r="T125" i="189"/>
  <c r="S125" i="189"/>
  <c r="V123" i="189"/>
  <c r="T123" i="189"/>
  <c r="Y130" i="189"/>
  <c r="V167" i="193"/>
  <c r="V202" i="193" s="1"/>
  <c r="V232" i="193" s="1"/>
  <c r="U164" i="193"/>
  <c r="U199" i="193" s="1"/>
  <c r="U229" i="193" s="1"/>
  <c r="V164" i="193"/>
  <c r="V199" i="193" s="1"/>
  <c r="V229" i="193" s="1"/>
  <c r="Q124" i="189"/>
  <c r="U124" i="189"/>
  <c r="T124" i="189"/>
  <c r="V129" i="189"/>
  <c r="Q129" i="189"/>
  <c r="Q129" i="193" s="1"/>
  <c r="Q199" i="193" s="1"/>
  <c r="Q229" i="193" s="1"/>
  <c r="W123" i="189"/>
  <c r="T131" i="189"/>
  <c r="R130" i="189"/>
  <c r="T127" i="189"/>
  <c r="V160" i="193"/>
  <c r="V195" i="193" s="1"/>
  <c r="V225" i="193" s="1"/>
  <c r="X128" i="189"/>
  <c r="L54" i="185"/>
  <c r="X129" i="189"/>
  <c r="Y129" i="189"/>
  <c r="R123" i="189"/>
  <c r="V131" i="189"/>
  <c r="V127" i="189"/>
  <c r="S127" i="189"/>
  <c r="R124" i="189"/>
  <c r="U126" i="189"/>
  <c r="V125" i="189"/>
  <c r="Y128" i="189"/>
  <c r="U123" i="189"/>
  <c r="W132" i="189"/>
  <c r="V126" i="189"/>
  <c r="X163" i="193"/>
  <c r="X198" i="193" s="1"/>
  <c r="X228" i="193" s="1"/>
  <c r="S164" i="193"/>
  <c r="S199" i="193" s="1"/>
  <c r="S229" i="193" s="1"/>
  <c r="U166" i="193"/>
  <c r="U201" i="193" s="1"/>
  <c r="U231" i="193" s="1"/>
  <c r="R164" i="193"/>
  <c r="R199" i="193" s="1"/>
  <c r="R229" i="193" s="1"/>
  <c r="W128" i="189"/>
  <c r="W129" i="189"/>
  <c r="U131" i="189"/>
  <c r="S131" i="189"/>
  <c r="Q130" i="189"/>
  <c r="Q130" i="193" s="1"/>
  <c r="Q200" i="193" s="1"/>
  <c r="Q230" i="193" s="1"/>
  <c r="U127" i="189"/>
  <c r="V132" i="189"/>
  <c r="T126" i="189"/>
  <c r="Y126" i="189"/>
  <c r="U125" i="189"/>
  <c r="X123" i="189"/>
  <c r="S165" i="193"/>
  <c r="S200" i="193" s="1"/>
  <c r="S230" i="193" s="1"/>
  <c r="V161" i="193"/>
  <c r="V196" i="193" s="1"/>
  <c r="V226" i="193" s="1"/>
  <c r="W166" i="193"/>
  <c r="W201" i="193" s="1"/>
  <c r="W231" i="193" s="1"/>
  <c r="T160" i="193"/>
  <c r="T195" i="193" s="1"/>
  <c r="T225" i="193" s="1"/>
  <c r="S132" i="189"/>
  <c r="Q123" i="189"/>
  <c r="T163" i="193"/>
  <c r="T198" i="193" s="1"/>
  <c r="T228" i="193" s="1"/>
  <c r="X164" i="193"/>
  <c r="X199" i="193" s="1"/>
  <c r="X229" i="193" s="1"/>
  <c r="W167" i="193"/>
  <c r="W202" i="193" s="1"/>
  <c r="W232" i="193" s="1"/>
  <c r="U161" i="193"/>
  <c r="U196" i="193" s="1"/>
  <c r="U226" i="193" s="1"/>
  <c r="Y162" i="193"/>
  <c r="Y197" i="193" s="1"/>
  <c r="Y227" i="193" s="1"/>
  <c r="R128" i="189"/>
  <c r="Q128" i="189"/>
  <c r="Q128" i="193" s="1"/>
  <c r="Q198" i="193" s="1"/>
  <c r="Q228" i="193" s="1"/>
  <c r="R129" i="189"/>
  <c r="W131" i="189"/>
  <c r="S123" i="189"/>
  <c r="T130" i="189"/>
  <c r="W127" i="189"/>
  <c r="Q125" i="189"/>
  <c r="Q125" i="193" s="1"/>
  <c r="Q195" i="193" s="1"/>
  <c r="Q225" i="193" s="1"/>
  <c r="N170" i="192" l="1"/>
  <c r="N230" i="192" s="1"/>
  <c r="O170" i="192"/>
  <c r="O230" i="192" s="1"/>
  <c r="N140" i="192"/>
  <c r="N200" i="192" s="1"/>
  <c r="M140" i="192"/>
  <c r="M200" i="192" s="1"/>
  <c r="P170" i="192"/>
  <c r="P230" i="192" s="1"/>
  <c r="J140" i="192"/>
  <c r="J270" i="192" s="1"/>
  <c r="J33" i="194" s="1"/>
  <c r="Q170" i="192"/>
  <c r="Q230" i="192" s="1"/>
  <c r="L140" i="192"/>
  <c r="L200" i="192" s="1"/>
  <c r="Q140" i="192"/>
  <c r="Q270" i="192" s="1"/>
  <c r="Q33" i="194" s="1"/>
  <c r="N168" i="192"/>
  <c r="N228" i="192" s="1"/>
  <c r="L168" i="192"/>
  <c r="L228" i="192" s="1"/>
  <c r="K138" i="192"/>
  <c r="K198" i="192" s="1"/>
  <c r="O168" i="192"/>
  <c r="O228" i="192" s="1"/>
  <c r="K168" i="192"/>
  <c r="K228" i="192" s="1"/>
  <c r="P138" i="192"/>
  <c r="P198" i="192" s="1"/>
  <c r="Q168" i="192"/>
  <c r="Q228" i="192" s="1"/>
  <c r="J168" i="192"/>
  <c r="J228" i="192" s="1"/>
  <c r="M168" i="192"/>
  <c r="M228" i="192" s="1"/>
  <c r="J138" i="192"/>
  <c r="J198" i="192" s="1"/>
  <c r="P168" i="192"/>
  <c r="P228" i="192" s="1"/>
  <c r="O138" i="192"/>
  <c r="O268" i="192" s="1"/>
  <c r="O31" i="194" s="1"/>
  <c r="P140" i="192"/>
  <c r="P270" i="192" s="1"/>
  <c r="P33" i="194" s="1"/>
  <c r="K170" i="192"/>
  <c r="K230" i="192" s="1"/>
  <c r="K140" i="192"/>
  <c r="K270" i="192" s="1"/>
  <c r="K33" i="194" s="1"/>
  <c r="K78" i="194" s="1"/>
  <c r="N138" i="192"/>
  <c r="N268" i="192" s="1"/>
  <c r="N31" i="194" s="1"/>
  <c r="Q138" i="192"/>
  <c r="Q198" i="192" s="1"/>
  <c r="L138" i="192"/>
  <c r="L268" i="192" s="1"/>
  <c r="L31" i="194" s="1"/>
  <c r="J170" i="192"/>
  <c r="J230" i="192" s="1"/>
  <c r="M170" i="192"/>
  <c r="M230" i="192" s="1"/>
  <c r="L170" i="192"/>
  <c r="L230" i="192" s="1"/>
  <c r="M165" i="192"/>
  <c r="M225" i="192" s="1"/>
  <c r="K135" i="192"/>
  <c r="K265" i="192" s="1"/>
  <c r="K28" i="194" s="1"/>
  <c r="K73" i="194" s="1"/>
  <c r="P136" i="192"/>
  <c r="P196" i="192" s="1"/>
  <c r="O165" i="192"/>
  <c r="O225" i="192" s="1"/>
  <c r="N135" i="192"/>
  <c r="N195" i="192" s="1"/>
  <c r="M135" i="192"/>
  <c r="M195" i="192" s="1"/>
  <c r="P165" i="192"/>
  <c r="P225" i="192" s="1"/>
  <c r="O135" i="192"/>
  <c r="O265" i="192" s="1"/>
  <c r="O28" i="194" s="1"/>
  <c r="J165" i="192"/>
  <c r="J225" i="192" s="1"/>
  <c r="J139" i="192"/>
  <c r="J199" i="192" s="1"/>
  <c r="L165" i="192"/>
  <c r="L225" i="192" s="1"/>
  <c r="K165" i="192"/>
  <c r="K225" i="192" s="1"/>
  <c r="J135" i="192"/>
  <c r="J195" i="192" s="1"/>
  <c r="Q135" i="192"/>
  <c r="Q265" i="192" s="1"/>
  <c r="Q28" i="194" s="1"/>
  <c r="L135" i="192"/>
  <c r="L265" i="192" s="1"/>
  <c r="L28" i="194" s="1"/>
  <c r="N165" i="192"/>
  <c r="N225" i="192" s="1"/>
  <c r="P135" i="192"/>
  <c r="P195" i="192" s="1"/>
  <c r="J169" i="192"/>
  <c r="J229" i="192" s="1"/>
  <c r="L169" i="192"/>
  <c r="L229" i="192" s="1"/>
  <c r="M139" i="192"/>
  <c r="M199" i="192" s="1"/>
  <c r="O139" i="192"/>
  <c r="O269" i="192" s="1"/>
  <c r="O32" i="194" s="1"/>
  <c r="P169" i="192"/>
  <c r="P229" i="192" s="1"/>
  <c r="K139" i="192"/>
  <c r="K269" i="192" s="1"/>
  <c r="K32" i="194" s="1"/>
  <c r="K77" i="194" s="1"/>
  <c r="N139" i="192"/>
  <c r="N269" i="192" s="1"/>
  <c r="N32" i="194" s="1"/>
  <c r="M169" i="192"/>
  <c r="M229" i="192" s="1"/>
  <c r="K169" i="192"/>
  <c r="K229" i="192" s="1"/>
  <c r="Q139" i="192"/>
  <c r="Q199" i="192" s="1"/>
  <c r="L139" i="192"/>
  <c r="L199" i="192" s="1"/>
  <c r="O169" i="192"/>
  <c r="O229" i="192" s="1"/>
  <c r="P139" i="192"/>
  <c r="P269" i="192" s="1"/>
  <c r="P32" i="194" s="1"/>
  <c r="Q169" i="192"/>
  <c r="Q229" i="192" s="1"/>
  <c r="K166" i="192"/>
  <c r="K226" i="192" s="1"/>
  <c r="Q166" i="192"/>
  <c r="Q226" i="192" s="1"/>
  <c r="O166" i="192"/>
  <c r="O226" i="192" s="1"/>
  <c r="L166" i="192"/>
  <c r="L226" i="192" s="1"/>
  <c r="N136" i="192"/>
  <c r="N266" i="192" s="1"/>
  <c r="N29" i="194" s="1"/>
  <c r="J136" i="192"/>
  <c r="J196" i="192" s="1"/>
  <c r="L136" i="192"/>
  <c r="L196" i="192" s="1"/>
  <c r="O136" i="192"/>
  <c r="O266" i="192" s="1"/>
  <c r="O29" i="194" s="1"/>
  <c r="N166" i="192"/>
  <c r="N226" i="192" s="1"/>
  <c r="M136" i="192"/>
  <c r="M196" i="192" s="1"/>
  <c r="K136" i="192"/>
  <c r="K266" i="192" s="1"/>
  <c r="K29" i="194" s="1"/>
  <c r="K74" i="194" s="1"/>
  <c r="J166" i="192"/>
  <c r="J226" i="192" s="1"/>
  <c r="M166" i="192"/>
  <c r="M226" i="192" s="1"/>
  <c r="Q136" i="192"/>
  <c r="Q196" i="192" s="1"/>
  <c r="L134" i="192"/>
  <c r="L194" i="192" s="1"/>
  <c r="M134" i="192"/>
  <c r="M194" i="192" s="1"/>
  <c r="P134" i="192"/>
  <c r="P194" i="192" s="1"/>
  <c r="J164" i="192"/>
  <c r="J224" i="192" s="1"/>
  <c r="Q164" i="192"/>
  <c r="Q224" i="192" s="1"/>
  <c r="Q134" i="192"/>
  <c r="Q264" i="192" s="1"/>
  <c r="Q27" i="194" s="1"/>
  <c r="N164" i="192"/>
  <c r="N224" i="192" s="1"/>
  <c r="M164" i="192"/>
  <c r="M224" i="192" s="1"/>
  <c r="O164" i="192"/>
  <c r="O224" i="192" s="1"/>
  <c r="K164" i="192"/>
  <c r="K224" i="192" s="1"/>
  <c r="P164" i="192"/>
  <c r="P224" i="192" s="1"/>
  <c r="K134" i="192"/>
  <c r="K194" i="192" s="1"/>
  <c r="O134" i="192"/>
  <c r="O194" i="192" s="1"/>
  <c r="J134" i="192"/>
  <c r="J264" i="192" s="1"/>
  <c r="J27" i="194" s="1"/>
  <c r="L164" i="192"/>
  <c r="L224" i="192" s="1"/>
  <c r="K197" i="192"/>
  <c r="K267" i="192"/>
  <c r="K30" i="194" s="1"/>
  <c r="K75" i="194" s="1"/>
  <c r="M197" i="192"/>
  <c r="M267" i="192"/>
  <c r="M30" i="194" s="1"/>
  <c r="M75" i="194" s="1"/>
  <c r="O197" i="192"/>
  <c r="O267" i="192"/>
  <c r="O30" i="194" s="1"/>
  <c r="L267" i="192"/>
  <c r="L30" i="194" s="1"/>
  <c r="L197" i="192"/>
  <c r="N194" i="192"/>
  <c r="N264" i="192"/>
  <c r="N27" i="194" s="1"/>
  <c r="N197" i="192"/>
  <c r="N267" i="192"/>
  <c r="N30" i="194" s="1"/>
  <c r="P267" i="192"/>
  <c r="P30" i="194" s="1"/>
  <c r="P197" i="192"/>
  <c r="Q197" i="192"/>
  <c r="Q267" i="192"/>
  <c r="Q30" i="194" s="1"/>
  <c r="O270" i="192"/>
  <c r="O33" i="194" s="1"/>
  <c r="O200" i="192"/>
  <c r="J267" i="192"/>
  <c r="J30" i="194" s="1"/>
  <c r="J197" i="192"/>
  <c r="M268" i="192"/>
  <c r="M31" i="194" s="1"/>
  <c r="M76" i="194" s="1"/>
  <c r="M198" i="192"/>
  <c r="O258" i="186"/>
  <c r="O252" i="186"/>
  <c r="O254" i="186"/>
  <c r="O259" i="186"/>
  <c r="O255" i="186"/>
  <c r="O257" i="186"/>
  <c r="O253" i="186"/>
  <c r="O256" i="186"/>
  <c r="P256" i="186"/>
  <c r="P258" i="186"/>
  <c r="P252" i="186"/>
  <c r="P254" i="186"/>
  <c r="P259" i="186"/>
  <c r="P255" i="186"/>
  <c r="P257" i="186"/>
  <c r="P253" i="186"/>
  <c r="N253" i="186"/>
  <c r="N256" i="186"/>
  <c r="N258" i="186"/>
  <c r="N252" i="186"/>
  <c r="N254" i="186"/>
  <c r="N259" i="186"/>
  <c r="N255" i="186"/>
  <c r="N257" i="186"/>
  <c r="P77" i="185"/>
  <c r="P83" i="185" s="1"/>
  <c r="P91" i="185" s="1"/>
  <c r="P267" i="185" s="1"/>
  <c r="P78" i="189" s="1"/>
  <c r="P126" i="189" s="1"/>
  <c r="P126" i="193" s="1"/>
  <c r="P196" i="193" s="1"/>
  <c r="P226" i="193" s="1"/>
  <c r="N77" i="185"/>
  <c r="N83" i="185" s="1"/>
  <c r="N91" i="185" s="1"/>
  <c r="N267" i="185" s="1"/>
  <c r="N78" i="189" s="1"/>
  <c r="N130" i="189" s="1"/>
  <c r="N130" i="193" s="1"/>
  <c r="N200" i="193" s="1"/>
  <c r="N230" i="193" s="1"/>
  <c r="O77" i="185"/>
  <c r="O83" i="185" s="1"/>
  <c r="O91" i="185" s="1"/>
  <c r="O267" i="185" s="1"/>
  <c r="O78" i="189" s="1"/>
  <c r="O127" i="189" s="1"/>
  <c r="O127" i="193" s="1"/>
  <c r="O197" i="193" s="1"/>
  <c r="O227" i="193" s="1"/>
  <c r="Y302" i="185"/>
  <c r="Y124" i="186" s="1"/>
  <c r="Y136" i="186" s="1"/>
  <c r="W295" i="185"/>
  <c r="W117" i="186" s="1"/>
  <c r="W129" i="186" s="1"/>
  <c r="T298" i="185"/>
  <c r="T110" i="189" s="1"/>
  <c r="T215" i="189" s="1"/>
  <c r="T87" i="191" s="1"/>
  <c r="T192" i="191" s="1"/>
  <c r="S288" i="185"/>
  <c r="S99" i="189" s="1"/>
  <c r="S187" i="189" s="1"/>
  <c r="S58" i="191" s="1"/>
  <c r="S163" i="191" s="1"/>
  <c r="T291" i="185"/>
  <c r="T102" i="189" s="1"/>
  <c r="T190" i="189" s="1"/>
  <c r="T61" i="191" s="1"/>
  <c r="T166" i="191" s="1"/>
  <c r="U286" i="185"/>
  <c r="U97" i="189" s="1"/>
  <c r="U185" i="189" s="1"/>
  <c r="U56" i="191" s="1"/>
  <c r="U161" i="191" s="1"/>
  <c r="W296" i="185"/>
  <c r="W108" i="189" s="1"/>
  <c r="W213" i="189" s="1"/>
  <c r="W85" i="191" s="1"/>
  <c r="W190" i="191" s="1"/>
  <c r="U275" i="185"/>
  <c r="U85" i="189" s="1"/>
  <c r="U156" i="189" s="1"/>
  <c r="U26" i="191" s="1"/>
  <c r="U131" i="191" s="1"/>
  <c r="Y286" i="185"/>
  <c r="Y96" i="186" s="1"/>
  <c r="Y108" i="186" s="1"/>
  <c r="W291" i="185"/>
  <c r="W102" i="189" s="1"/>
  <c r="W190" i="189" s="1"/>
  <c r="W61" i="191" s="1"/>
  <c r="W166" i="191" s="1"/>
  <c r="Y290" i="185"/>
  <c r="Y101" i="189" s="1"/>
  <c r="Y189" i="189" s="1"/>
  <c r="Y60" i="191" s="1"/>
  <c r="Y165" i="191" s="1"/>
  <c r="V297" i="185"/>
  <c r="V109" i="189" s="1"/>
  <c r="V214" i="189" s="1"/>
  <c r="V86" i="191" s="1"/>
  <c r="V191" i="191" s="1"/>
  <c r="Y296" i="185"/>
  <c r="Y118" i="186" s="1"/>
  <c r="Y130" i="186" s="1"/>
  <c r="V279" i="185"/>
  <c r="V89" i="189" s="1"/>
  <c r="V160" i="189" s="1"/>
  <c r="V30" i="191" s="1"/>
  <c r="V135" i="191" s="1"/>
  <c r="X278" i="185"/>
  <c r="X88" i="189" s="1"/>
  <c r="X159" i="189" s="1"/>
  <c r="X29" i="191" s="1"/>
  <c r="X134" i="191" s="1"/>
  <c r="T276" i="185"/>
  <c r="T74" i="186" s="1"/>
  <c r="T86" i="186" s="1"/>
  <c r="S273" i="185"/>
  <c r="S71" i="186" s="1"/>
  <c r="S83" i="186" s="1"/>
  <c r="W278" i="185"/>
  <c r="W88" i="189" s="1"/>
  <c r="W159" i="189" s="1"/>
  <c r="W29" i="191" s="1"/>
  <c r="W134" i="191" s="1"/>
  <c r="X286" i="185"/>
  <c r="X97" i="189" s="1"/>
  <c r="X185" i="189" s="1"/>
  <c r="X56" i="191" s="1"/>
  <c r="X161" i="191" s="1"/>
  <c r="W273" i="185"/>
  <c r="W83" i="189" s="1"/>
  <c r="W154" i="189" s="1"/>
  <c r="W24" i="191" s="1"/>
  <c r="W129" i="191" s="1"/>
  <c r="W275" i="185"/>
  <c r="W73" i="186" s="1"/>
  <c r="W85" i="186" s="1"/>
  <c r="S301" i="185"/>
  <c r="S113" i="189" s="1"/>
  <c r="S218" i="189" s="1"/>
  <c r="S90" i="191" s="1"/>
  <c r="S195" i="191" s="1"/>
  <c r="U289" i="185"/>
  <c r="U100" i="189" s="1"/>
  <c r="U188" i="189" s="1"/>
  <c r="U59" i="191" s="1"/>
  <c r="U164" i="191" s="1"/>
  <c r="U285" i="185"/>
  <c r="U96" i="189" s="1"/>
  <c r="U184" i="189" s="1"/>
  <c r="U55" i="191" s="1"/>
  <c r="U160" i="191" s="1"/>
  <c r="R298" i="185"/>
  <c r="R120" i="186" s="1"/>
  <c r="R132" i="186" s="1"/>
  <c r="T300" i="185"/>
  <c r="T122" i="186" s="1"/>
  <c r="T134" i="186" s="1"/>
  <c r="U301" i="185"/>
  <c r="U113" i="189" s="1"/>
  <c r="U218" i="189" s="1"/>
  <c r="U90" i="191" s="1"/>
  <c r="U195" i="191" s="1"/>
  <c r="R285" i="185"/>
  <c r="R95" i="186" s="1"/>
  <c r="R107" i="186" s="1"/>
  <c r="Q274" i="185"/>
  <c r="Q279" i="185"/>
  <c r="Q295" i="185"/>
  <c r="Q301" i="185"/>
  <c r="J20" i="194"/>
  <c r="J204" i="186"/>
  <c r="J206" i="186" s="1"/>
  <c r="J258" i="186"/>
  <c r="J257" i="186"/>
  <c r="J256" i="186"/>
  <c r="J255" i="186"/>
  <c r="J254" i="186"/>
  <c r="J253" i="186"/>
  <c r="J252" i="186"/>
  <c r="J259" i="186"/>
  <c r="O20" i="194"/>
  <c r="O204" i="186"/>
  <c r="O206" i="186" s="1"/>
  <c r="V272" i="185"/>
  <c r="S299" i="185"/>
  <c r="Y289" i="185"/>
  <c r="S298" i="185"/>
  <c r="R273" i="185"/>
  <c r="U300" i="185"/>
  <c r="W289" i="185"/>
  <c r="T302" i="185"/>
  <c r="X301" i="185"/>
  <c r="W274" i="185"/>
  <c r="T284" i="185"/>
  <c r="W298" i="185"/>
  <c r="Y291" i="185"/>
  <c r="T287" i="185"/>
  <c r="S300" i="185"/>
  <c r="U299" i="185"/>
  <c r="U297" i="185"/>
  <c r="T280" i="185"/>
  <c r="T297" i="185"/>
  <c r="R272" i="185"/>
  <c r="U298" i="185"/>
  <c r="R288" i="185"/>
  <c r="S295" i="185"/>
  <c r="Y277" i="185"/>
  <c r="V299" i="185"/>
  <c r="T288" i="185"/>
  <c r="T277" i="185"/>
  <c r="Y285" i="185"/>
  <c r="Q286" i="185"/>
  <c r="X291" i="185"/>
  <c r="W283" i="185"/>
  <c r="L20" i="194"/>
  <c r="L204" i="186"/>
  <c r="L206" i="186" s="1"/>
  <c r="L254" i="186"/>
  <c r="L253" i="186"/>
  <c r="L252" i="186"/>
  <c r="L255" i="186"/>
  <c r="L258" i="186"/>
  <c r="L256" i="186"/>
  <c r="L259" i="186"/>
  <c r="L257" i="186"/>
  <c r="R300" i="185"/>
  <c r="Q283" i="185"/>
  <c r="Q290" i="185"/>
  <c r="T274" i="185"/>
  <c r="Y297" i="185"/>
  <c r="R283" i="185"/>
  <c r="S289" i="185"/>
  <c r="U279" i="185"/>
  <c r="V285" i="185"/>
  <c r="U284" i="185"/>
  <c r="X272" i="185"/>
  <c r="Q284" i="185"/>
  <c r="U288" i="185"/>
  <c r="V298" i="185"/>
  <c r="Y278" i="185"/>
  <c r="R299" i="185"/>
  <c r="Y275" i="185"/>
  <c r="T279" i="185"/>
  <c r="T283" i="185"/>
  <c r="Q280" i="185"/>
  <c r="X275" i="185"/>
  <c r="T275" i="185"/>
  <c r="S284" i="185"/>
  <c r="S274" i="185"/>
  <c r="U296" i="185"/>
  <c r="T272" i="185"/>
  <c r="U283" i="185"/>
  <c r="X287" i="185"/>
  <c r="M77" i="185"/>
  <c r="M83" i="185" s="1"/>
  <c r="L77" i="185"/>
  <c r="L83" i="185" s="1"/>
  <c r="P20" i="194"/>
  <c r="P204" i="186"/>
  <c r="P206" i="186" s="1"/>
  <c r="R275" i="185"/>
  <c r="R289" i="185"/>
  <c r="X285" i="185"/>
  <c r="Y287" i="185"/>
  <c r="W272" i="185"/>
  <c r="X283" i="185"/>
  <c r="S278" i="185"/>
  <c r="T278" i="185"/>
  <c r="Q273" i="185"/>
  <c r="Y273" i="185"/>
  <c r="R278" i="185"/>
  <c r="U273" i="185"/>
  <c r="S279" i="185"/>
  <c r="V295" i="185"/>
  <c r="R284" i="185"/>
  <c r="V275" i="185"/>
  <c r="W286" i="185"/>
  <c r="R301" i="185"/>
  <c r="Y280" i="185"/>
  <c r="W287" i="185"/>
  <c r="X290" i="185"/>
  <c r="Q288" i="185"/>
  <c r="W302" i="185"/>
  <c r="R287" i="185"/>
  <c r="Q300" i="185"/>
  <c r="W276" i="185"/>
  <c r="Y288" i="185"/>
  <c r="V290" i="185"/>
  <c r="Q296" i="185"/>
  <c r="X280" i="185"/>
  <c r="R290" i="185"/>
  <c r="T273" i="185"/>
  <c r="V274" i="185"/>
  <c r="S286" i="185"/>
  <c r="X300" i="185"/>
  <c r="V284" i="185"/>
  <c r="V302" i="185"/>
  <c r="V296" i="185"/>
  <c r="W284" i="185"/>
  <c r="Q287" i="185"/>
  <c r="S272" i="185"/>
  <c r="Q278" i="185"/>
  <c r="V294" i="185"/>
  <c r="Y283" i="185"/>
  <c r="W297" i="185"/>
  <c r="U287" i="185"/>
  <c r="Q291" i="185"/>
  <c r="U290" i="185"/>
  <c r="X302" i="185"/>
  <c r="X277" i="185"/>
  <c r="S290" i="185"/>
  <c r="Q299" i="185"/>
  <c r="X288" i="185"/>
  <c r="R274" i="185"/>
  <c r="U302" i="185"/>
  <c r="J77" i="185"/>
  <c r="J83" i="185" s="1"/>
  <c r="K77" i="185"/>
  <c r="K83" i="185" s="1"/>
  <c r="N20" i="194"/>
  <c r="N204" i="186"/>
  <c r="Q20" i="194"/>
  <c r="Q204" i="186"/>
  <c r="Q206" i="186" s="1"/>
  <c r="Q259" i="186"/>
  <c r="Q258" i="186"/>
  <c r="Q256" i="186"/>
  <c r="Q257" i="186"/>
  <c r="Q255" i="186"/>
  <c r="Q254" i="186"/>
  <c r="Q253" i="186"/>
  <c r="Q252" i="186"/>
  <c r="Q285" i="185"/>
  <c r="Y272" i="185"/>
  <c r="Y295" i="185"/>
  <c r="X274" i="185"/>
  <c r="T299" i="185"/>
  <c r="S275" i="185"/>
  <c r="W280" i="185"/>
  <c r="X276" i="185"/>
  <c r="S291" i="185"/>
  <c r="Q276" i="185"/>
  <c r="V287" i="185"/>
  <c r="Y276" i="185"/>
  <c r="V278" i="185"/>
  <c r="Q297" i="185"/>
  <c r="W299" i="185"/>
  <c r="R276" i="185"/>
  <c r="U276" i="185"/>
  <c r="V300" i="185"/>
  <c r="S283" i="185"/>
  <c r="X289" i="185"/>
  <c r="Y298" i="185"/>
  <c r="W285" i="185"/>
  <c r="V273" i="185"/>
  <c r="W301" i="185"/>
  <c r="Q294" i="185"/>
  <c r="U294" i="185"/>
  <c r="W277" i="185"/>
  <c r="X299" i="185"/>
  <c r="T301" i="185"/>
  <c r="S302" i="185"/>
  <c r="T296" i="185"/>
  <c r="X296" i="185"/>
  <c r="K79" i="185"/>
  <c r="K85" i="185" s="1"/>
  <c r="J79" i="185"/>
  <c r="J85" i="185" s="1"/>
  <c r="Q298" i="185"/>
  <c r="W294" i="185"/>
  <c r="S277" i="185"/>
  <c r="V301" i="185"/>
  <c r="Y300" i="185"/>
  <c r="T285" i="185"/>
  <c r="X295" i="185"/>
  <c r="S280" i="185"/>
  <c r="U272" i="185"/>
  <c r="R295" i="185"/>
  <c r="R286" i="185"/>
  <c r="Q275" i="185"/>
  <c r="T294" i="185"/>
  <c r="Y299" i="185"/>
  <c r="R279" i="185"/>
  <c r="X273" i="185"/>
  <c r="U277" i="185"/>
  <c r="Y284" i="185"/>
  <c r="V286" i="185"/>
  <c r="V291" i="185"/>
  <c r="Q272" i="185"/>
  <c r="X294" i="185"/>
  <c r="V283" i="185"/>
  <c r="T286" i="185"/>
  <c r="S294" i="185"/>
  <c r="S276" i="185"/>
  <c r="U291" i="185"/>
  <c r="V280" i="185"/>
  <c r="W300" i="185"/>
  <c r="R296" i="185"/>
  <c r="X279" i="185"/>
  <c r="U280" i="185"/>
  <c r="R291" i="185"/>
  <c r="Q277" i="185"/>
  <c r="X298" i="185"/>
  <c r="T295" i="185"/>
  <c r="R280" i="185"/>
  <c r="M79" i="185"/>
  <c r="M85" i="185" s="1"/>
  <c r="L79" i="185"/>
  <c r="L85" i="185" s="1"/>
  <c r="V277" i="185"/>
  <c r="Q289" i="185"/>
  <c r="V276" i="185"/>
  <c r="W279" i="185"/>
  <c r="R294" i="185"/>
  <c r="W290" i="185"/>
  <c r="S285" i="185"/>
  <c r="U278" i="185"/>
  <c r="V289" i="185"/>
  <c r="S296" i="185"/>
  <c r="Y294" i="185"/>
  <c r="S297" i="185"/>
  <c r="Q302" i="185"/>
  <c r="X297" i="185"/>
  <c r="R302" i="185"/>
  <c r="U274" i="185"/>
  <c r="S287" i="185"/>
  <c r="Y301" i="185"/>
  <c r="W288" i="185"/>
  <c r="T289" i="185"/>
  <c r="Y274" i="185"/>
  <c r="X284" i="185"/>
  <c r="T290" i="185"/>
  <c r="U295" i="185"/>
  <c r="V288" i="185"/>
  <c r="R297" i="185"/>
  <c r="Y279" i="185"/>
  <c r="R277" i="185"/>
  <c r="M270" i="192" l="1"/>
  <c r="M33" i="194" s="1"/>
  <c r="M78" i="194" s="1"/>
  <c r="N270" i="192"/>
  <c r="N33" i="194" s="1"/>
  <c r="N78" i="194" s="1"/>
  <c r="K268" i="192"/>
  <c r="K31" i="194" s="1"/>
  <c r="K76" i="194" s="1"/>
  <c r="Q200" i="192"/>
  <c r="J200" i="192"/>
  <c r="L270" i="192"/>
  <c r="L33" i="194" s="1"/>
  <c r="L78" i="194" s="1"/>
  <c r="K200" i="192"/>
  <c r="Q268" i="192"/>
  <c r="Q31" i="194" s="1"/>
  <c r="Q76" i="194" s="1"/>
  <c r="P200" i="192"/>
  <c r="J268" i="192"/>
  <c r="J31" i="194" s="1"/>
  <c r="L198" i="192"/>
  <c r="P268" i="192"/>
  <c r="P31" i="194" s="1"/>
  <c r="P76" i="194" s="1"/>
  <c r="O198" i="192"/>
  <c r="N198" i="192"/>
  <c r="K195" i="192"/>
  <c r="Q195" i="192"/>
  <c r="P199" i="192"/>
  <c r="M265" i="192"/>
  <c r="M28" i="194" s="1"/>
  <c r="M73" i="194" s="1"/>
  <c r="J269" i="192"/>
  <c r="J32" i="194" s="1"/>
  <c r="J77" i="194" s="1"/>
  <c r="J265" i="192"/>
  <c r="J28" i="194" s="1"/>
  <c r="J73" i="194" s="1"/>
  <c r="O93" i="185"/>
  <c r="O279" i="185" s="1"/>
  <c r="O89" i="189" s="1"/>
  <c r="O160" i="189" s="1"/>
  <c r="O30" i="191" s="1"/>
  <c r="O135" i="191" s="1"/>
  <c r="N93" i="185"/>
  <c r="N294" i="185" s="1"/>
  <c r="N116" i="186" s="1"/>
  <c r="N128" i="186" s="1"/>
  <c r="P93" i="185"/>
  <c r="P291" i="185" s="1"/>
  <c r="P102" i="189" s="1"/>
  <c r="P190" i="189" s="1"/>
  <c r="P61" i="191" s="1"/>
  <c r="P166" i="191" s="1"/>
  <c r="Q269" i="192"/>
  <c r="Q32" i="194" s="1"/>
  <c r="Q77" i="194" s="1"/>
  <c r="P266" i="192"/>
  <c r="P29" i="194" s="1"/>
  <c r="P74" i="194" s="1"/>
  <c r="K199" i="192"/>
  <c r="L195" i="192"/>
  <c r="O195" i="192"/>
  <c r="M269" i="192"/>
  <c r="M32" i="194" s="1"/>
  <c r="M77" i="194" s="1"/>
  <c r="N265" i="192"/>
  <c r="N28" i="194" s="1"/>
  <c r="N73" i="194" s="1"/>
  <c r="P265" i="192"/>
  <c r="P28" i="194" s="1"/>
  <c r="P73" i="194" s="1"/>
  <c r="J266" i="192"/>
  <c r="J29" i="194" s="1"/>
  <c r="J74" i="194" s="1"/>
  <c r="N199" i="192"/>
  <c r="Q194" i="192"/>
  <c r="J194" i="192"/>
  <c r="M264" i="192"/>
  <c r="M27" i="194" s="1"/>
  <c r="M72" i="194" s="1"/>
  <c r="O196" i="192"/>
  <c r="L264" i="192"/>
  <c r="L27" i="194" s="1"/>
  <c r="L72" i="194" s="1"/>
  <c r="L269" i="192"/>
  <c r="L32" i="194" s="1"/>
  <c r="L77" i="194" s="1"/>
  <c r="Q266" i="192"/>
  <c r="Q29" i="194" s="1"/>
  <c r="Q74" i="194" s="1"/>
  <c r="O199" i="192"/>
  <c r="N196" i="192"/>
  <c r="P264" i="192"/>
  <c r="P27" i="194" s="1"/>
  <c r="P72" i="194" s="1"/>
  <c r="M266" i="192"/>
  <c r="M29" i="194" s="1"/>
  <c r="M74" i="194" s="1"/>
  <c r="L266" i="192"/>
  <c r="L29" i="194" s="1"/>
  <c r="L74" i="194" s="1"/>
  <c r="K196" i="192"/>
  <c r="K264" i="192"/>
  <c r="K27" i="194" s="1"/>
  <c r="K72" i="194" s="1"/>
  <c r="O264" i="192"/>
  <c r="O27" i="194" s="1"/>
  <c r="O72" i="194" s="1"/>
  <c r="W101" i="186"/>
  <c r="W113" i="186" s="1"/>
  <c r="N300" i="185"/>
  <c r="N122" i="186" s="1"/>
  <c r="N134" i="186" s="1"/>
  <c r="W71" i="186"/>
  <c r="W83" i="186" s="1"/>
  <c r="Y114" i="189"/>
  <c r="Y219" i="189" s="1"/>
  <c r="Y91" i="191" s="1"/>
  <c r="Y196" i="191" s="1"/>
  <c r="S98" i="186"/>
  <c r="S110" i="186" s="1"/>
  <c r="S83" i="189"/>
  <c r="S154" i="189" s="1"/>
  <c r="S24" i="191" s="1"/>
  <c r="S129" i="191" s="1"/>
  <c r="T101" i="186"/>
  <c r="T113" i="186" s="1"/>
  <c r="N125" i="189"/>
  <c r="N125" i="193" s="1"/>
  <c r="N195" i="193" s="1"/>
  <c r="N225" i="193" s="1"/>
  <c r="N123" i="189"/>
  <c r="N126" i="189"/>
  <c r="N126" i="193" s="1"/>
  <c r="N196" i="193" s="1"/>
  <c r="N226" i="193" s="1"/>
  <c r="N129" i="189"/>
  <c r="N129" i="193" s="1"/>
  <c r="N199" i="193" s="1"/>
  <c r="N229" i="193" s="1"/>
  <c r="P130" i="189"/>
  <c r="P130" i="193" s="1"/>
  <c r="P200" i="193" s="1"/>
  <c r="P230" i="193" s="1"/>
  <c r="O131" i="189"/>
  <c r="O131" i="193" s="1"/>
  <c r="O201" i="193" s="1"/>
  <c r="O231" i="193" s="1"/>
  <c r="N131" i="189"/>
  <c r="N131" i="193" s="1"/>
  <c r="N201" i="193" s="1"/>
  <c r="N231" i="193" s="1"/>
  <c r="P127" i="189"/>
  <c r="P127" i="193" s="1"/>
  <c r="P197" i="193" s="1"/>
  <c r="P227" i="193" s="1"/>
  <c r="P131" i="189"/>
  <c r="P131" i="193" s="1"/>
  <c r="P201" i="193" s="1"/>
  <c r="P231" i="193" s="1"/>
  <c r="N132" i="189"/>
  <c r="N132" i="193" s="1"/>
  <c r="N202" i="193" s="1"/>
  <c r="N232" i="193" s="1"/>
  <c r="N128" i="189"/>
  <c r="N128" i="193" s="1"/>
  <c r="N198" i="193" s="1"/>
  <c r="N228" i="193" s="1"/>
  <c r="P132" i="189"/>
  <c r="P132" i="193" s="1"/>
  <c r="P202" i="193" s="1"/>
  <c r="P232" i="193" s="1"/>
  <c r="P123" i="189"/>
  <c r="N127" i="189"/>
  <c r="N127" i="193" s="1"/>
  <c r="N197" i="193" s="1"/>
  <c r="N227" i="193" s="1"/>
  <c r="N124" i="189"/>
  <c r="P129" i="189"/>
  <c r="P129" i="193" s="1"/>
  <c r="P199" i="193" s="1"/>
  <c r="P229" i="193" s="1"/>
  <c r="P128" i="189"/>
  <c r="P128" i="193" s="1"/>
  <c r="P198" i="193" s="1"/>
  <c r="P228" i="193" s="1"/>
  <c r="P124" i="189"/>
  <c r="P125" i="189"/>
  <c r="P125" i="193" s="1"/>
  <c r="P195" i="193" s="1"/>
  <c r="P225" i="193" s="1"/>
  <c r="V77" i="186"/>
  <c r="V89" i="186" s="1"/>
  <c r="R96" i="189"/>
  <c r="R184" i="189" s="1"/>
  <c r="R55" i="191" s="1"/>
  <c r="R160" i="191" s="1"/>
  <c r="U73" i="186"/>
  <c r="U85" i="186" s="1"/>
  <c r="W107" i="189"/>
  <c r="W212" i="189" s="1"/>
  <c r="W84" i="191" s="1"/>
  <c r="W189" i="191" s="1"/>
  <c r="X76" i="186"/>
  <c r="X88" i="186" s="1"/>
  <c r="O129" i="189"/>
  <c r="O129" i="193" s="1"/>
  <c r="O199" i="193" s="1"/>
  <c r="O229" i="193" s="1"/>
  <c r="O123" i="189"/>
  <c r="O124" i="189"/>
  <c r="O130" i="189"/>
  <c r="O130" i="193" s="1"/>
  <c r="O200" i="193" s="1"/>
  <c r="O230" i="193" s="1"/>
  <c r="O126" i="189"/>
  <c r="O126" i="193" s="1"/>
  <c r="O196" i="193" s="1"/>
  <c r="O226" i="193" s="1"/>
  <c r="O125" i="189"/>
  <c r="O125" i="193" s="1"/>
  <c r="O195" i="193" s="1"/>
  <c r="O225" i="193" s="1"/>
  <c r="O132" i="189"/>
  <c r="O132" i="193" s="1"/>
  <c r="O202" i="193" s="1"/>
  <c r="O232" i="193" s="1"/>
  <c r="O128" i="189"/>
  <c r="O128" i="193" s="1"/>
  <c r="O198" i="193" s="1"/>
  <c r="O228" i="193" s="1"/>
  <c r="U99" i="186"/>
  <c r="U111" i="186" s="1"/>
  <c r="W85" i="189"/>
  <c r="W156" i="189" s="1"/>
  <c r="W26" i="191" s="1"/>
  <c r="W131" i="191" s="1"/>
  <c r="Y97" i="189"/>
  <c r="Y185" i="189" s="1"/>
  <c r="Y56" i="191" s="1"/>
  <c r="Y161" i="191" s="1"/>
  <c r="T112" i="189"/>
  <c r="T217" i="189" s="1"/>
  <c r="T89" i="191" s="1"/>
  <c r="T194" i="191" s="1"/>
  <c r="S123" i="186"/>
  <c r="S135" i="186" s="1"/>
  <c r="U96" i="186"/>
  <c r="U108" i="186" s="1"/>
  <c r="T120" i="186"/>
  <c r="T132" i="186" s="1"/>
  <c r="T86" i="189"/>
  <c r="T157" i="189" s="1"/>
  <c r="T27" i="191" s="1"/>
  <c r="T132" i="191" s="1"/>
  <c r="R110" i="189"/>
  <c r="R215" i="189" s="1"/>
  <c r="R87" i="191" s="1"/>
  <c r="R192" i="191" s="1"/>
  <c r="X96" i="186"/>
  <c r="X108" i="186" s="1"/>
  <c r="V119" i="186"/>
  <c r="V131" i="186" s="1"/>
  <c r="U95" i="186"/>
  <c r="U107" i="186" s="1"/>
  <c r="W76" i="186"/>
  <c r="W88" i="186" s="1"/>
  <c r="Y100" i="186"/>
  <c r="Y112" i="186" s="1"/>
  <c r="Y108" i="189"/>
  <c r="Y213" i="189" s="1"/>
  <c r="Y85" i="191" s="1"/>
  <c r="Y190" i="191" s="1"/>
  <c r="W118" i="186"/>
  <c r="W130" i="186" s="1"/>
  <c r="U123" i="186"/>
  <c r="U135" i="186" s="1"/>
  <c r="W89" i="189"/>
  <c r="W160" i="189" s="1"/>
  <c r="W30" i="191" s="1"/>
  <c r="W135" i="191" s="1"/>
  <c r="W77" i="186"/>
  <c r="W89" i="186" s="1"/>
  <c r="V95" i="189"/>
  <c r="V183" i="189" s="1"/>
  <c r="V54" i="191" s="1"/>
  <c r="V159" i="191" s="1"/>
  <c r="V94" i="186"/>
  <c r="V106" i="186" s="1"/>
  <c r="U107" i="189"/>
  <c r="U212" i="189" s="1"/>
  <c r="U84" i="191" s="1"/>
  <c r="U189" i="191" s="1"/>
  <c r="U117" i="186"/>
  <c r="U129" i="186" s="1"/>
  <c r="S109" i="189"/>
  <c r="S214" i="189" s="1"/>
  <c r="S86" i="191" s="1"/>
  <c r="S191" i="191" s="1"/>
  <c r="S119" i="186"/>
  <c r="S131" i="186" s="1"/>
  <c r="W101" i="189"/>
  <c r="W189" i="189" s="1"/>
  <c r="W60" i="191" s="1"/>
  <c r="W165" i="191" s="1"/>
  <c r="W100" i="186"/>
  <c r="W112" i="186" s="1"/>
  <c r="U102" i="189"/>
  <c r="U190" i="189" s="1"/>
  <c r="U61" i="191" s="1"/>
  <c r="U166" i="191" s="1"/>
  <c r="U101" i="186"/>
  <c r="U113" i="186" s="1"/>
  <c r="Q82" i="189"/>
  <c r="Q153" i="189" s="1"/>
  <c r="Q23" i="191" s="1"/>
  <c r="Q128" i="191" s="1"/>
  <c r="Q81" i="189"/>
  <c r="Q152" i="189" s="1"/>
  <c r="Q70" i="186"/>
  <c r="Q82" i="186" s="1"/>
  <c r="X107" i="189"/>
  <c r="X212" i="189" s="1"/>
  <c r="X84" i="191" s="1"/>
  <c r="X189" i="191" s="1"/>
  <c r="X117" i="186"/>
  <c r="X129" i="186" s="1"/>
  <c r="Q106" i="189"/>
  <c r="Q211" i="189" s="1"/>
  <c r="Q83" i="191" s="1"/>
  <c r="Q188" i="191" s="1"/>
  <c r="Q105" i="189"/>
  <c r="Q210" i="189" s="1"/>
  <c r="Q82" i="191" s="1"/>
  <c r="Q187" i="191" s="1"/>
  <c r="Q116" i="186"/>
  <c r="Q128" i="186" s="1"/>
  <c r="V88" i="189"/>
  <c r="V159" i="189" s="1"/>
  <c r="V29" i="191" s="1"/>
  <c r="V134" i="191" s="1"/>
  <c r="V76" i="186"/>
  <c r="V88" i="186" s="1"/>
  <c r="T121" i="186"/>
  <c r="T133" i="186" s="1"/>
  <c r="T111" i="189"/>
  <c r="T216" i="189" s="1"/>
  <c r="T88" i="191" s="1"/>
  <c r="T193" i="191" s="1"/>
  <c r="Q111" i="189"/>
  <c r="Q216" i="189" s="1"/>
  <c r="Q88" i="191" s="1"/>
  <c r="Q193" i="191" s="1"/>
  <c r="Q121" i="186"/>
  <c r="Q133" i="186" s="1"/>
  <c r="X114" i="189"/>
  <c r="X219" i="189" s="1"/>
  <c r="X91" i="191" s="1"/>
  <c r="X196" i="191" s="1"/>
  <c r="X124" i="186"/>
  <c r="X136" i="186" s="1"/>
  <c r="V108" i="189"/>
  <c r="V213" i="189" s="1"/>
  <c r="V85" i="191" s="1"/>
  <c r="V190" i="191" s="1"/>
  <c r="V118" i="186"/>
  <c r="V130" i="186" s="1"/>
  <c r="V84" i="189"/>
  <c r="V155" i="189" s="1"/>
  <c r="V25" i="191" s="1"/>
  <c r="V130" i="191" s="1"/>
  <c r="V72" i="186"/>
  <c r="V84" i="186" s="1"/>
  <c r="R101" i="189"/>
  <c r="R189" i="189" s="1"/>
  <c r="R60" i="191" s="1"/>
  <c r="R165" i="191" s="1"/>
  <c r="R100" i="186"/>
  <c r="R112" i="186" s="1"/>
  <c r="W86" i="189"/>
  <c r="W157" i="189" s="1"/>
  <c r="W27" i="191" s="1"/>
  <c r="W132" i="191" s="1"/>
  <c r="W74" i="186"/>
  <c r="W86" i="186" s="1"/>
  <c r="Y90" i="189"/>
  <c r="Y161" i="189" s="1"/>
  <c r="Y31" i="191" s="1"/>
  <c r="Y136" i="191" s="1"/>
  <c r="Y78" i="186"/>
  <c r="Y90" i="186" s="1"/>
  <c r="Q83" i="189"/>
  <c r="Q154" i="189" s="1"/>
  <c r="Q24" i="191" s="1"/>
  <c r="Q129" i="191" s="1"/>
  <c r="Q71" i="186"/>
  <c r="Q83" i="186" s="1"/>
  <c r="M91" i="185"/>
  <c r="M267" i="185" s="1"/>
  <c r="M78" i="189" s="1"/>
  <c r="U108" i="189"/>
  <c r="U213" i="189" s="1"/>
  <c r="U85" i="191" s="1"/>
  <c r="U190" i="191" s="1"/>
  <c r="U118" i="186"/>
  <c r="U130" i="186" s="1"/>
  <c r="X85" i="189"/>
  <c r="X156" i="189" s="1"/>
  <c r="X26" i="191" s="1"/>
  <c r="X131" i="191" s="1"/>
  <c r="X73" i="186"/>
  <c r="X85" i="186" s="1"/>
  <c r="R111" i="189"/>
  <c r="R216" i="189" s="1"/>
  <c r="R88" i="191" s="1"/>
  <c r="R193" i="191" s="1"/>
  <c r="R121" i="186"/>
  <c r="R133" i="186" s="1"/>
  <c r="Q94" i="189"/>
  <c r="Q182" i="189" s="1"/>
  <c r="Q53" i="191" s="1"/>
  <c r="Q158" i="191" s="1"/>
  <c r="Q93" i="189"/>
  <c r="Q181" i="189" s="1"/>
  <c r="Q52" i="191" s="1"/>
  <c r="Q157" i="191" s="1"/>
  <c r="Q93" i="186"/>
  <c r="Q105" i="186" s="1"/>
  <c r="R99" i="189"/>
  <c r="R187" i="189" s="1"/>
  <c r="R58" i="191" s="1"/>
  <c r="R163" i="191" s="1"/>
  <c r="R98" i="186"/>
  <c r="R110" i="186" s="1"/>
  <c r="T78" i="186"/>
  <c r="T90" i="186" s="1"/>
  <c r="T90" i="189"/>
  <c r="T161" i="189" s="1"/>
  <c r="T31" i="191" s="1"/>
  <c r="T136" i="191" s="1"/>
  <c r="Y102" i="189"/>
  <c r="Y190" i="189" s="1"/>
  <c r="Y61" i="191" s="1"/>
  <c r="Y166" i="191" s="1"/>
  <c r="Y101" i="186"/>
  <c r="Y113" i="186" s="1"/>
  <c r="Q89" i="189"/>
  <c r="Q160" i="189" s="1"/>
  <c r="Q30" i="191" s="1"/>
  <c r="Q135" i="191" s="1"/>
  <c r="Q77" i="186"/>
  <c r="Q89" i="186" s="1"/>
  <c r="Q85" i="189"/>
  <c r="Q156" i="189" s="1"/>
  <c r="Q26" i="191" s="1"/>
  <c r="Q131" i="191" s="1"/>
  <c r="Q73" i="186"/>
  <c r="Q85" i="186" s="1"/>
  <c r="R87" i="189"/>
  <c r="R158" i="189" s="1"/>
  <c r="R28" i="191" s="1"/>
  <c r="R133" i="191" s="1"/>
  <c r="R75" i="186"/>
  <c r="R87" i="186" s="1"/>
  <c r="R105" i="189"/>
  <c r="R210" i="189" s="1"/>
  <c r="R82" i="191" s="1"/>
  <c r="R187" i="191" s="1"/>
  <c r="R116" i="186"/>
  <c r="R128" i="186" s="1"/>
  <c r="R106" i="189"/>
  <c r="R211" i="189" s="1"/>
  <c r="R83" i="191" s="1"/>
  <c r="R188" i="191" s="1"/>
  <c r="R101" i="186"/>
  <c r="R113" i="186" s="1"/>
  <c r="R102" i="189"/>
  <c r="R190" i="189" s="1"/>
  <c r="R61" i="191" s="1"/>
  <c r="R166" i="191" s="1"/>
  <c r="V102" i="189"/>
  <c r="V190" i="189" s="1"/>
  <c r="V61" i="191" s="1"/>
  <c r="V166" i="191" s="1"/>
  <c r="V101" i="186"/>
  <c r="V113" i="186" s="1"/>
  <c r="T116" i="186"/>
  <c r="T128" i="186" s="1"/>
  <c r="T105" i="189"/>
  <c r="T210" i="189" s="1"/>
  <c r="T82" i="191" s="1"/>
  <c r="T187" i="191" s="1"/>
  <c r="T106" i="189"/>
  <c r="T211" i="189" s="1"/>
  <c r="T83" i="191" s="1"/>
  <c r="T188" i="191" s="1"/>
  <c r="T95" i="186"/>
  <c r="T107" i="186" s="1"/>
  <c r="T96" i="189"/>
  <c r="T184" i="189" s="1"/>
  <c r="T55" i="191" s="1"/>
  <c r="T160" i="191" s="1"/>
  <c r="W106" i="189"/>
  <c r="W211" i="189" s="1"/>
  <c r="W83" i="191" s="1"/>
  <c r="W188" i="191" s="1"/>
  <c r="W105" i="189"/>
  <c r="W210" i="189" s="1"/>
  <c r="W82" i="191" s="1"/>
  <c r="W187" i="191" s="1"/>
  <c r="W116" i="186"/>
  <c r="W128" i="186" s="1"/>
  <c r="X111" i="189"/>
  <c r="X216" i="189" s="1"/>
  <c r="X88" i="191" s="1"/>
  <c r="X193" i="191" s="1"/>
  <c r="X121" i="186"/>
  <c r="X133" i="186" s="1"/>
  <c r="Y86" i="189"/>
  <c r="Y157" i="189" s="1"/>
  <c r="Y27" i="191" s="1"/>
  <c r="Y132" i="191" s="1"/>
  <c r="Y74" i="186"/>
  <c r="Y86" i="186" s="1"/>
  <c r="X84" i="189"/>
  <c r="X155" i="189" s="1"/>
  <c r="X25" i="191" s="1"/>
  <c r="X130" i="191" s="1"/>
  <c r="X72" i="186"/>
  <c r="X84" i="186" s="1"/>
  <c r="U101" i="189"/>
  <c r="U189" i="189" s="1"/>
  <c r="U60" i="191" s="1"/>
  <c r="U165" i="191" s="1"/>
  <c r="U100" i="186"/>
  <c r="U112" i="186" s="1"/>
  <c r="Q88" i="189"/>
  <c r="Q159" i="189" s="1"/>
  <c r="Q29" i="191" s="1"/>
  <c r="Q134" i="191" s="1"/>
  <c r="Q76" i="186"/>
  <c r="Q88" i="186" s="1"/>
  <c r="V114" i="189"/>
  <c r="V219" i="189" s="1"/>
  <c r="V91" i="191" s="1"/>
  <c r="V196" i="191" s="1"/>
  <c r="V124" i="186"/>
  <c r="V136" i="186" s="1"/>
  <c r="X90" i="189"/>
  <c r="X161" i="189" s="1"/>
  <c r="X31" i="191" s="1"/>
  <c r="X136" i="191" s="1"/>
  <c r="X78" i="186"/>
  <c r="X90" i="186" s="1"/>
  <c r="Q112" i="189"/>
  <c r="Q217" i="189" s="1"/>
  <c r="Q89" i="191" s="1"/>
  <c r="Q194" i="191" s="1"/>
  <c r="Q122" i="186"/>
  <c r="Q134" i="186" s="1"/>
  <c r="S89" i="189"/>
  <c r="S160" i="189" s="1"/>
  <c r="S30" i="191" s="1"/>
  <c r="S135" i="191" s="1"/>
  <c r="S77" i="186"/>
  <c r="S89" i="186" s="1"/>
  <c r="T76" i="186"/>
  <c r="T88" i="186" s="1"/>
  <c r="T88" i="189"/>
  <c r="T159" i="189" s="1"/>
  <c r="T29" i="191" s="1"/>
  <c r="T134" i="191" s="1"/>
  <c r="R99" i="186"/>
  <c r="R111" i="186" s="1"/>
  <c r="R100" i="189"/>
  <c r="R188" i="189" s="1"/>
  <c r="R59" i="191" s="1"/>
  <c r="R164" i="191" s="1"/>
  <c r="S84" i="189"/>
  <c r="S155" i="189" s="1"/>
  <c r="S25" i="191" s="1"/>
  <c r="S130" i="191" s="1"/>
  <c r="S72" i="186"/>
  <c r="S84" i="186" s="1"/>
  <c r="Q90" i="189"/>
  <c r="Q161" i="189" s="1"/>
  <c r="Q31" i="191" s="1"/>
  <c r="Q136" i="191" s="1"/>
  <c r="Q78" i="186"/>
  <c r="Q90" i="186" s="1"/>
  <c r="Y88" i="189"/>
  <c r="Y159" i="189" s="1"/>
  <c r="Y29" i="191" s="1"/>
  <c r="Y134" i="191" s="1"/>
  <c r="Y76" i="186"/>
  <c r="Y88" i="186" s="1"/>
  <c r="X82" i="189"/>
  <c r="X153" i="189" s="1"/>
  <c r="X23" i="191" s="1"/>
  <c r="X128" i="191" s="1"/>
  <c r="X70" i="186"/>
  <c r="X82" i="186" s="1"/>
  <c r="X81" i="189"/>
  <c r="X152" i="189" s="1"/>
  <c r="U109" i="189"/>
  <c r="U214" i="189" s="1"/>
  <c r="U86" i="191" s="1"/>
  <c r="U191" i="191" s="1"/>
  <c r="U119" i="186"/>
  <c r="U131" i="186" s="1"/>
  <c r="W110" i="189"/>
  <c r="W215" i="189" s="1"/>
  <c r="W87" i="191" s="1"/>
  <c r="W192" i="191" s="1"/>
  <c r="W120" i="186"/>
  <c r="W132" i="186" s="1"/>
  <c r="V82" i="189"/>
  <c r="V153" i="189" s="1"/>
  <c r="V23" i="191" s="1"/>
  <c r="V128" i="191" s="1"/>
  <c r="V81" i="189"/>
  <c r="V152" i="189" s="1"/>
  <c r="V70" i="186"/>
  <c r="V82" i="186" s="1"/>
  <c r="Q113" i="189"/>
  <c r="Q218" i="189" s="1"/>
  <c r="Q90" i="191" s="1"/>
  <c r="Q195" i="191" s="1"/>
  <c r="Q123" i="186"/>
  <c r="Q135" i="186" s="1"/>
  <c r="Q108" i="189"/>
  <c r="Q213" i="189" s="1"/>
  <c r="Q85" i="191" s="1"/>
  <c r="Q190" i="191" s="1"/>
  <c r="Q118" i="186"/>
  <c r="Q130" i="186" s="1"/>
  <c r="R97" i="186"/>
  <c r="R109" i="186" s="1"/>
  <c r="R98" i="189"/>
  <c r="R186" i="189" s="1"/>
  <c r="R57" i="191" s="1"/>
  <c r="R162" i="191" s="1"/>
  <c r="V85" i="189"/>
  <c r="V156" i="189" s="1"/>
  <c r="V26" i="191" s="1"/>
  <c r="V131" i="191" s="1"/>
  <c r="V73" i="186"/>
  <c r="V85" i="186" s="1"/>
  <c r="U83" i="189"/>
  <c r="U154" i="189" s="1"/>
  <c r="U24" i="191" s="1"/>
  <c r="U129" i="191" s="1"/>
  <c r="U71" i="186"/>
  <c r="U83" i="186" s="1"/>
  <c r="S88" i="189"/>
  <c r="S159" i="189" s="1"/>
  <c r="S29" i="191" s="1"/>
  <c r="S134" i="191" s="1"/>
  <c r="S76" i="186"/>
  <c r="S88" i="186" s="1"/>
  <c r="U94" i="189"/>
  <c r="U182" i="189" s="1"/>
  <c r="U53" i="191" s="1"/>
  <c r="U158" i="191" s="1"/>
  <c r="U93" i="189"/>
  <c r="U181" i="189" s="1"/>
  <c r="U52" i="191" s="1"/>
  <c r="U157" i="191" s="1"/>
  <c r="U93" i="186"/>
  <c r="U105" i="186" s="1"/>
  <c r="S95" i="189"/>
  <c r="S183" i="189" s="1"/>
  <c r="S54" i="191" s="1"/>
  <c r="S159" i="191" s="1"/>
  <c r="S94" i="186"/>
  <c r="S106" i="186" s="1"/>
  <c r="T93" i="186"/>
  <c r="T105" i="186" s="1"/>
  <c r="T93" i="189"/>
  <c r="T181" i="189" s="1"/>
  <c r="T52" i="191" s="1"/>
  <c r="T157" i="191" s="1"/>
  <c r="T94" i="189"/>
  <c r="T182" i="189" s="1"/>
  <c r="T53" i="191" s="1"/>
  <c r="T158" i="191" s="1"/>
  <c r="V110" i="189"/>
  <c r="V215" i="189" s="1"/>
  <c r="V87" i="191" s="1"/>
  <c r="V192" i="191" s="1"/>
  <c r="V120" i="186"/>
  <c r="V132" i="186" s="1"/>
  <c r="U95" i="189"/>
  <c r="U183" i="189" s="1"/>
  <c r="U54" i="191" s="1"/>
  <c r="U159" i="191" s="1"/>
  <c r="U94" i="186"/>
  <c r="U106" i="186" s="1"/>
  <c r="R93" i="189"/>
  <c r="R181" i="189" s="1"/>
  <c r="R52" i="191" s="1"/>
  <c r="R157" i="191" s="1"/>
  <c r="R93" i="186"/>
  <c r="R105" i="186" s="1"/>
  <c r="R94" i="189"/>
  <c r="R182" i="189" s="1"/>
  <c r="R53" i="191" s="1"/>
  <c r="R158" i="191" s="1"/>
  <c r="R122" i="186"/>
  <c r="R134" i="186" s="1"/>
  <c r="R112" i="189"/>
  <c r="R217" i="189" s="1"/>
  <c r="R89" i="191" s="1"/>
  <c r="R194" i="191" s="1"/>
  <c r="Y96" i="189"/>
  <c r="Y184" i="189" s="1"/>
  <c r="Y55" i="191" s="1"/>
  <c r="Y160" i="191" s="1"/>
  <c r="Y95" i="186"/>
  <c r="Y107" i="186" s="1"/>
  <c r="U111" i="189"/>
  <c r="U216" i="189" s="1"/>
  <c r="U88" i="191" s="1"/>
  <c r="U193" i="191" s="1"/>
  <c r="U121" i="186"/>
  <c r="U133" i="186" s="1"/>
  <c r="T94" i="186"/>
  <c r="T106" i="186" s="1"/>
  <c r="T95" i="189"/>
  <c r="T183" i="189" s="1"/>
  <c r="T54" i="191" s="1"/>
  <c r="T159" i="191" s="1"/>
  <c r="U112" i="189"/>
  <c r="U217" i="189" s="1"/>
  <c r="U89" i="191" s="1"/>
  <c r="U194" i="191" s="1"/>
  <c r="U122" i="186"/>
  <c r="U134" i="186" s="1"/>
  <c r="Q107" i="189"/>
  <c r="Q212" i="189" s="1"/>
  <c r="Q84" i="191" s="1"/>
  <c r="Q189" i="191" s="1"/>
  <c r="Q117" i="186"/>
  <c r="Q129" i="186" s="1"/>
  <c r="Q102" i="189"/>
  <c r="Q190" i="189" s="1"/>
  <c r="Q61" i="191" s="1"/>
  <c r="Q166" i="191" s="1"/>
  <c r="Q101" i="186"/>
  <c r="Q113" i="186" s="1"/>
  <c r="T100" i="186"/>
  <c r="T112" i="186" s="1"/>
  <c r="T101" i="189"/>
  <c r="T189" i="189" s="1"/>
  <c r="T60" i="191" s="1"/>
  <c r="T165" i="191" s="1"/>
  <c r="T99" i="186"/>
  <c r="T111" i="186" s="1"/>
  <c r="T100" i="189"/>
  <c r="T188" i="189" s="1"/>
  <c r="T59" i="191" s="1"/>
  <c r="T164" i="191" s="1"/>
  <c r="Y106" i="189"/>
  <c r="Y211" i="189" s="1"/>
  <c r="Y83" i="191" s="1"/>
  <c r="Y188" i="191" s="1"/>
  <c r="Y105" i="189"/>
  <c r="Y210" i="189" s="1"/>
  <c r="Y82" i="191" s="1"/>
  <c r="Y187" i="191" s="1"/>
  <c r="Y116" i="186"/>
  <c r="Y128" i="186" s="1"/>
  <c r="U88" i="189"/>
  <c r="U159" i="189" s="1"/>
  <c r="U29" i="191" s="1"/>
  <c r="U134" i="191" s="1"/>
  <c r="U76" i="186"/>
  <c r="U88" i="186" s="1"/>
  <c r="V86" i="189"/>
  <c r="V157" i="189" s="1"/>
  <c r="V27" i="191" s="1"/>
  <c r="V132" i="191" s="1"/>
  <c r="V74" i="186"/>
  <c r="V86" i="186" s="1"/>
  <c r="X89" i="189"/>
  <c r="X160" i="189" s="1"/>
  <c r="X30" i="191" s="1"/>
  <c r="X135" i="191" s="1"/>
  <c r="X77" i="186"/>
  <c r="X89" i="186" s="1"/>
  <c r="S86" i="189"/>
  <c r="S157" i="189" s="1"/>
  <c r="S27" i="191" s="1"/>
  <c r="S132" i="191" s="1"/>
  <c r="S74" i="186"/>
  <c r="S86" i="186" s="1"/>
  <c r="Y95" i="189"/>
  <c r="Y183" i="189" s="1"/>
  <c r="Y54" i="191" s="1"/>
  <c r="Y159" i="191" s="1"/>
  <c r="Y94" i="186"/>
  <c r="Y106" i="186" s="1"/>
  <c r="R97" i="189"/>
  <c r="R185" i="189" s="1"/>
  <c r="R56" i="191" s="1"/>
  <c r="R161" i="191" s="1"/>
  <c r="R96" i="186"/>
  <c r="R108" i="186" s="1"/>
  <c r="X108" i="189"/>
  <c r="X213" i="189" s="1"/>
  <c r="X85" i="191" s="1"/>
  <c r="X190" i="191" s="1"/>
  <c r="X118" i="186"/>
  <c r="X130" i="186" s="1"/>
  <c r="W113" i="189"/>
  <c r="W218" i="189" s="1"/>
  <c r="W90" i="191" s="1"/>
  <c r="W195" i="191" s="1"/>
  <c r="W123" i="186"/>
  <c r="W135" i="186" s="1"/>
  <c r="X100" i="189"/>
  <c r="X188" i="189" s="1"/>
  <c r="X59" i="191" s="1"/>
  <c r="X164" i="191" s="1"/>
  <c r="X99" i="186"/>
  <c r="X111" i="186" s="1"/>
  <c r="Q86" i="189"/>
  <c r="Q157" i="189" s="1"/>
  <c r="Q27" i="191" s="1"/>
  <c r="Q132" i="191" s="1"/>
  <c r="Q74" i="186"/>
  <c r="Q86" i="186" s="1"/>
  <c r="W114" i="189"/>
  <c r="W219" i="189" s="1"/>
  <c r="W91" i="191" s="1"/>
  <c r="W196" i="191" s="1"/>
  <c r="W124" i="186"/>
  <c r="W136" i="186" s="1"/>
  <c r="R113" i="189"/>
  <c r="R218" i="189" s="1"/>
  <c r="R90" i="191" s="1"/>
  <c r="R195" i="191" s="1"/>
  <c r="R123" i="186"/>
  <c r="R135" i="186" s="1"/>
  <c r="X94" i="189"/>
  <c r="X182" i="189" s="1"/>
  <c r="X53" i="191" s="1"/>
  <c r="X158" i="191" s="1"/>
  <c r="X93" i="189"/>
  <c r="X181" i="189" s="1"/>
  <c r="X52" i="191" s="1"/>
  <c r="X157" i="191" s="1"/>
  <c r="X93" i="186"/>
  <c r="X105" i="186" s="1"/>
  <c r="R85" i="189"/>
  <c r="R156" i="189" s="1"/>
  <c r="R26" i="191" s="1"/>
  <c r="R131" i="191" s="1"/>
  <c r="R73" i="186"/>
  <c r="R85" i="186" s="1"/>
  <c r="V96" i="189"/>
  <c r="V184" i="189" s="1"/>
  <c r="V55" i="191" s="1"/>
  <c r="V160" i="191" s="1"/>
  <c r="V95" i="186"/>
  <c r="V107" i="186" s="1"/>
  <c r="Y109" i="189"/>
  <c r="Y214" i="189" s="1"/>
  <c r="Y86" i="191" s="1"/>
  <c r="Y191" i="191" s="1"/>
  <c r="Y119" i="186"/>
  <c r="Y131" i="186" s="1"/>
  <c r="T75" i="186"/>
  <c r="T87" i="186" s="1"/>
  <c r="T87" i="189"/>
  <c r="T158" i="189" s="1"/>
  <c r="T28" i="191" s="1"/>
  <c r="T133" i="191" s="1"/>
  <c r="U110" i="189"/>
  <c r="U215" i="189" s="1"/>
  <c r="U87" i="191" s="1"/>
  <c r="U192" i="191" s="1"/>
  <c r="U120" i="186"/>
  <c r="U132" i="186" s="1"/>
  <c r="W84" i="189"/>
  <c r="W155" i="189" s="1"/>
  <c r="W25" i="191" s="1"/>
  <c r="W130" i="191" s="1"/>
  <c r="W72" i="186"/>
  <c r="W84" i="186" s="1"/>
  <c r="R71" i="186"/>
  <c r="R83" i="186" s="1"/>
  <c r="R83" i="189"/>
  <c r="R154" i="189" s="1"/>
  <c r="R24" i="191" s="1"/>
  <c r="R129" i="191" s="1"/>
  <c r="X110" i="189"/>
  <c r="X215" i="189" s="1"/>
  <c r="X87" i="191" s="1"/>
  <c r="X192" i="191" s="1"/>
  <c r="X120" i="186"/>
  <c r="X132" i="186" s="1"/>
  <c r="Y112" i="189"/>
  <c r="Y217" i="189" s="1"/>
  <c r="Y89" i="191" s="1"/>
  <c r="Y194" i="191" s="1"/>
  <c r="Y122" i="186"/>
  <c r="Y134" i="186" s="1"/>
  <c r="Y89" i="189"/>
  <c r="Y160" i="189" s="1"/>
  <c r="Y30" i="191" s="1"/>
  <c r="Y135" i="191" s="1"/>
  <c r="Y77" i="186"/>
  <c r="Y89" i="186" s="1"/>
  <c r="W99" i="189"/>
  <c r="W187" i="189" s="1"/>
  <c r="W58" i="191" s="1"/>
  <c r="W163" i="191" s="1"/>
  <c r="W98" i="186"/>
  <c r="W110" i="186" s="1"/>
  <c r="S108" i="189"/>
  <c r="S213" i="189" s="1"/>
  <c r="S85" i="191" s="1"/>
  <c r="S190" i="191" s="1"/>
  <c r="S118" i="186"/>
  <c r="S130" i="186" s="1"/>
  <c r="S96" i="189"/>
  <c r="S184" i="189" s="1"/>
  <c r="S55" i="191" s="1"/>
  <c r="S160" i="191" s="1"/>
  <c r="S95" i="186"/>
  <c r="S107" i="186" s="1"/>
  <c r="Q100" i="189"/>
  <c r="Q188" i="189" s="1"/>
  <c r="Q59" i="191" s="1"/>
  <c r="Q164" i="191" s="1"/>
  <c r="Q99" i="186"/>
  <c r="Q111" i="186" s="1"/>
  <c r="R118" i="186"/>
  <c r="R130" i="186" s="1"/>
  <c r="R108" i="189"/>
  <c r="R213" i="189" s="1"/>
  <c r="R85" i="191" s="1"/>
  <c r="R190" i="191" s="1"/>
  <c r="S106" i="189"/>
  <c r="S211" i="189" s="1"/>
  <c r="S83" i="191" s="1"/>
  <c r="S188" i="191" s="1"/>
  <c r="S105" i="189"/>
  <c r="S210" i="189" s="1"/>
  <c r="S82" i="191" s="1"/>
  <c r="S187" i="191" s="1"/>
  <c r="S116" i="186"/>
  <c r="S128" i="186" s="1"/>
  <c r="U87" i="189"/>
  <c r="U158" i="189" s="1"/>
  <c r="U28" i="191" s="1"/>
  <c r="U133" i="191" s="1"/>
  <c r="U75" i="186"/>
  <c r="U87" i="186" s="1"/>
  <c r="R107" i="189"/>
  <c r="R212" i="189" s="1"/>
  <c r="R84" i="191" s="1"/>
  <c r="R189" i="191" s="1"/>
  <c r="R117" i="186"/>
  <c r="R129" i="186" s="1"/>
  <c r="V113" i="189"/>
  <c r="V218" i="189" s="1"/>
  <c r="V90" i="191" s="1"/>
  <c r="V195" i="191" s="1"/>
  <c r="V123" i="186"/>
  <c r="V135" i="186" s="1"/>
  <c r="S94" i="189"/>
  <c r="S182" i="189" s="1"/>
  <c r="S53" i="191" s="1"/>
  <c r="S158" i="191" s="1"/>
  <c r="S93" i="189"/>
  <c r="S181" i="189" s="1"/>
  <c r="S52" i="191" s="1"/>
  <c r="S157" i="191" s="1"/>
  <c r="S93" i="186"/>
  <c r="S105" i="186" s="1"/>
  <c r="R74" i="186"/>
  <c r="R86" i="186" s="1"/>
  <c r="R86" i="189"/>
  <c r="R157" i="189" s="1"/>
  <c r="R27" i="191" s="1"/>
  <c r="R132" i="191" s="1"/>
  <c r="S102" i="189"/>
  <c r="S190" i="189" s="1"/>
  <c r="S61" i="191" s="1"/>
  <c r="S166" i="191" s="1"/>
  <c r="S101" i="186"/>
  <c r="S113" i="186" s="1"/>
  <c r="Y107" i="189"/>
  <c r="Y212" i="189" s="1"/>
  <c r="Y84" i="191" s="1"/>
  <c r="Y189" i="191" s="1"/>
  <c r="Y117" i="186"/>
  <c r="Y129" i="186" s="1"/>
  <c r="N77" i="194"/>
  <c r="N76" i="194"/>
  <c r="N75" i="194"/>
  <c r="N74" i="194"/>
  <c r="N72" i="194"/>
  <c r="U114" i="189"/>
  <c r="U219" i="189" s="1"/>
  <c r="U91" i="191" s="1"/>
  <c r="U196" i="191" s="1"/>
  <c r="U124" i="186"/>
  <c r="U136" i="186" s="1"/>
  <c r="S101" i="189"/>
  <c r="S189" i="189" s="1"/>
  <c r="S60" i="191" s="1"/>
  <c r="S165" i="191" s="1"/>
  <c r="S100" i="186"/>
  <c r="S112" i="186" s="1"/>
  <c r="U98" i="189"/>
  <c r="U186" i="189" s="1"/>
  <c r="U57" i="191" s="1"/>
  <c r="U162" i="191" s="1"/>
  <c r="U97" i="186"/>
  <c r="U109" i="186" s="1"/>
  <c r="X112" i="189"/>
  <c r="X217" i="189" s="1"/>
  <c r="X89" i="191" s="1"/>
  <c r="X194" i="191" s="1"/>
  <c r="X122" i="186"/>
  <c r="X134" i="186" s="1"/>
  <c r="Q99" i="189"/>
  <c r="Q187" i="189" s="1"/>
  <c r="Q58" i="191" s="1"/>
  <c r="Q163" i="191" s="1"/>
  <c r="Q98" i="186"/>
  <c r="Q110" i="186" s="1"/>
  <c r="R95" i="189"/>
  <c r="R183" i="189" s="1"/>
  <c r="R54" i="191" s="1"/>
  <c r="R159" i="191" s="1"/>
  <c r="R94" i="186"/>
  <c r="R106" i="186" s="1"/>
  <c r="W82" i="189"/>
  <c r="W153" i="189" s="1"/>
  <c r="W23" i="191" s="1"/>
  <c r="W128" i="191" s="1"/>
  <c r="W81" i="189"/>
  <c r="W152" i="189" s="1"/>
  <c r="W70" i="186"/>
  <c r="W82" i="186" s="1"/>
  <c r="T77" i="186"/>
  <c r="T89" i="186" s="1"/>
  <c r="T89" i="189"/>
  <c r="T160" i="189" s="1"/>
  <c r="T30" i="191" s="1"/>
  <c r="T135" i="191" s="1"/>
  <c r="U89" i="189"/>
  <c r="U160" i="189" s="1"/>
  <c r="U30" i="191" s="1"/>
  <c r="U135" i="191" s="1"/>
  <c r="U77" i="186"/>
  <c r="U89" i="186" s="1"/>
  <c r="W94" i="189"/>
  <c r="W182" i="189" s="1"/>
  <c r="W53" i="191" s="1"/>
  <c r="W158" i="191" s="1"/>
  <c r="W93" i="189"/>
  <c r="W181" i="189" s="1"/>
  <c r="W52" i="191" s="1"/>
  <c r="W157" i="191" s="1"/>
  <c r="W93" i="186"/>
  <c r="W105" i="186" s="1"/>
  <c r="Y87" i="189"/>
  <c r="Y158" i="189" s="1"/>
  <c r="Y28" i="191" s="1"/>
  <c r="Y133" i="191" s="1"/>
  <c r="Y75" i="186"/>
  <c r="Y87" i="186" s="1"/>
  <c r="R81" i="189"/>
  <c r="R152" i="189" s="1"/>
  <c r="R82" i="189"/>
  <c r="R153" i="189" s="1"/>
  <c r="R23" i="191" s="1"/>
  <c r="R128" i="191" s="1"/>
  <c r="R70" i="186"/>
  <c r="R82" i="186" s="1"/>
  <c r="X113" i="189"/>
  <c r="X218" i="189" s="1"/>
  <c r="X90" i="191" s="1"/>
  <c r="X195" i="191" s="1"/>
  <c r="X123" i="186"/>
  <c r="X135" i="186" s="1"/>
  <c r="S110" i="189"/>
  <c r="S215" i="189" s="1"/>
  <c r="S87" i="191" s="1"/>
  <c r="S192" i="191" s="1"/>
  <c r="S120" i="186"/>
  <c r="S132" i="186" s="1"/>
  <c r="O78" i="194"/>
  <c r="O77" i="194"/>
  <c r="O76" i="194"/>
  <c r="O75" i="194"/>
  <c r="O74" i="194"/>
  <c r="O73" i="194"/>
  <c r="U84" i="189"/>
  <c r="U155" i="189" s="1"/>
  <c r="U25" i="191" s="1"/>
  <c r="U130" i="191" s="1"/>
  <c r="U72" i="186"/>
  <c r="U84" i="186" s="1"/>
  <c r="Q110" i="189"/>
  <c r="Q215" i="189" s="1"/>
  <c r="Q87" i="191" s="1"/>
  <c r="Q192" i="191" s="1"/>
  <c r="Q120" i="186"/>
  <c r="Q132" i="186" s="1"/>
  <c r="R109" i="189"/>
  <c r="R214" i="189" s="1"/>
  <c r="R86" i="191" s="1"/>
  <c r="R191" i="191" s="1"/>
  <c r="R119" i="186"/>
  <c r="R131" i="186" s="1"/>
  <c r="X95" i="189"/>
  <c r="X183" i="189" s="1"/>
  <c r="X54" i="191" s="1"/>
  <c r="X159" i="191" s="1"/>
  <c r="X94" i="186"/>
  <c r="X106" i="186" s="1"/>
  <c r="R124" i="186"/>
  <c r="R136" i="186" s="1"/>
  <c r="R114" i="189"/>
  <c r="R219" i="189" s="1"/>
  <c r="R91" i="191" s="1"/>
  <c r="R196" i="191" s="1"/>
  <c r="V87" i="189"/>
  <c r="V158" i="189" s="1"/>
  <c r="V28" i="191" s="1"/>
  <c r="V133" i="191" s="1"/>
  <c r="V75" i="186"/>
  <c r="V87" i="186" s="1"/>
  <c r="R78" i="186"/>
  <c r="R90" i="186" s="1"/>
  <c r="R90" i="189"/>
  <c r="R161" i="189" s="1"/>
  <c r="R31" i="191" s="1"/>
  <c r="R136" i="191" s="1"/>
  <c r="Q87" i="189"/>
  <c r="Q158" i="189" s="1"/>
  <c r="Q28" i="191" s="1"/>
  <c r="Q133" i="191" s="1"/>
  <c r="Q75" i="186"/>
  <c r="Q87" i="186" s="1"/>
  <c r="W112" i="189"/>
  <c r="W217" i="189" s="1"/>
  <c r="W89" i="191" s="1"/>
  <c r="W194" i="191" s="1"/>
  <c r="W122" i="186"/>
  <c r="W134" i="186" s="1"/>
  <c r="T96" i="186"/>
  <c r="T108" i="186" s="1"/>
  <c r="T97" i="189"/>
  <c r="T185" i="189" s="1"/>
  <c r="T56" i="191" s="1"/>
  <c r="T161" i="191" s="1"/>
  <c r="X83" i="189"/>
  <c r="X154" i="189" s="1"/>
  <c r="X24" i="191" s="1"/>
  <c r="X129" i="191" s="1"/>
  <c r="X71" i="186"/>
  <c r="X83" i="186" s="1"/>
  <c r="S87" i="189"/>
  <c r="S158" i="189" s="1"/>
  <c r="S28" i="191" s="1"/>
  <c r="S133" i="191" s="1"/>
  <c r="S75" i="186"/>
  <c r="S87" i="186" s="1"/>
  <c r="T118" i="186"/>
  <c r="T130" i="186" s="1"/>
  <c r="T108" i="189"/>
  <c r="T213" i="189" s="1"/>
  <c r="T85" i="191" s="1"/>
  <c r="T190" i="191" s="1"/>
  <c r="W87" i="189"/>
  <c r="W158" i="189" s="1"/>
  <c r="W28" i="191" s="1"/>
  <c r="W133" i="191" s="1"/>
  <c r="W75" i="186"/>
  <c r="W87" i="186" s="1"/>
  <c r="V83" i="189"/>
  <c r="V154" i="189" s="1"/>
  <c r="V24" i="191" s="1"/>
  <c r="V129" i="191" s="1"/>
  <c r="V71" i="186"/>
  <c r="V83" i="186" s="1"/>
  <c r="V112" i="189"/>
  <c r="V217" i="189" s="1"/>
  <c r="V89" i="191" s="1"/>
  <c r="V194" i="191" s="1"/>
  <c r="V122" i="186"/>
  <c r="V134" i="186" s="1"/>
  <c r="W111" i="189"/>
  <c r="W216" i="189" s="1"/>
  <c r="W88" i="191" s="1"/>
  <c r="W193" i="191" s="1"/>
  <c r="W121" i="186"/>
  <c r="W133" i="186" s="1"/>
  <c r="X86" i="189"/>
  <c r="X157" i="189" s="1"/>
  <c r="X27" i="191" s="1"/>
  <c r="X132" i="191" s="1"/>
  <c r="X74" i="186"/>
  <c r="X86" i="186" s="1"/>
  <c r="K91" i="185"/>
  <c r="K267" i="185" s="1"/>
  <c r="K78" i="189" s="1"/>
  <c r="R72" i="186"/>
  <c r="R84" i="186" s="1"/>
  <c r="R84" i="189"/>
  <c r="R155" i="189" s="1"/>
  <c r="R25" i="191" s="1"/>
  <c r="R130" i="191" s="1"/>
  <c r="W109" i="189"/>
  <c r="W214" i="189" s="1"/>
  <c r="W86" i="191" s="1"/>
  <c r="W191" i="191" s="1"/>
  <c r="W119" i="186"/>
  <c r="W131" i="186" s="1"/>
  <c r="V101" i="189"/>
  <c r="V189" i="189" s="1"/>
  <c r="V60" i="191" s="1"/>
  <c r="V165" i="191" s="1"/>
  <c r="V100" i="186"/>
  <c r="V112" i="186" s="1"/>
  <c r="X101" i="189"/>
  <c r="X189" i="189" s="1"/>
  <c r="X60" i="191" s="1"/>
  <c r="X165" i="191" s="1"/>
  <c r="X100" i="186"/>
  <c r="X112" i="186" s="1"/>
  <c r="W97" i="189"/>
  <c r="W185" i="189" s="1"/>
  <c r="W56" i="191" s="1"/>
  <c r="W161" i="191" s="1"/>
  <c r="W96" i="186"/>
  <c r="W108" i="186" s="1"/>
  <c r="R76" i="186"/>
  <c r="R88" i="186" s="1"/>
  <c r="R88" i="189"/>
  <c r="R159" i="189" s="1"/>
  <c r="R29" i="191" s="1"/>
  <c r="R134" i="191" s="1"/>
  <c r="T81" i="189"/>
  <c r="T152" i="189" s="1"/>
  <c r="T70" i="186"/>
  <c r="T82" i="186" s="1"/>
  <c r="T82" i="189"/>
  <c r="T153" i="189" s="1"/>
  <c r="T23" i="191" s="1"/>
  <c r="T128" i="191" s="1"/>
  <c r="T73" i="186"/>
  <c r="T85" i="186" s="1"/>
  <c r="T85" i="189"/>
  <c r="T156" i="189" s="1"/>
  <c r="T26" i="191" s="1"/>
  <c r="T131" i="191" s="1"/>
  <c r="T72" i="186"/>
  <c r="T84" i="186" s="1"/>
  <c r="T84" i="189"/>
  <c r="T155" i="189" s="1"/>
  <c r="T25" i="191" s="1"/>
  <c r="T130" i="191" s="1"/>
  <c r="X102" i="189"/>
  <c r="X190" i="189" s="1"/>
  <c r="X61" i="191" s="1"/>
  <c r="X166" i="191" s="1"/>
  <c r="X101" i="186"/>
  <c r="X113" i="186" s="1"/>
  <c r="T98" i="186"/>
  <c r="T110" i="186" s="1"/>
  <c r="T99" i="189"/>
  <c r="T187" i="189" s="1"/>
  <c r="T58" i="191" s="1"/>
  <c r="T163" i="191" s="1"/>
  <c r="S107" i="189"/>
  <c r="S212" i="189" s="1"/>
  <c r="S84" i="191" s="1"/>
  <c r="S189" i="191" s="1"/>
  <c r="S117" i="186"/>
  <c r="S129" i="186" s="1"/>
  <c r="S112" i="189"/>
  <c r="S217" i="189" s="1"/>
  <c r="S89" i="191" s="1"/>
  <c r="S194" i="191" s="1"/>
  <c r="S122" i="186"/>
  <c r="S134" i="186" s="1"/>
  <c r="T124" i="186"/>
  <c r="T136" i="186" s="1"/>
  <c r="T114" i="189"/>
  <c r="T219" i="189" s="1"/>
  <c r="T91" i="191" s="1"/>
  <c r="T196" i="191" s="1"/>
  <c r="Y100" i="189"/>
  <c r="Y188" i="189" s="1"/>
  <c r="Y59" i="191" s="1"/>
  <c r="Y164" i="191" s="1"/>
  <c r="Y99" i="186"/>
  <c r="Y111" i="186" s="1"/>
  <c r="U90" i="189"/>
  <c r="U161" i="189" s="1"/>
  <c r="U31" i="191" s="1"/>
  <c r="U136" i="191" s="1"/>
  <c r="U78" i="186"/>
  <c r="U90" i="186" s="1"/>
  <c r="Y113" i="189"/>
  <c r="Y218" i="189" s="1"/>
  <c r="Y90" i="191" s="1"/>
  <c r="Y195" i="191" s="1"/>
  <c r="Y123" i="186"/>
  <c r="Y135" i="186" s="1"/>
  <c r="X109" i="189"/>
  <c r="X214" i="189" s="1"/>
  <c r="X86" i="191" s="1"/>
  <c r="X191" i="191" s="1"/>
  <c r="X119" i="186"/>
  <c r="X131" i="186" s="1"/>
  <c r="V90" i="189"/>
  <c r="V161" i="189" s="1"/>
  <c r="V31" i="191" s="1"/>
  <c r="V136" i="191" s="1"/>
  <c r="V78" i="186"/>
  <c r="V90" i="186" s="1"/>
  <c r="V94" i="189"/>
  <c r="V182" i="189" s="1"/>
  <c r="V53" i="191" s="1"/>
  <c r="V158" i="191" s="1"/>
  <c r="V93" i="189"/>
  <c r="V181" i="189" s="1"/>
  <c r="V52" i="191" s="1"/>
  <c r="V157" i="191" s="1"/>
  <c r="V93" i="186"/>
  <c r="V105" i="186" s="1"/>
  <c r="R89" i="189"/>
  <c r="R160" i="189" s="1"/>
  <c r="R30" i="191" s="1"/>
  <c r="R135" i="191" s="1"/>
  <c r="R77" i="186"/>
  <c r="R89" i="186" s="1"/>
  <c r="U82" i="189"/>
  <c r="U153" i="189" s="1"/>
  <c r="U23" i="191" s="1"/>
  <c r="U128" i="191" s="1"/>
  <c r="U81" i="189"/>
  <c r="U152" i="189" s="1"/>
  <c r="U70" i="186"/>
  <c r="U82" i="186" s="1"/>
  <c r="S114" i="189"/>
  <c r="S219" i="189" s="1"/>
  <c r="S91" i="191" s="1"/>
  <c r="S196" i="191" s="1"/>
  <c r="S124" i="186"/>
  <c r="S136" i="186" s="1"/>
  <c r="W96" i="189"/>
  <c r="W184" i="189" s="1"/>
  <c r="W55" i="191" s="1"/>
  <c r="W160" i="191" s="1"/>
  <c r="W95" i="186"/>
  <c r="W107" i="186" s="1"/>
  <c r="Q109" i="189"/>
  <c r="Q214" i="189" s="1"/>
  <c r="Q86" i="191" s="1"/>
  <c r="Q191" i="191" s="1"/>
  <c r="Q119" i="186"/>
  <c r="Q131" i="186" s="1"/>
  <c r="W90" i="189"/>
  <c r="W161" i="189" s="1"/>
  <c r="W31" i="191" s="1"/>
  <c r="W136" i="191" s="1"/>
  <c r="W78" i="186"/>
  <c r="W90" i="186" s="1"/>
  <c r="Y82" i="189"/>
  <c r="Y153" i="189" s="1"/>
  <c r="Y23" i="191" s="1"/>
  <c r="Y128" i="191" s="1"/>
  <c r="Y81" i="189"/>
  <c r="Y152" i="189" s="1"/>
  <c r="Y70" i="186"/>
  <c r="Y82" i="186" s="1"/>
  <c r="J91" i="185"/>
  <c r="J267" i="185" s="1"/>
  <c r="J78" i="189" s="1"/>
  <c r="X99" i="189"/>
  <c r="X187" i="189" s="1"/>
  <c r="X58" i="191" s="1"/>
  <c r="X163" i="191" s="1"/>
  <c r="X98" i="186"/>
  <c r="X110" i="186" s="1"/>
  <c r="X87" i="189"/>
  <c r="X158" i="189" s="1"/>
  <c r="X28" i="191" s="1"/>
  <c r="X133" i="191" s="1"/>
  <c r="X75" i="186"/>
  <c r="X87" i="186" s="1"/>
  <c r="Y94" i="189"/>
  <c r="Y182" i="189" s="1"/>
  <c r="Y53" i="191" s="1"/>
  <c r="Y158" i="191" s="1"/>
  <c r="Y93" i="189"/>
  <c r="Y181" i="189" s="1"/>
  <c r="Y52" i="191" s="1"/>
  <c r="Y157" i="191" s="1"/>
  <c r="Y93" i="186"/>
  <c r="Y105" i="186" s="1"/>
  <c r="S82" i="189"/>
  <c r="S153" i="189" s="1"/>
  <c r="S23" i="191" s="1"/>
  <c r="S128" i="191" s="1"/>
  <c r="S81" i="189"/>
  <c r="S152" i="189" s="1"/>
  <c r="S70" i="186"/>
  <c r="S82" i="186" s="1"/>
  <c r="Q98" i="189"/>
  <c r="Q186" i="189" s="1"/>
  <c r="Q57" i="191" s="1"/>
  <c r="Q162" i="191" s="1"/>
  <c r="Q97" i="186"/>
  <c r="Q109" i="186" s="1"/>
  <c r="Y99" i="189"/>
  <c r="Y187" i="189" s="1"/>
  <c r="Y58" i="191" s="1"/>
  <c r="Y163" i="191" s="1"/>
  <c r="Y98" i="186"/>
  <c r="Y110" i="186" s="1"/>
  <c r="W98" i="189"/>
  <c r="W186" i="189" s="1"/>
  <c r="W57" i="191" s="1"/>
  <c r="W162" i="191" s="1"/>
  <c r="W97" i="186"/>
  <c r="W109" i="186" s="1"/>
  <c r="Y83" i="189"/>
  <c r="Y154" i="189" s="1"/>
  <c r="Y24" i="191" s="1"/>
  <c r="Y129" i="191" s="1"/>
  <c r="Y71" i="186"/>
  <c r="Y83" i="186" s="1"/>
  <c r="Y98" i="189"/>
  <c r="Y186" i="189" s="1"/>
  <c r="Y57" i="191" s="1"/>
  <c r="Y162" i="191" s="1"/>
  <c r="Y97" i="186"/>
  <c r="Y109" i="186" s="1"/>
  <c r="P78" i="194"/>
  <c r="P77" i="194"/>
  <c r="P75" i="194"/>
  <c r="Y85" i="189"/>
  <c r="Y156" i="189" s="1"/>
  <c r="Y26" i="191" s="1"/>
  <c r="Y131" i="191" s="1"/>
  <c r="Y73" i="186"/>
  <c r="Y85" i="186" s="1"/>
  <c r="U99" i="189"/>
  <c r="U187" i="189" s="1"/>
  <c r="U58" i="191" s="1"/>
  <c r="U163" i="191" s="1"/>
  <c r="U98" i="186"/>
  <c r="U110" i="186" s="1"/>
  <c r="Q101" i="189"/>
  <c r="Q189" i="189" s="1"/>
  <c r="Q60" i="191" s="1"/>
  <c r="Q165" i="191" s="1"/>
  <c r="Q100" i="186"/>
  <c r="Q112" i="186" s="1"/>
  <c r="L73" i="194"/>
  <c r="L76" i="194"/>
  <c r="L75" i="194"/>
  <c r="Q97" i="189"/>
  <c r="Q185" i="189" s="1"/>
  <c r="Q56" i="191" s="1"/>
  <c r="Q161" i="191" s="1"/>
  <c r="Q96" i="186"/>
  <c r="Q108" i="186" s="1"/>
  <c r="T119" i="186"/>
  <c r="T131" i="186" s="1"/>
  <c r="T109" i="189"/>
  <c r="T214" i="189" s="1"/>
  <c r="T86" i="191" s="1"/>
  <c r="T191" i="191" s="1"/>
  <c r="T97" i="186"/>
  <c r="T109" i="186" s="1"/>
  <c r="T98" i="189"/>
  <c r="T186" i="189" s="1"/>
  <c r="T57" i="191" s="1"/>
  <c r="T162" i="191" s="1"/>
  <c r="S111" i="189"/>
  <c r="S216" i="189" s="1"/>
  <c r="S88" i="191" s="1"/>
  <c r="S193" i="191" s="1"/>
  <c r="S121" i="186"/>
  <c r="S133" i="186" s="1"/>
  <c r="V97" i="189"/>
  <c r="V185" i="189" s="1"/>
  <c r="V56" i="191" s="1"/>
  <c r="V161" i="191" s="1"/>
  <c r="V96" i="186"/>
  <c r="V108" i="186" s="1"/>
  <c r="V98" i="189"/>
  <c r="V186" i="189" s="1"/>
  <c r="V57" i="191" s="1"/>
  <c r="V162" i="191" s="1"/>
  <c r="V97" i="186"/>
  <c r="V109" i="186" s="1"/>
  <c r="Q78" i="194"/>
  <c r="Q75" i="194"/>
  <c r="Q73" i="194"/>
  <c r="Q72" i="194"/>
  <c r="V99" i="189"/>
  <c r="V187" i="189" s="1"/>
  <c r="V58" i="191" s="1"/>
  <c r="V163" i="191" s="1"/>
  <c r="V98" i="186"/>
  <c r="V110" i="186" s="1"/>
  <c r="Y84" i="189"/>
  <c r="Y155" i="189" s="1"/>
  <c r="Y25" i="191" s="1"/>
  <c r="Y130" i="191" s="1"/>
  <c r="Y72" i="186"/>
  <c r="Y84" i="186" s="1"/>
  <c r="S98" i="189"/>
  <c r="S186" i="189" s="1"/>
  <c r="S57" i="191" s="1"/>
  <c r="S162" i="191" s="1"/>
  <c r="S97" i="186"/>
  <c r="S109" i="186" s="1"/>
  <c r="Q114" i="189"/>
  <c r="Q219" i="189" s="1"/>
  <c r="Q91" i="191" s="1"/>
  <c r="Q196" i="191" s="1"/>
  <c r="Q124" i="186"/>
  <c r="Q136" i="186" s="1"/>
  <c r="V100" i="189"/>
  <c r="V188" i="189" s="1"/>
  <c r="V59" i="191" s="1"/>
  <c r="V164" i="191" s="1"/>
  <c r="V99" i="186"/>
  <c r="V111" i="186" s="1"/>
  <c r="T117" i="186"/>
  <c r="T129" i="186" s="1"/>
  <c r="T107" i="189"/>
  <c r="T212" i="189" s="1"/>
  <c r="T84" i="191" s="1"/>
  <c r="T189" i="191" s="1"/>
  <c r="X106" i="189"/>
  <c r="X211" i="189" s="1"/>
  <c r="X83" i="191" s="1"/>
  <c r="X188" i="191" s="1"/>
  <c r="X105" i="189"/>
  <c r="X210" i="189" s="1"/>
  <c r="X82" i="191" s="1"/>
  <c r="X187" i="191" s="1"/>
  <c r="X116" i="186"/>
  <c r="X128" i="186" s="1"/>
  <c r="Y111" i="189"/>
  <c r="Y216" i="189" s="1"/>
  <c r="Y88" i="191" s="1"/>
  <c r="Y193" i="191" s="1"/>
  <c r="Y121" i="186"/>
  <c r="Y133" i="186" s="1"/>
  <c r="S90" i="189"/>
  <c r="S161" i="189" s="1"/>
  <c r="S31" i="191" s="1"/>
  <c r="S136" i="191" s="1"/>
  <c r="S78" i="186"/>
  <c r="S90" i="186" s="1"/>
  <c r="T123" i="186"/>
  <c r="T135" i="186" s="1"/>
  <c r="T113" i="189"/>
  <c r="T218" i="189" s="1"/>
  <c r="T90" i="191" s="1"/>
  <c r="T195" i="191" s="1"/>
  <c r="U106" i="189"/>
  <c r="U211" i="189" s="1"/>
  <c r="U83" i="191" s="1"/>
  <c r="U188" i="191" s="1"/>
  <c r="U105" i="189"/>
  <c r="U210" i="189" s="1"/>
  <c r="U82" i="191" s="1"/>
  <c r="U187" i="191" s="1"/>
  <c r="U116" i="186"/>
  <c r="U128" i="186" s="1"/>
  <c r="Y110" i="189"/>
  <c r="Y215" i="189" s="1"/>
  <c r="Y87" i="191" s="1"/>
  <c r="Y192" i="191" s="1"/>
  <c r="Y120" i="186"/>
  <c r="Y132" i="186" s="1"/>
  <c r="U86" i="189"/>
  <c r="U157" i="189" s="1"/>
  <c r="U27" i="191" s="1"/>
  <c r="U132" i="191" s="1"/>
  <c r="U74" i="186"/>
  <c r="U86" i="186" s="1"/>
  <c r="S85" i="189"/>
  <c r="S156" i="189" s="1"/>
  <c r="S26" i="191" s="1"/>
  <c r="S131" i="191" s="1"/>
  <c r="S73" i="186"/>
  <c r="S85" i="186" s="1"/>
  <c r="Q96" i="189"/>
  <c r="Q184" i="189" s="1"/>
  <c r="Q55" i="191" s="1"/>
  <c r="Q160" i="191" s="1"/>
  <c r="Q95" i="186"/>
  <c r="Q107" i="186" s="1"/>
  <c r="V106" i="189"/>
  <c r="V211" i="189" s="1"/>
  <c r="V83" i="191" s="1"/>
  <c r="V188" i="191" s="1"/>
  <c r="V105" i="189"/>
  <c r="V210" i="189" s="1"/>
  <c r="V82" i="191" s="1"/>
  <c r="V187" i="191" s="1"/>
  <c r="V116" i="186"/>
  <c r="V128" i="186" s="1"/>
  <c r="W95" i="189"/>
  <c r="W183" i="189" s="1"/>
  <c r="W54" i="191" s="1"/>
  <c r="W159" i="191" s="1"/>
  <c r="W94" i="186"/>
  <c r="W106" i="186" s="1"/>
  <c r="S97" i="189"/>
  <c r="S185" i="189" s="1"/>
  <c r="S56" i="191" s="1"/>
  <c r="S161" i="191" s="1"/>
  <c r="S96" i="186"/>
  <c r="S108" i="186" s="1"/>
  <c r="T71" i="186"/>
  <c r="T83" i="186" s="1"/>
  <c r="T83" i="189"/>
  <c r="T154" i="189" s="1"/>
  <c r="T24" i="191" s="1"/>
  <c r="T129" i="191" s="1"/>
  <c r="V107" i="189"/>
  <c r="V212" i="189" s="1"/>
  <c r="V84" i="191" s="1"/>
  <c r="V189" i="191" s="1"/>
  <c r="V117" i="186"/>
  <c r="V129" i="186" s="1"/>
  <c r="X96" i="189"/>
  <c r="X184" i="189" s="1"/>
  <c r="X55" i="191" s="1"/>
  <c r="X160" i="191" s="1"/>
  <c r="X95" i="186"/>
  <c r="X107" i="186" s="1"/>
  <c r="L91" i="185"/>
  <c r="L267" i="185" s="1"/>
  <c r="L78" i="189" s="1"/>
  <c r="X98" i="189"/>
  <c r="X186" i="189" s="1"/>
  <c r="X57" i="191" s="1"/>
  <c r="X162" i="191" s="1"/>
  <c r="X97" i="186"/>
  <c r="X109" i="186" s="1"/>
  <c r="Q95" i="189"/>
  <c r="Q183" i="189" s="1"/>
  <c r="Q54" i="191" s="1"/>
  <c r="Q159" i="191" s="1"/>
  <c r="Q94" i="186"/>
  <c r="Q106" i="186" s="1"/>
  <c r="S100" i="189"/>
  <c r="S188" i="189" s="1"/>
  <c r="S59" i="191" s="1"/>
  <c r="S164" i="191" s="1"/>
  <c r="S99" i="186"/>
  <c r="S111" i="186" s="1"/>
  <c r="V111" i="189"/>
  <c r="V216" i="189" s="1"/>
  <c r="V88" i="191" s="1"/>
  <c r="V193" i="191" s="1"/>
  <c r="V121" i="186"/>
  <c r="V133" i="186" s="1"/>
  <c r="W100" i="189"/>
  <c r="W188" i="189" s="1"/>
  <c r="W59" i="191" s="1"/>
  <c r="W164" i="191" s="1"/>
  <c r="W99" i="186"/>
  <c r="W111" i="186" s="1"/>
  <c r="J78" i="194"/>
  <c r="J76" i="194"/>
  <c r="J75" i="194"/>
  <c r="J72" i="194"/>
  <c r="Q84" i="189"/>
  <c r="Q155" i="189" s="1"/>
  <c r="Q25" i="191" s="1"/>
  <c r="Q130" i="191" s="1"/>
  <c r="Q72" i="186"/>
  <c r="Q84" i="186" s="1"/>
  <c r="N291" i="185" l="1"/>
  <c r="N102" i="189" s="1"/>
  <c r="N190" i="189" s="1"/>
  <c r="N61" i="191" s="1"/>
  <c r="N166" i="191" s="1"/>
  <c r="N279" i="185"/>
  <c r="N89" i="189" s="1"/>
  <c r="N160" i="189" s="1"/>
  <c r="N30" i="191" s="1"/>
  <c r="N135" i="191" s="1"/>
  <c r="N287" i="185"/>
  <c r="N98" i="189" s="1"/>
  <c r="N186" i="189" s="1"/>
  <c r="N57" i="191" s="1"/>
  <c r="N162" i="191" s="1"/>
  <c r="N285" i="185"/>
  <c r="N96" i="189" s="1"/>
  <c r="N184" i="189" s="1"/>
  <c r="N55" i="191" s="1"/>
  <c r="N160" i="191" s="1"/>
  <c r="N302" i="185"/>
  <c r="N114" i="189" s="1"/>
  <c r="N219" i="189" s="1"/>
  <c r="N91" i="191" s="1"/>
  <c r="N196" i="191" s="1"/>
  <c r="N275" i="185"/>
  <c r="N85" i="189" s="1"/>
  <c r="N156" i="189" s="1"/>
  <c r="N26" i="191" s="1"/>
  <c r="N131" i="191" s="1"/>
  <c r="P283" i="185"/>
  <c r="P94" i="189" s="1"/>
  <c r="P182" i="189" s="1"/>
  <c r="P53" i="191" s="1"/>
  <c r="P158" i="191" s="1"/>
  <c r="P301" i="185"/>
  <c r="P113" i="189" s="1"/>
  <c r="P218" i="189" s="1"/>
  <c r="P90" i="191" s="1"/>
  <c r="P195" i="191" s="1"/>
  <c r="N273" i="185"/>
  <c r="N83" i="189" s="1"/>
  <c r="N154" i="189" s="1"/>
  <c r="N24" i="191" s="1"/>
  <c r="N129" i="191" s="1"/>
  <c r="N288" i="185"/>
  <c r="N99" i="189" s="1"/>
  <c r="N187" i="189" s="1"/>
  <c r="N58" i="191" s="1"/>
  <c r="N163" i="191" s="1"/>
  <c r="N299" i="185"/>
  <c r="N121" i="186" s="1"/>
  <c r="N133" i="186" s="1"/>
  <c r="N289" i="185"/>
  <c r="N100" i="189" s="1"/>
  <c r="N188" i="189" s="1"/>
  <c r="N59" i="191" s="1"/>
  <c r="N164" i="191" s="1"/>
  <c r="N290" i="185"/>
  <c r="N101" i="189" s="1"/>
  <c r="N189" i="189" s="1"/>
  <c r="N60" i="191" s="1"/>
  <c r="N165" i="191" s="1"/>
  <c r="N284" i="185"/>
  <c r="N95" i="189" s="1"/>
  <c r="N183" i="189" s="1"/>
  <c r="N54" i="191" s="1"/>
  <c r="N159" i="191" s="1"/>
  <c r="P274" i="185"/>
  <c r="P84" i="189" s="1"/>
  <c r="P155" i="189" s="1"/>
  <c r="P25" i="191" s="1"/>
  <c r="P130" i="191" s="1"/>
  <c r="N296" i="185"/>
  <c r="N108" i="189" s="1"/>
  <c r="N213" i="189" s="1"/>
  <c r="N85" i="191" s="1"/>
  <c r="N190" i="191" s="1"/>
  <c r="N278" i="185"/>
  <c r="N88" i="189" s="1"/>
  <c r="N159" i="189" s="1"/>
  <c r="N29" i="191" s="1"/>
  <c r="N134" i="191" s="1"/>
  <c r="O302" i="185"/>
  <c r="O114" i="189" s="1"/>
  <c r="O219" i="189" s="1"/>
  <c r="O91" i="191" s="1"/>
  <c r="O196" i="191" s="1"/>
  <c r="O287" i="185"/>
  <c r="O97" i="186" s="1"/>
  <c r="O109" i="186" s="1"/>
  <c r="O284" i="185"/>
  <c r="O95" i="189" s="1"/>
  <c r="O183" i="189" s="1"/>
  <c r="O54" i="191" s="1"/>
  <c r="O159" i="191" s="1"/>
  <c r="O297" i="185"/>
  <c r="O119" i="186" s="1"/>
  <c r="O131" i="186" s="1"/>
  <c r="O301" i="185"/>
  <c r="O113" i="189" s="1"/>
  <c r="O218" i="189" s="1"/>
  <c r="O90" i="191" s="1"/>
  <c r="O195" i="191" s="1"/>
  <c r="O296" i="185"/>
  <c r="O108" i="189" s="1"/>
  <c r="O213" i="189" s="1"/>
  <c r="O85" i="191" s="1"/>
  <c r="O190" i="191" s="1"/>
  <c r="O298" i="185"/>
  <c r="O110" i="189" s="1"/>
  <c r="O215" i="189" s="1"/>
  <c r="O87" i="191" s="1"/>
  <c r="O192" i="191" s="1"/>
  <c r="O285" i="185"/>
  <c r="O96" i="189" s="1"/>
  <c r="O184" i="189" s="1"/>
  <c r="O55" i="191" s="1"/>
  <c r="O160" i="191" s="1"/>
  <c r="O280" i="185"/>
  <c r="O90" i="189" s="1"/>
  <c r="O161" i="189" s="1"/>
  <c r="O31" i="191" s="1"/>
  <c r="O136" i="191" s="1"/>
  <c r="O283" i="185"/>
  <c r="O94" i="189" s="1"/>
  <c r="O182" i="189" s="1"/>
  <c r="O53" i="191" s="1"/>
  <c r="O158" i="191" s="1"/>
  <c r="O300" i="185"/>
  <c r="O112" i="189" s="1"/>
  <c r="O217" i="189" s="1"/>
  <c r="O89" i="191" s="1"/>
  <c r="O194" i="191" s="1"/>
  <c r="O289" i="185"/>
  <c r="O99" i="186" s="1"/>
  <c r="O111" i="186" s="1"/>
  <c r="O295" i="185"/>
  <c r="O107" i="189" s="1"/>
  <c r="O212" i="189" s="1"/>
  <c r="O84" i="191" s="1"/>
  <c r="O189" i="191" s="1"/>
  <c r="O273" i="185"/>
  <c r="O71" i="186" s="1"/>
  <c r="O83" i="186" s="1"/>
  <c r="O274" i="185"/>
  <c r="O84" i="189" s="1"/>
  <c r="O155" i="189" s="1"/>
  <c r="O25" i="191" s="1"/>
  <c r="O130" i="191" s="1"/>
  <c r="O299" i="185"/>
  <c r="O111" i="189" s="1"/>
  <c r="O216" i="189" s="1"/>
  <c r="O88" i="191" s="1"/>
  <c r="O193" i="191" s="1"/>
  <c r="O290" i="185"/>
  <c r="O101" i="189" s="1"/>
  <c r="O189" i="189" s="1"/>
  <c r="O60" i="191" s="1"/>
  <c r="O165" i="191" s="1"/>
  <c r="O286" i="185"/>
  <c r="O97" i="189" s="1"/>
  <c r="O185" i="189" s="1"/>
  <c r="O56" i="191" s="1"/>
  <c r="O161" i="191" s="1"/>
  <c r="O291" i="185"/>
  <c r="O101" i="186" s="1"/>
  <c r="O113" i="186" s="1"/>
  <c r="O276" i="185"/>
  <c r="O86" i="189" s="1"/>
  <c r="O157" i="189" s="1"/>
  <c r="O27" i="191" s="1"/>
  <c r="O132" i="191" s="1"/>
  <c r="O272" i="185"/>
  <c r="O82" i="189" s="1"/>
  <c r="O153" i="189" s="1"/>
  <c r="O23" i="191" s="1"/>
  <c r="O128" i="191" s="1"/>
  <c r="O275" i="185"/>
  <c r="O85" i="189" s="1"/>
  <c r="O156" i="189" s="1"/>
  <c r="O26" i="191" s="1"/>
  <c r="O131" i="191" s="1"/>
  <c r="O288" i="185"/>
  <c r="O99" i="189" s="1"/>
  <c r="O187" i="189" s="1"/>
  <c r="O58" i="191" s="1"/>
  <c r="O163" i="191" s="1"/>
  <c r="O278" i="185"/>
  <c r="O88" i="189" s="1"/>
  <c r="O159" i="189" s="1"/>
  <c r="O29" i="191" s="1"/>
  <c r="O134" i="191" s="1"/>
  <c r="O277" i="185"/>
  <c r="O75" i="186" s="1"/>
  <c r="O87" i="186" s="1"/>
  <c r="O77" i="186"/>
  <c r="O89" i="186" s="1"/>
  <c r="P279" i="185"/>
  <c r="P77" i="186" s="1"/>
  <c r="P89" i="186" s="1"/>
  <c r="N283" i="185"/>
  <c r="N94" i="189" s="1"/>
  <c r="N182" i="189" s="1"/>
  <c r="N53" i="191" s="1"/>
  <c r="N158" i="191" s="1"/>
  <c r="N277" i="185"/>
  <c r="N87" i="189" s="1"/>
  <c r="N158" i="189" s="1"/>
  <c r="N28" i="191" s="1"/>
  <c r="N133" i="191" s="1"/>
  <c r="N272" i="185"/>
  <c r="N82" i="189" s="1"/>
  <c r="N153" i="189" s="1"/>
  <c r="N23" i="191" s="1"/>
  <c r="N128" i="191" s="1"/>
  <c r="N280" i="185"/>
  <c r="N90" i="189" s="1"/>
  <c r="N161" i="189" s="1"/>
  <c r="N31" i="191" s="1"/>
  <c r="N136" i="191" s="1"/>
  <c r="N295" i="185"/>
  <c r="N107" i="189" s="1"/>
  <c r="N212" i="189" s="1"/>
  <c r="N84" i="191" s="1"/>
  <c r="N189" i="191" s="1"/>
  <c r="P285" i="185"/>
  <c r="P96" i="189" s="1"/>
  <c r="P184" i="189" s="1"/>
  <c r="P55" i="191" s="1"/>
  <c r="P160" i="191" s="1"/>
  <c r="P300" i="185"/>
  <c r="P112" i="189" s="1"/>
  <c r="P217" i="189" s="1"/>
  <c r="P89" i="191" s="1"/>
  <c r="P194" i="191" s="1"/>
  <c r="P272" i="185"/>
  <c r="P82" i="189" s="1"/>
  <c r="P153" i="189" s="1"/>
  <c r="P23" i="191" s="1"/>
  <c r="P128" i="191" s="1"/>
  <c r="P276" i="185"/>
  <c r="P74" i="186" s="1"/>
  <c r="P86" i="186" s="1"/>
  <c r="P289" i="185"/>
  <c r="P100" i="189" s="1"/>
  <c r="P188" i="189" s="1"/>
  <c r="P59" i="191" s="1"/>
  <c r="P164" i="191" s="1"/>
  <c r="P286" i="185"/>
  <c r="P97" i="189" s="1"/>
  <c r="P185" i="189" s="1"/>
  <c r="P56" i="191" s="1"/>
  <c r="P161" i="191" s="1"/>
  <c r="P302" i="185"/>
  <c r="P114" i="189" s="1"/>
  <c r="P219" i="189" s="1"/>
  <c r="P91" i="191" s="1"/>
  <c r="P196" i="191" s="1"/>
  <c r="S108" i="194"/>
  <c r="S140" i="194" s="1"/>
  <c r="Y106" i="194"/>
  <c r="Y138" i="194" s="1"/>
  <c r="N103" i="194"/>
  <c r="N135" i="194" s="1"/>
  <c r="U107" i="194"/>
  <c r="U139" i="194" s="1"/>
  <c r="P101" i="186"/>
  <c r="P113" i="186" s="1"/>
  <c r="P295" i="185"/>
  <c r="P107" i="189" s="1"/>
  <c r="P212" i="189" s="1"/>
  <c r="P84" i="191" s="1"/>
  <c r="P189" i="191" s="1"/>
  <c r="P294" i="185"/>
  <c r="P105" i="189" s="1"/>
  <c r="P210" i="189" s="1"/>
  <c r="P82" i="191" s="1"/>
  <c r="P187" i="191" s="1"/>
  <c r="P288" i="185"/>
  <c r="P99" i="189" s="1"/>
  <c r="P187" i="189" s="1"/>
  <c r="P58" i="191" s="1"/>
  <c r="P163" i="191" s="1"/>
  <c r="P280" i="185"/>
  <c r="P90" i="189" s="1"/>
  <c r="P161" i="189" s="1"/>
  <c r="P31" i="191" s="1"/>
  <c r="P136" i="191" s="1"/>
  <c r="P287" i="185"/>
  <c r="P98" i="189" s="1"/>
  <c r="P186" i="189" s="1"/>
  <c r="P57" i="191" s="1"/>
  <c r="P162" i="191" s="1"/>
  <c r="P273" i="185"/>
  <c r="P71" i="186" s="1"/>
  <c r="P83" i="186" s="1"/>
  <c r="P284" i="185"/>
  <c r="P290" i="185"/>
  <c r="P100" i="186" s="1"/>
  <c r="P112" i="186" s="1"/>
  <c r="P277" i="185"/>
  <c r="P75" i="186" s="1"/>
  <c r="P87" i="186" s="1"/>
  <c r="P299" i="185"/>
  <c r="P111" i="189" s="1"/>
  <c r="P216" i="189" s="1"/>
  <c r="P88" i="191" s="1"/>
  <c r="P193" i="191" s="1"/>
  <c r="P278" i="185"/>
  <c r="P88" i="189" s="1"/>
  <c r="P159" i="189" s="1"/>
  <c r="P29" i="191" s="1"/>
  <c r="P134" i="191" s="1"/>
  <c r="N286" i="185"/>
  <c r="N96" i="186" s="1"/>
  <c r="N108" i="186" s="1"/>
  <c r="P296" i="185"/>
  <c r="P108" i="189" s="1"/>
  <c r="P213" i="189" s="1"/>
  <c r="P85" i="191" s="1"/>
  <c r="P190" i="191" s="1"/>
  <c r="P298" i="185"/>
  <c r="P110" i="189" s="1"/>
  <c r="P215" i="189" s="1"/>
  <c r="P87" i="191" s="1"/>
  <c r="P192" i="191" s="1"/>
  <c r="P297" i="185"/>
  <c r="P109" i="189" s="1"/>
  <c r="P214" i="189" s="1"/>
  <c r="P86" i="191" s="1"/>
  <c r="P191" i="191" s="1"/>
  <c r="P275" i="185"/>
  <c r="P85" i="189" s="1"/>
  <c r="P156" i="189" s="1"/>
  <c r="P26" i="191" s="1"/>
  <c r="P131" i="191" s="1"/>
  <c r="N274" i="185"/>
  <c r="N72" i="186" s="1"/>
  <c r="N84" i="186" s="1"/>
  <c r="N297" i="185"/>
  <c r="N109" i="189" s="1"/>
  <c r="N214" i="189" s="1"/>
  <c r="N86" i="191" s="1"/>
  <c r="N191" i="191" s="1"/>
  <c r="U104" i="194"/>
  <c r="U136" i="194" s="1"/>
  <c r="R108" i="194"/>
  <c r="R140" i="194" s="1"/>
  <c r="P103" i="194"/>
  <c r="P135" i="194" s="1"/>
  <c r="X103" i="194"/>
  <c r="X135" i="194" s="1"/>
  <c r="V106" i="194"/>
  <c r="V138" i="194" s="1"/>
  <c r="U105" i="194"/>
  <c r="U137" i="194" s="1"/>
  <c r="R107" i="194"/>
  <c r="R139" i="194" s="1"/>
  <c r="R106" i="194"/>
  <c r="R138" i="194" s="1"/>
  <c r="M103" i="194"/>
  <c r="M135" i="194" s="1"/>
  <c r="Y108" i="194"/>
  <c r="Y140" i="194" s="1"/>
  <c r="R105" i="194"/>
  <c r="R137" i="194" s="1"/>
  <c r="N104" i="194"/>
  <c r="N136" i="194" s="1"/>
  <c r="W106" i="194"/>
  <c r="W138" i="194" s="1"/>
  <c r="T106" i="194"/>
  <c r="T138" i="194" s="1"/>
  <c r="N106" i="194"/>
  <c r="N138" i="194" s="1"/>
  <c r="X104" i="194"/>
  <c r="X136" i="194" s="1"/>
  <c r="U108" i="194"/>
  <c r="U140" i="194" s="1"/>
  <c r="U106" i="194"/>
  <c r="U138" i="194" s="1"/>
  <c r="S105" i="194"/>
  <c r="S137" i="194" s="1"/>
  <c r="R104" i="194"/>
  <c r="R136" i="194" s="1"/>
  <c r="V103" i="194"/>
  <c r="V135" i="194" s="1"/>
  <c r="P107" i="194"/>
  <c r="P139" i="194" s="1"/>
  <c r="O107" i="194"/>
  <c r="O139" i="194" s="1"/>
  <c r="K107" i="194"/>
  <c r="K139" i="194" s="1"/>
  <c r="X107" i="194"/>
  <c r="X139" i="194" s="1"/>
  <c r="T107" i="194"/>
  <c r="T139" i="194" s="1"/>
  <c r="Q107" i="194"/>
  <c r="Q139" i="194" s="1"/>
  <c r="V107" i="194"/>
  <c r="V139" i="194" s="1"/>
  <c r="W107" i="194"/>
  <c r="W139" i="194" s="1"/>
  <c r="M107" i="194"/>
  <c r="M139" i="194" s="1"/>
  <c r="N107" i="194"/>
  <c r="N139" i="194" s="1"/>
  <c r="S107" i="194"/>
  <c r="S139" i="194" s="1"/>
  <c r="Y107" i="194"/>
  <c r="Y139" i="194" s="1"/>
  <c r="P105" i="194"/>
  <c r="P137" i="194" s="1"/>
  <c r="X105" i="194"/>
  <c r="X137" i="194" s="1"/>
  <c r="S104" i="194"/>
  <c r="S136" i="194" s="1"/>
  <c r="X108" i="194"/>
  <c r="X140" i="194" s="1"/>
  <c r="K108" i="194"/>
  <c r="K140" i="194" s="1"/>
  <c r="T108" i="194"/>
  <c r="T140" i="194" s="1"/>
  <c r="Q108" i="194"/>
  <c r="Q140" i="194" s="1"/>
  <c r="N102" i="194"/>
  <c r="N134" i="194" s="1"/>
  <c r="N105" i="194"/>
  <c r="N137" i="194" s="1"/>
  <c r="M105" i="194"/>
  <c r="M137" i="194" s="1"/>
  <c r="V105" i="194"/>
  <c r="V137" i="194" s="1"/>
  <c r="Q104" i="194"/>
  <c r="Q136" i="194" s="1"/>
  <c r="M104" i="194"/>
  <c r="M136" i="194" s="1"/>
  <c r="V104" i="194"/>
  <c r="V136" i="194" s="1"/>
  <c r="T104" i="194"/>
  <c r="T136" i="194" s="1"/>
  <c r="Q103" i="194"/>
  <c r="Q135" i="194" s="1"/>
  <c r="Y103" i="194"/>
  <c r="Y135" i="194" s="1"/>
  <c r="K103" i="194"/>
  <c r="K135" i="194" s="1"/>
  <c r="J93" i="185"/>
  <c r="L93" i="185"/>
  <c r="V108" i="194"/>
  <c r="V140" i="194" s="1"/>
  <c r="W108" i="194"/>
  <c r="W140" i="194" s="1"/>
  <c r="O108" i="194"/>
  <c r="O140" i="194" s="1"/>
  <c r="M108" i="194"/>
  <c r="M140" i="194" s="1"/>
  <c r="P106" i="194"/>
  <c r="P138" i="194" s="1"/>
  <c r="Q106" i="194"/>
  <c r="Q138" i="194" s="1"/>
  <c r="M106" i="194"/>
  <c r="M138" i="194" s="1"/>
  <c r="S106" i="194"/>
  <c r="S138" i="194" s="1"/>
  <c r="Q105" i="194"/>
  <c r="Q137" i="194" s="1"/>
  <c r="Y105" i="194"/>
  <c r="Y137" i="194" s="1"/>
  <c r="T105" i="194"/>
  <c r="T137" i="194" s="1"/>
  <c r="P104" i="194"/>
  <c r="P136" i="194" s="1"/>
  <c r="Y104" i="194"/>
  <c r="Y136" i="194" s="1"/>
  <c r="K104" i="194"/>
  <c r="K136" i="194" s="1"/>
  <c r="O103" i="194"/>
  <c r="O135" i="194" s="1"/>
  <c r="W103" i="194"/>
  <c r="W135" i="194" s="1"/>
  <c r="U103" i="194"/>
  <c r="U135" i="194" s="1"/>
  <c r="M93" i="185"/>
  <c r="P108" i="194"/>
  <c r="P140" i="194" s="1"/>
  <c r="N108" i="194"/>
  <c r="N140" i="194" s="1"/>
  <c r="K106" i="194"/>
  <c r="K138" i="194" s="1"/>
  <c r="O106" i="194"/>
  <c r="O138" i="194" s="1"/>
  <c r="X106" i="194"/>
  <c r="X138" i="194" s="1"/>
  <c r="K105" i="194"/>
  <c r="K137" i="194" s="1"/>
  <c r="O105" i="194"/>
  <c r="O137" i="194" s="1"/>
  <c r="W105" i="194"/>
  <c r="W137" i="194" s="1"/>
  <c r="O104" i="194"/>
  <c r="O136" i="194" s="1"/>
  <c r="W104" i="194"/>
  <c r="W136" i="194" s="1"/>
  <c r="T103" i="194"/>
  <c r="T135" i="194" s="1"/>
  <c r="R103" i="194"/>
  <c r="R135" i="194" s="1"/>
  <c r="S103" i="194"/>
  <c r="S135" i="194" s="1"/>
  <c r="O294" i="185"/>
  <c r="O106" i="189" s="1"/>
  <c r="O211" i="189" s="1"/>
  <c r="O83" i="191" s="1"/>
  <c r="O188" i="191" s="1"/>
  <c r="K93" i="185"/>
  <c r="N298" i="185"/>
  <c r="N276" i="185"/>
  <c r="N301" i="185"/>
  <c r="P101" i="189"/>
  <c r="P189" i="189" s="1"/>
  <c r="P60" i="191" s="1"/>
  <c r="P165" i="191" s="1"/>
  <c r="O87" i="189"/>
  <c r="O158" i="189" s="1"/>
  <c r="O28" i="191" s="1"/>
  <c r="O133" i="191" s="1"/>
  <c r="Y102" i="194"/>
  <c r="Y134" i="194" s="1"/>
  <c r="Q102" i="194"/>
  <c r="Q134" i="194" s="1"/>
  <c r="V102" i="194"/>
  <c r="V134" i="194" s="1"/>
  <c r="R102" i="194"/>
  <c r="R134" i="194" s="1"/>
  <c r="P102" i="194"/>
  <c r="P134" i="194" s="1"/>
  <c r="K102" i="194"/>
  <c r="K134" i="194" s="1"/>
  <c r="O102" i="194"/>
  <c r="O134" i="194" s="1"/>
  <c r="X102" i="194"/>
  <c r="X134" i="194" s="1"/>
  <c r="W102" i="194"/>
  <c r="W134" i="194" s="1"/>
  <c r="U102" i="194"/>
  <c r="U134" i="194" s="1"/>
  <c r="T102" i="194"/>
  <c r="T134" i="194" s="1"/>
  <c r="M102" i="194"/>
  <c r="M134" i="194" s="1"/>
  <c r="S102" i="194"/>
  <c r="S134" i="194" s="1"/>
  <c r="N99" i="186"/>
  <c r="N111" i="186" s="1"/>
  <c r="N112" i="189"/>
  <c r="N217" i="189" s="1"/>
  <c r="N89" i="191" s="1"/>
  <c r="N194" i="191" s="1"/>
  <c r="W143" i="186"/>
  <c r="W169" i="186" s="1"/>
  <c r="W270" i="186" s="1"/>
  <c r="N97" i="186"/>
  <c r="N109" i="186" s="1"/>
  <c r="N95" i="186"/>
  <c r="N107" i="186" s="1"/>
  <c r="N101" i="186"/>
  <c r="N113" i="186" s="1"/>
  <c r="N124" i="186"/>
  <c r="N136" i="186" s="1"/>
  <c r="P72" i="186"/>
  <c r="P84" i="186" s="1"/>
  <c r="N106" i="189"/>
  <c r="N211" i="189" s="1"/>
  <c r="N83" i="191" s="1"/>
  <c r="N188" i="191" s="1"/>
  <c r="N105" i="189"/>
  <c r="N210" i="189" s="1"/>
  <c r="N82" i="191" s="1"/>
  <c r="N187" i="191" s="1"/>
  <c r="N73" i="186"/>
  <c r="N85" i="186" s="1"/>
  <c r="N77" i="186"/>
  <c r="N89" i="186" s="1"/>
  <c r="R144" i="186"/>
  <c r="R170" i="186" s="1"/>
  <c r="R271" i="186" s="1"/>
  <c r="U149" i="186"/>
  <c r="U175" i="186" s="1"/>
  <c r="U276" i="186" s="1"/>
  <c r="U145" i="186"/>
  <c r="U171" i="186" s="1"/>
  <c r="U272" i="186" s="1"/>
  <c r="R149" i="186"/>
  <c r="R175" i="186" s="1"/>
  <c r="R276" i="186" s="1"/>
  <c r="U146" i="186"/>
  <c r="U172" i="186" s="1"/>
  <c r="U273" i="186" s="1"/>
  <c r="V149" i="186"/>
  <c r="V175" i="186" s="1"/>
  <c r="V276" i="186" s="1"/>
  <c r="Q147" i="186"/>
  <c r="Q173" i="186" s="1"/>
  <c r="Q274" i="186" s="1"/>
  <c r="T146" i="186"/>
  <c r="T172" i="186" s="1"/>
  <c r="T273" i="186" s="1"/>
  <c r="V150" i="186"/>
  <c r="V176" i="186" s="1"/>
  <c r="R142" i="186"/>
  <c r="R168" i="186" s="1"/>
  <c r="U144" i="186"/>
  <c r="U170" i="186" s="1"/>
  <c r="U271" i="186" s="1"/>
  <c r="W148" i="186"/>
  <c r="W174" i="186" s="1"/>
  <c r="W275" i="186" s="1"/>
  <c r="Y145" i="186"/>
  <c r="Y171" i="186" s="1"/>
  <c r="Y272" i="186" s="1"/>
  <c r="W150" i="186"/>
  <c r="W176" i="186" s="1"/>
  <c r="Q144" i="186"/>
  <c r="Q170" i="186" s="1"/>
  <c r="Q271" i="186" s="1"/>
  <c r="S143" i="186"/>
  <c r="S169" i="186" s="1"/>
  <c r="S270" i="186" s="1"/>
  <c r="R148" i="186"/>
  <c r="R174" i="186" s="1"/>
  <c r="R275" i="186" s="1"/>
  <c r="S150" i="186"/>
  <c r="S208" i="186" s="1"/>
  <c r="U143" i="186"/>
  <c r="U169" i="186" s="1"/>
  <c r="U270" i="186" s="1"/>
  <c r="R147" i="186"/>
  <c r="R173" i="186" s="1"/>
  <c r="R274" i="186" s="1"/>
  <c r="S142" i="186"/>
  <c r="S168" i="186" s="1"/>
  <c r="T144" i="186"/>
  <c r="T170" i="186" s="1"/>
  <c r="T271" i="186" s="1"/>
  <c r="R150" i="186"/>
  <c r="R208" i="186" s="1"/>
  <c r="S145" i="186"/>
  <c r="S171" i="186" s="1"/>
  <c r="S272" i="186" s="1"/>
  <c r="X147" i="186"/>
  <c r="X173" i="186" s="1"/>
  <c r="X274" i="186" s="1"/>
  <c r="W145" i="186"/>
  <c r="W171" i="186" s="1"/>
  <c r="W272" i="186" s="1"/>
  <c r="X143" i="186"/>
  <c r="X169" i="186" s="1"/>
  <c r="X270" i="186" s="1"/>
  <c r="U150" i="186"/>
  <c r="U208" i="186" s="1"/>
  <c r="U148" i="186"/>
  <c r="U174" i="186" s="1"/>
  <c r="U275" i="186" s="1"/>
  <c r="T143" i="186"/>
  <c r="T169" i="186" s="1"/>
  <c r="T270" i="186" s="1"/>
  <c r="X148" i="186"/>
  <c r="X174" i="186" s="1"/>
  <c r="X275" i="186" s="1"/>
  <c r="R146" i="186"/>
  <c r="R172" i="186" s="1"/>
  <c r="R273" i="186" s="1"/>
  <c r="X149" i="186"/>
  <c r="X175" i="186" s="1"/>
  <c r="X276" i="186" s="1"/>
  <c r="Y144" i="186"/>
  <c r="Y170" i="186" s="1"/>
  <c r="Y271" i="186" s="1"/>
  <c r="W144" i="186"/>
  <c r="W170" i="186" s="1"/>
  <c r="W271" i="186" s="1"/>
  <c r="J104" i="194"/>
  <c r="J136" i="194" s="1"/>
  <c r="L104" i="194"/>
  <c r="L136" i="194" s="1"/>
  <c r="S22" i="191"/>
  <c r="S127" i="191" s="1"/>
  <c r="T22" i="191"/>
  <c r="T127" i="191" s="1"/>
  <c r="T149" i="186"/>
  <c r="T175" i="186" s="1"/>
  <c r="T276" i="186" s="1"/>
  <c r="U147" i="186"/>
  <c r="U173" i="186" s="1"/>
  <c r="U274" i="186" s="1"/>
  <c r="R143" i="186"/>
  <c r="R169" i="186" s="1"/>
  <c r="R270" i="186" s="1"/>
  <c r="T148" i="186"/>
  <c r="T174" i="186" s="1"/>
  <c r="T275" i="186" s="1"/>
  <c r="T150" i="186"/>
  <c r="Q142" i="186"/>
  <c r="Q168" i="186" s="1"/>
  <c r="Q150" i="186"/>
  <c r="S149" i="186"/>
  <c r="S175" i="186" s="1"/>
  <c r="S276" i="186" s="1"/>
  <c r="Q143" i="186"/>
  <c r="Q169" i="186" s="1"/>
  <c r="Q270" i="186" s="1"/>
  <c r="V144" i="186"/>
  <c r="V170" i="186" s="1"/>
  <c r="V271" i="186" s="1"/>
  <c r="Q22" i="191"/>
  <c r="Q127" i="191" s="1"/>
  <c r="J128" i="189"/>
  <c r="J128" i="193" s="1"/>
  <c r="J198" i="193" s="1"/>
  <c r="J228" i="193" s="1"/>
  <c r="J129" i="189"/>
  <c r="J129" i="193" s="1"/>
  <c r="J199" i="193" s="1"/>
  <c r="J229" i="193" s="1"/>
  <c r="J125" i="189"/>
  <c r="J125" i="193" s="1"/>
  <c r="J195" i="193" s="1"/>
  <c r="J225" i="193" s="1"/>
  <c r="J132" i="189"/>
  <c r="J132" i="193" s="1"/>
  <c r="J202" i="193" s="1"/>
  <c r="J232" i="193" s="1"/>
  <c r="J126" i="189"/>
  <c r="J126" i="193" s="1"/>
  <c r="J196" i="193" s="1"/>
  <c r="J226" i="193" s="1"/>
  <c r="J131" i="189"/>
  <c r="J131" i="193" s="1"/>
  <c r="J201" i="193" s="1"/>
  <c r="J231" i="193" s="1"/>
  <c r="J127" i="189"/>
  <c r="J127" i="193" s="1"/>
  <c r="J197" i="193" s="1"/>
  <c r="J227" i="193" s="1"/>
  <c r="J124" i="189"/>
  <c r="J123" i="189"/>
  <c r="J130" i="189"/>
  <c r="J130" i="193" s="1"/>
  <c r="J200" i="193" s="1"/>
  <c r="J230" i="193" s="1"/>
  <c r="L106" i="194"/>
  <c r="L138" i="194" s="1"/>
  <c r="J106" i="194"/>
  <c r="J138" i="194" s="1"/>
  <c r="T147" i="186"/>
  <c r="T173" i="186" s="1"/>
  <c r="T274" i="186" s="1"/>
  <c r="X144" i="186"/>
  <c r="X170" i="186" s="1"/>
  <c r="X271" i="186" s="1"/>
  <c r="X145" i="186"/>
  <c r="X171" i="186" s="1"/>
  <c r="X272" i="186" s="1"/>
  <c r="W149" i="186"/>
  <c r="W175" i="186" s="1"/>
  <c r="W276" i="186" s="1"/>
  <c r="L107" i="194"/>
  <c r="L139" i="194" s="1"/>
  <c r="J107" i="194"/>
  <c r="J139" i="194" s="1"/>
  <c r="L130" i="189"/>
  <c r="L130" i="193" s="1"/>
  <c r="L200" i="193" s="1"/>
  <c r="L230" i="193" s="1"/>
  <c r="L123" i="189"/>
  <c r="L128" i="189"/>
  <c r="L128" i="193" s="1"/>
  <c r="L198" i="193" s="1"/>
  <c r="L228" i="193" s="1"/>
  <c r="L129" i="189"/>
  <c r="L129" i="193" s="1"/>
  <c r="L199" i="193" s="1"/>
  <c r="L229" i="193" s="1"/>
  <c r="L132" i="189"/>
  <c r="L132" i="193" s="1"/>
  <c r="L202" i="193" s="1"/>
  <c r="L232" i="193" s="1"/>
  <c r="L124" i="189"/>
  <c r="L125" i="189"/>
  <c r="L125" i="193" s="1"/>
  <c r="L195" i="193" s="1"/>
  <c r="L225" i="193" s="1"/>
  <c r="L131" i="189"/>
  <c r="L131" i="193" s="1"/>
  <c r="L201" i="193" s="1"/>
  <c r="L231" i="193" s="1"/>
  <c r="L127" i="189"/>
  <c r="L127" i="193" s="1"/>
  <c r="L197" i="193" s="1"/>
  <c r="L227" i="193" s="1"/>
  <c r="L126" i="189"/>
  <c r="L126" i="193" s="1"/>
  <c r="L196" i="193" s="1"/>
  <c r="L226" i="193" s="1"/>
  <c r="Y142" i="186"/>
  <c r="Y168" i="186" s="1"/>
  <c r="S147" i="186"/>
  <c r="S173" i="186" s="1"/>
  <c r="S274" i="186" s="1"/>
  <c r="R22" i="191"/>
  <c r="R127" i="191" s="1"/>
  <c r="W142" i="186"/>
  <c r="W168" i="186" s="1"/>
  <c r="V145" i="186"/>
  <c r="V171" i="186" s="1"/>
  <c r="V272" i="186" s="1"/>
  <c r="V142" i="186"/>
  <c r="V168" i="186" s="1"/>
  <c r="S144" i="186"/>
  <c r="S170" i="186" s="1"/>
  <c r="S271" i="186" s="1"/>
  <c r="Y150" i="186"/>
  <c r="V148" i="186"/>
  <c r="V174" i="186" s="1"/>
  <c r="V275" i="186" s="1"/>
  <c r="L105" i="194"/>
  <c r="L137" i="194" s="1"/>
  <c r="J105" i="194"/>
  <c r="J137" i="194" s="1"/>
  <c r="V147" i="186"/>
  <c r="V173" i="186" s="1"/>
  <c r="V274" i="186" s="1"/>
  <c r="Q146" i="186"/>
  <c r="Q172" i="186" s="1"/>
  <c r="Q273" i="186" s="1"/>
  <c r="L108" i="194"/>
  <c r="L140" i="194" s="1"/>
  <c r="J108" i="194"/>
  <c r="J140" i="194" s="1"/>
  <c r="Y22" i="191"/>
  <c r="Y127" i="191" s="1"/>
  <c r="U142" i="186"/>
  <c r="U168" i="186" s="1"/>
  <c r="Y147" i="186"/>
  <c r="Y173" i="186" s="1"/>
  <c r="Y274" i="186" s="1"/>
  <c r="W22" i="191"/>
  <c r="W127" i="191" s="1"/>
  <c r="R145" i="186"/>
  <c r="R171" i="186" s="1"/>
  <c r="R272" i="186" s="1"/>
  <c r="V22" i="191"/>
  <c r="V127" i="191" s="1"/>
  <c r="X22" i="191"/>
  <c r="X127" i="191" s="1"/>
  <c r="Y146" i="186"/>
  <c r="Y172" i="186" s="1"/>
  <c r="Y273" i="186" s="1"/>
  <c r="Q145" i="186"/>
  <c r="Q171" i="186" s="1"/>
  <c r="Q272" i="186" s="1"/>
  <c r="U22" i="191"/>
  <c r="U127" i="191" s="1"/>
  <c r="T145" i="186"/>
  <c r="T171" i="186" s="1"/>
  <c r="T272" i="186" s="1"/>
  <c r="K126" i="189"/>
  <c r="K126" i="193" s="1"/>
  <c r="K196" i="193" s="1"/>
  <c r="K226" i="193" s="1"/>
  <c r="K125" i="189"/>
  <c r="K125" i="193" s="1"/>
  <c r="K195" i="193" s="1"/>
  <c r="K225" i="193" s="1"/>
  <c r="K124" i="189"/>
  <c r="K130" i="189"/>
  <c r="K130" i="193" s="1"/>
  <c r="K200" i="193" s="1"/>
  <c r="K230" i="193" s="1"/>
  <c r="K128" i="189"/>
  <c r="K128" i="193" s="1"/>
  <c r="K198" i="193" s="1"/>
  <c r="K228" i="193" s="1"/>
  <c r="K131" i="189"/>
  <c r="K131" i="193" s="1"/>
  <c r="K201" i="193" s="1"/>
  <c r="K231" i="193" s="1"/>
  <c r="K127" i="189"/>
  <c r="K127" i="193" s="1"/>
  <c r="K197" i="193" s="1"/>
  <c r="K227" i="193" s="1"/>
  <c r="K123" i="189"/>
  <c r="K129" i="189"/>
  <c r="K129" i="193" s="1"/>
  <c r="K199" i="193" s="1"/>
  <c r="K229" i="193" s="1"/>
  <c r="K132" i="189"/>
  <c r="K132" i="193" s="1"/>
  <c r="K202" i="193" s="1"/>
  <c r="K232" i="193" s="1"/>
  <c r="V143" i="186"/>
  <c r="V169" i="186" s="1"/>
  <c r="V270" i="186" s="1"/>
  <c r="V146" i="186"/>
  <c r="V172" i="186" s="1"/>
  <c r="V273" i="186" s="1"/>
  <c r="X142" i="186"/>
  <c r="X168" i="186" s="1"/>
  <c r="X150" i="186"/>
  <c r="Q148" i="186"/>
  <c r="Q174" i="186" s="1"/>
  <c r="Q275" i="186" s="1"/>
  <c r="W146" i="186"/>
  <c r="W172" i="186" s="1"/>
  <c r="W273" i="186" s="1"/>
  <c r="J102" i="194"/>
  <c r="J134" i="194" s="1"/>
  <c r="L102" i="194"/>
  <c r="L134" i="194" s="1"/>
  <c r="Y143" i="186"/>
  <c r="Y169" i="186" s="1"/>
  <c r="Y270" i="186" s="1"/>
  <c r="Q149" i="186"/>
  <c r="Q175" i="186" s="1"/>
  <c r="Q276" i="186" s="1"/>
  <c r="M123" i="189"/>
  <c r="M130" i="189"/>
  <c r="M130" i="193" s="1"/>
  <c r="M200" i="193" s="1"/>
  <c r="M230" i="193" s="1"/>
  <c r="M124" i="189"/>
  <c r="M128" i="189"/>
  <c r="M128" i="193" s="1"/>
  <c r="M198" i="193" s="1"/>
  <c r="M228" i="193" s="1"/>
  <c r="M129" i="189"/>
  <c r="M129" i="193" s="1"/>
  <c r="M199" i="193" s="1"/>
  <c r="M229" i="193" s="1"/>
  <c r="M132" i="189"/>
  <c r="M132" i="193" s="1"/>
  <c r="M202" i="193" s="1"/>
  <c r="M232" i="193" s="1"/>
  <c r="M131" i="189"/>
  <c r="M131" i="193" s="1"/>
  <c r="M201" i="193" s="1"/>
  <c r="M231" i="193" s="1"/>
  <c r="M127" i="189"/>
  <c r="M127" i="193" s="1"/>
  <c r="M197" i="193" s="1"/>
  <c r="M227" i="193" s="1"/>
  <c r="M125" i="189"/>
  <c r="M125" i="193" s="1"/>
  <c r="M195" i="193" s="1"/>
  <c r="M225" i="193" s="1"/>
  <c r="M126" i="189"/>
  <c r="M126" i="193" s="1"/>
  <c r="M196" i="193" s="1"/>
  <c r="M226" i="193" s="1"/>
  <c r="J103" i="194"/>
  <c r="J135" i="194" s="1"/>
  <c r="L103" i="194"/>
  <c r="L135" i="194" s="1"/>
  <c r="T142" i="186"/>
  <c r="T168" i="186" s="1"/>
  <c r="X146" i="186"/>
  <c r="X172" i="186" s="1"/>
  <c r="X273" i="186" s="1"/>
  <c r="W147" i="186"/>
  <c r="W173" i="186" s="1"/>
  <c r="W274" i="186" s="1"/>
  <c r="Y149" i="186"/>
  <c r="Y175" i="186" s="1"/>
  <c r="Y276" i="186" s="1"/>
  <c r="S146" i="186"/>
  <c r="S172" i="186" s="1"/>
  <c r="S273" i="186" s="1"/>
  <c r="S148" i="186"/>
  <c r="S174" i="186" s="1"/>
  <c r="S275" i="186" s="1"/>
  <c r="Y148" i="186"/>
  <c r="Y174" i="186" s="1"/>
  <c r="Y275" i="186" s="1"/>
  <c r="N117" i="186" l="1"/>
  <c r="N129" i="186" s="1"/>
  <c r="P93" i="186"/>
  <c r="P105" i="186" s="1"/>
  <c r="O98" i="189"/>
  <c r="O186" i="189" s="1"/>
  <c r="O57" i="191" s="1"/>
  <c r="O162" i="191" s="1"/>
  <c r="O72" i="186"/>
  <c r="O84" i="186" s="1"/>
  <c r="P89" i="189"/>
  <c r="P160" i="189" s="1"/>
  <c r="P30" i="191" s="1"/>
  <c r="P135" i="191" s="1"/>
  <c r="P123" i="186"/>
  <c r="P135" i="186" s="1"/>
  <c r="P93" i="189"/>
  <c r="P181" i="189" s="1"/>
  <c r="P52" i="191" s="1"/>
  <c r="P157" i="191" s="1"/>
  <c r="N111" i="189"/>
  <c r="N216" i="189" s="1"/>
  <c r="N88" i="191" s="1"/>
  <c r="N193" i="191" s="1"/>
  <c r="O120" i="186"/>
  <c r="O132" i="186" s="1"/>
  <c r="P76" i="186"/>
  <c r="P88" i="186" s="1"/>
  <c r="P70" i="186"/>
  <c r="P82" i="186" s="1"/>
  <c r="N118" i="186"/>
  <c r="N130" i="186" s="1"/>
  <c r="N144" i="186" s="1"/>
  <c r="N170" i="186" s="1"/>
  <c r="N271" i="186" s="1"/>
  <c r="N78" i="186"/>
  <c r="N90" i="186" s="1"/>
  <c r="N150" i="186" s="1"/>
  <c r="N208" i="186" s="1"/>
  <c r="O102" i="189"/>
  <c r="O190" i="189" s="1"/>
  <c r="O61" i="191" s="1"/>
  <c r="O166" i="191" s="1"/>
  <c r="O122" i="186"/>
  <c r="O134" i="186" s="1"/>
  <c r="O94" i="186"/>
  <c r="O106" i="186" s="1"/>
  <c r="O98" i="186"/>
  <c r="O110" i="186" s="1"/>
  <c r="N93" i="186"/>
  <c r="N105" i="186" s="1"/>
  <c r="P97" i="186"/>
  <c r="P109" i="186" s="1"/>
  <c r="N71" i="186"/>
  <c r="N83" i="186" s="1"/>
  <c r="N100" i="186"/>
  <c r="N112" i="186" s="1"/>
  <c r="N76" i="186"/>
  <c r="N88" i="186" s="1"/>
  <c r="N148" i="186" s="1"/>
  <c r="N174" i="186" s="1"/>
  <c r="N275" i="186" s="1"/>
  <c r="O123" i="186"/>
  <c r="O135" i="186" s="1"/>
  <c r="O81" i="189"/>
  <c r="O152" i="189" s="1"/>
  <c r="O22" i="191" s="1"/>
  <c r="O127" i="191" s="1"/>
  <c r="N94" i="186"/>
  <c r="N106" i="186" s="1"/>
  <c r="O124" i="186"/>
  <c r="O136" i="186" s="1"/>
  <c r="N98" i="186"/>
  <c r="N110" i="186" s="1"/>
  <c r="O74" i="186"/>
  <c r="O86" i="186" s="1"/>
  <c r="O100" i="189"/>
  <c r="O188" i="189" s="1"/>
  <c r="O59" i="191" s="1"/>
  <c r="O164" i="191" s="1"/>
  <c r="O95" i="186"/>
  <c r="O107" i="186" s="1"/>
  <c r="O76" i="186"/>
  <c r="O88" i="186" s="1"/>
  <c r="N93" i="189"/>
  <c r="N181" i="189" s="1"/>
  <c r="N52" i="191" s="1"/>
  <c r="N157" i="191" s="1"/>
  <c r="O109" i="189"/>
  <c r="O214" i="189" s="1"/>
  <c r="O86" i="191" s="1"/>
  <c r="O191" i="191" s="1"/>
  <c r="O121" i="186"/>
  <c r="O133" i="186" s="1"/>
  <c r="O93" i="189"/>
  <c r="O181" i="189" s="1"/>
  <c r="O52" i="191" s="1"/>
  <c r="O157" i="191" s="1"/>
  <c r="O93" i="186"/>
  <c r="O105" i="186" s="1"/>
  <c r="O83" i="189"/>
  <c r="O154" i="189" s="1"/>
  <c r="O24" i="191" s="1"/>
  <c r="O129" i="191" s="1"/>
  <c r="O118" i="186"/>
  <c r="O130" i="186" s="1"/>
  <c r="O73" i="186"/>
  <c r="O85" i="186" s="1"/>
  <c r="O96" i="186"/>
  <c r="O108" i="186" s="1"/>
  <c r="O70" i="186"/>
  <c r="O82" i="186" s="1"/>
  <c r="O100" i="186"/>
  <c r="O112" i="186" s="1"/>
  <c r="O78" i="186"/>
  <c r="O90" i="186" s="1"/>
  <c r="O117" i="186"/>
  <c r="O129" i="186" s="1"/>
  <c r="P98" i="186"/>
  <c r="P110" i="186" s="1"/>
  <c r="N70" i="186"/>
  <c r="N82" i="186" s="1"/>
  <c r="N142" i="186" s="1"/>
  <c r="N168" i="186" s="1"/>
  <c r="P106" i="189"/>
  <c r="P211" i="189" s="1"/>
  <c r="P83" i="191" s="1"/>
  <c r="P188" i="191" s="1"/>
  <c r="P116" i="186"/>
  <c r="P128" i="186" s="1"/>
  <c r="P96" i="186"/>
  <c r="P108" i="186" s="1"/>
  <c r="N75" i="186"/>
  <c r="N87" i="186" s="1"/>
  <c r="P120" i="186"/>
  <c r="P132" i="186" s="1"/>
  <c r="P146" i="186" s="1"/>
  <c r="P172" i="186" s="1"/>
  <c r="P273" i="186" s="1"/>
  <c r="P83" i="189"/>
  <c r="P154" i="189" s="1"/>
  <c r="P24" i="191" s="1"/>
  <c r="P129" i="191" s="1"/>
  <c r="P121" i="186"/>
  <c r="P133" i="186" s="1"/>
  <c r="P117" i="186"/>
  <c r="P129" i="186" s="1"/>
  <c r="P95" i="186"/>
  <c r="P107" i="186" s="1"/>
  <c r="P99" i="186"/>
  <c r="P111" i="186" s="1"/>
  <c r="P122" i="186"/>
  <c r="P134" i="186" s="1"/>
  <c r="N119" i="186"/>
  <c r="N131" i="186" s="1"/>
  <c r="N145" i="186" s="1"/>
  <c r="N171" i="186" s="1"/>
  <c r="N272" i="186" s="1"/>
  <c r="N81" i="189"/>
  <c r="N152" i="189" s="1"/>
  <c r="N22" i="191" s="1"/>
  <c r="N127" i="191" s="1"/>
  <c r="P124" i="186"/>
  <c r="P136" i="186" s="1"/>
  <c r="P86" i="189"/>
  <c r="P157" i="189" s="1"/>
  <c r="P27" i="191" s="1"/>
  <c r="P132" i="191" s="1"/>
  <c r="P149" i="186"/>
  <c r="P175" i="186" s="1"/>
  <c r="P276" i="186" s="1"/>
  <c r="P81" i="189"/>
  <c r="P152" i="189" s="1"/>
  <c r="P22" i="191" s="1"/>
  <c r="P127" i="191" s="1"/>
  <c r="P73" i="186"/>
  <c r="P85" i="186" s="1"/>
  <c r="P119" i="186"/>
  <c r="P131" i="186" s="1"/>
  <c r="O116" i="186"/>
  <c r="O128" i="186" s="1"/>
  <c r="O105" i="189"/>
  <c r="O210" i="189" s="1"/>
  <c r="O82" i="191" s="1"/>
  <c r="O187" i="191" s="1"/>
  <c r="P118" i="186"/>
  <c r="P130" i="186" s="1"/>
  <c r="P78" i="186"/>
  <c r="P90" i="186" s="1"/>
  <c r="N84" i="189"/>
  <c r="N155" i="189" s="1"/>
  <c r="N25" i="191" s="1"/>
  <c r="N130" i="191" s="1"/>
  <c r="P95" i="189"/>
  <c r="P183" i="189" s="1"/>
  <c r="P54" i="191" s="1"/>
  <c r="P159" i="191" s="1"/>
  <c r="P94" i="186"/>
  <c r="P106" i="186" s="1"/>
  <c r="P87" i="189"/>
  <c r="P158" i="189" s="1"/>
  <c r="P28" i="191" s="1"/>
  <c r="P133" i="191" s="1"/>
  <c r="N97" i="189"/>
  <c r="N185" i="189" s="1"/>
  <c r="N56" i="191" s="1"/>
  <c r="N161" i="191" s="1"/>
  <c r="K286" i="185"/>
  <c r="K284" i="185"/>
  <c r="K274" i="185"/>
  <c r="K273" i="185"/>
  <c r="K272" i="185"/>
  <c r="K288" i="185"/>
  <c r="K296" i="185"/>
  <c r="K297" i="185"/>
  <c r="K285" i="185"/>
  <c r="K300" i="185"/>
  <c r="K279" i="185"/>
  <c r="K290" i="185"/>
  <c r="K301" i="185"/>
  <c r="K299" i="185"/>
  <c r="K291" i="185"/>
  <c r="K275" i="185"/>
  <c r="K280" i="185"/>
  <c r="K276" i="185"/>
  <c r="K289" i="185"/>
  <c r="K278" i="185"/>
  <c r="K302" i="185"/>
  <c r="K277" i="185"/>
  <c r="K295" i="185"/>
  <c r="K298" i="185"/>
  <c r="K283" i="185"/>
  <c r="K294" i="185"/>
  <c r="K287" i="185"/>
  <c r="J274" i="185"/>
  <c r="J291" i="185"/>
  <c r="J283" i="185"/>
  <c r="J287" i="185"/>
  <c r="J297" i="185"/>
  <c r="J300" i="185"/>
  <c r="J273" i="185"/>
  <c r="J272" i="185"/>
  <c r="J280" i="185"/>
  <c r="J285" i="185"/>
  <c r="J277" i="185"/>
  <c r="J276" i="185"/>
  <c r="J296" i="185"/>
  <c r="J278" i="185"/>
  <c r="J294" i="185"/>
  <c r="J295" i="185"/>
  <c r="J284" i="185"/>
  <c r="J288" i="185"/>
  <c r="J279" i="185"/>
  <c r="J301" i="185"/>
  <c r="J286" i="185"/>
  <c r="J290" i="185"/>
  <c r="J289" i="185"/>
  <c r="J302" i="185"/>
  <c r="J298" i="185"/>
  <c r="J275" i="185"/>
  <c r="J299" i="185"/>
  <c r="N123" i="186"/>
  <c r="N135" i="186" s="1"/>
  <c r="N149" i="186" s="1"/>
  <c r="N175" i="186" s="1"/>
  <c r="N276" i="186" s="1"/>
  <c r="N113" i="189"/>
  <c r="N218" i="189" s="1"/>
  <c r="N90" i="191" s="1"/>
  <c r="N195" i="191" s="1"/>
  <c r="N74" i="186"/>
  <c r="N86" i="186" s="1"/>
  <c r="N86" i="189"/>
  <c r="N157" i="189" s="1"/>
  <c r="N27" i="191" s="1"/>
  <c r="N132" i="191" s="1"/>
  <c r="M296" i="185"/>
  <c r="M298" i="185"/>
  <c r="M276" i="185"/>
  <c r="M301" i="185"/>
  <c r="M294" i="185"/>
  <c r="M285" i="185"/>
  <c r="M302" i="185"/>
  <c r="M283" i="185"/>
  <c r="M279" i="185"/>
  <c r="M272" i="185"/>
  <c r="M295" i="185"/>
  <c r="M280" i="185"/>
  <c r="M273" i="185"/>
  <c r="M275" i="185"/>
  <c r="M284" i="185"/>
  <c r="M277" i="185"/>
  <c r="M278" i="185"/>
  <c r="M300" i="185"/>
  <c r="M274" i="185"/>
  <c r="M291" i="185"/>
  <c r="M287" i="185"/>
  <c r="M288" i="185"/>
  <c r="M297" i="185"/>
  <c r="M290" i="185"/>
  <c r="M299" i="185"/>
  <c r="M289" i="185"/>
  <c r="M286" i="185"/>
  <c r="N110" i="189"/>
  <c r="N215" i="189" s="1"/>
  <c r="N87" i="191" s="1"/>
  <c r="N192" i="191" s="1"/>
  <c r="N120" i="186"/>
  <c r="N132" i="186" s="1"/>
  <c r="L275" i="185"/>
  <c r="L300" i="185"/>
  <c r="L301" i="185"/>
  <c r="L273" i="185"/>
  <c r="L284" i="185"/>
  <c r="L283" i="185"/>
  <c r="L296" i="185"/>
  <c r="L297" i="185"/>
  <c r="L278" i="185"/>
  <c r="L295" i="185"/>
  <c r="L294" i="185"/>
  <c r="L289" i="185"/>
  <c r="L285" i="185"/>
  <c r="L276" i="185"/>
  <c r="L277" i="185"/>
  <c r="L274" i="185"/>
  <c r="L288" i="185"/>
  <c r="L302" i="185"/>
  <c r="L299" i="185"/>
  <c r="L298" i="185"/>
  <c r="L272" i="185"/>
  <c r="L287" i="185"/>
  <c r="L290" i="185"/>
  <c r="L280" i="185"/>
  <c r="L286" i="185"/>
  <c r="L291" i="185"/>
  <c r="L279" i="185"/>
  <c r="U176" i="186"/>
  <c r="U177" i="186" s="1"/>
  <c r="W208" i="186"/>
  <c r="R176" i="186"/>
  <c r="R177" i="186" s="1"/>
  <c r="V208" i="186"/>
  <c r="S176" i="186"/>
  <c r="S177" i="186" s="1"/>
  <c r="R269" i="186"/>
  <c r="S269" i="186"/>
  <c r="U269" i="186"/>
  <c r="X208" i="186"/>
  <c r="X176" i="186"/>
  <c r="X177" i="186" s="1"/>
  <c r="X269" i="186"/>
  <c r="Y176" i="186"/>
  <c r="Y177" i="186" s="1"/>
  <c r="Y208" i="186"/>
  <c r="Q176" i="186"/>
  <c r="Q177" i="186" s="1"/>
  <c r="Q208" i="186"/>
  <c r="Q269" i="186"/>
  <c r="V177" i="186"/>
  <c r="V269" i="186"/>
  <c r="T269" i="186"/>
  <c r="W177" i="186"/>
  <c r="W269" i="186"/>
  <c r="Y269" i="186"/>
  <c r="T176" i="186"/>
  <c r="T177" i="186" s="1"/>
  <c r="T208" i="186"/>
  <c r="P142" i="186" l="1"/>
  <c r="P168" i="186" s="1"/>
  <c r="O148" i="186"/>
  <c r="O174" i="186" s="1"/>
  <c r="O275" i="186" s="1"/>
  <c r="O143" i="186"/>
  <c r="O169" i="186" s="1"/>
  <c r="O270" i="186" s="1"/>
  <c r="O146" i="186"/>
  <c r="O172" i="186" s="1"/>
  <c r="O273" i="186" s="1"/>
  <c r="O147" i="186"/>
  <c r="O173" i="186" s="1"/>
  <c r="O274" i="186" s="1"/>
  <c r="N143" i="186"/>
  <c r="N169" i="186" s="1"/>
  <c r="N270" i="186" s="1"/>
  <c r="O144" i="186"/>
  <c r="O170" i="186" s="1"/>
  <c r="O271" i="186" s="1"/>
  <c r="O149" i="186"/>
  <c r="O175" i="186" s="1"/>
  <c r="O276" i="186" s="1"/>
  <c r="P147" i="186"/>
  <c r="P173" i="186" s="1"/>
  <c r="P274" i="186" s="1"/>
  <c r="O150" i="186"/>
  <c r="O176" i="186" s="1"/>
  <c r="N147" i="186"/>
  <c r="N173" i="186" s="1"/>
  <c r="N274" i="186" s="1"/>
  <c r="O145" i="186"/>
  <c r="O171" i="186" s="1"/>
  <c r="O272" i="186" s="1"/>
  <c r="O142" i="186"/>
  <c r="O168" i="186" s="1"/>
  <c r="O269" i="186" s="1"/>
  <c r="P148" i="186"/>
  <c r="P174" i="186" s="1"/>
  <c r="P275" i="186" s="1"/>
  <c r="H306" i="185" a="1"/>
  <c r="H306" i="185" s="1"/>
  <c r="A4" i="185" s="1"/>
  <c r="P150" i="186"/>
  <c r="P176" i="186" s="1"/>
  <c r="P143" i="186"/>
  <c r="P169" i="186" s="1"/>
  <c r="P270" i="186" s="1"/>
  <c r="P144" i="186"/>
  <c r="P170" i="186" s="1"/>
  <c r="P271" i="186" s="1"/>
  <c r="P145" i="186"/>
  <c r="P171" i="186" s="1"/>
  <c r="P272" i="186" s="1"/>
  <c r="N146" i="186"/>
  <c r="N172" i="186" s="1"/>
  <c r="N273" i="186" s="1"/>
  <c r="L77" i="186"/>
  <c r="L89" i="186" s="1"/>
  <c r="L89" i="189"/>
  <c r="L160" i="189" s="1"/>
  <c r="L30" i="191" s="1"/>
  <c r="L135" i="191" s="1"/>
  <c r="L100" i="186"/>
  <c r="L112" i="186" s="1"/>
  <c r="L101" i="189"/>
  <c r="L189" i="189" s="1"/>
  <c r="L60" i="191" s="1"/>
  <c r="L165" i="191" s="1"/>
  <c r="L121" i="186"/>
  <c r="L133" i="186" s="1"/>
  <c r="L111" i="189"/>
  <c r="L216" i="189" s="1"/>
  <c r="L88" i="191" s="1"/>
  <c r="L193" i="191" s="1"/>
  <c r="L75" i="186"/>
  <c r="L87" i="186" s="1"/>
  <c r="L87" i="189"/>
  <c r="L158" i="189" s="1"/>
  <c r="L28" i="191" s="1"/>
  <c r="L133" i="191" s="1"/>
  <c r="L106" i="189"/>
  <c r="L211" i="189" s="1"/>
  <c r="L83" i="191" s="1"/>
  <c r="L188" i="191" s="1"/>
  <c r="L116" i="186"/>
  <c r="L128" i="186" s="1"/>
  <c r="L105" i="189"/>
  <c r="L210" i="189" s="1"/>
  <c r="L82" i="191" s="1"/>
  <c r="L187" i="191" s="1"/>
  <c r="L118" i="186"/>
  <c r="L130" i="186" s="1"/>
  <c r="L108" i="189"/>
  <c r="L213" i="189" s="1"/>
  <c r="L85" i="191" s="1"/>
  <c r="L190" i="191" s="1"/>
  <c r="L123" i="186"/>
  <c r="L135" i="186" s="1"/>
  <c r="L113" i="189"/>
  <c r="L218" i="189" s="1"/>
  <c r="L90" i="191" s="1"/>
  <c r="L195" i="191" s="1"/>
  <c r="M111" i="189"/>
  <c r="M216" i="189" s="1"/>
  <c r="M88" i="191" s="1"/>
  <c r="M193" i="191" s="1"/>
  <c r="M121" i="186"/>
  <c r="M133" i="186" s="1"/>
  <c r="M97" i="186"/>
  <c r="M109" i="186" s="1"/>
  <c r="M98" i="189"/>
  <c r="M186" i="189" s="1"/>
  <c r="M57" i="191" s="1"/>
  <c r="M162" i="191" s="1"/>
  <c r="M76" i="186"/>
  <c r="M88" i="186" s="1"/>
  <c r="M88" i="189"/>
  <c r="M159" i="189" s="1"/>
  <c r="M29" i="191" s="1"/>
  <c r="M134" i="191" s="1"/>
  <c r="M83" i="189"/>
  <c r="M154" i="189" s="1"/>
  <c r="M24" i="191" s="1"/>
  <c r="M129" i="191" s="1"/>
  <c r="M71" i="186"/>
  <c r="M83" i="186" s="1"/>
  <c r="M89" i="189"/>
  <c r="M160" i="189" s="1"/>
  <c r="M30" i="191" s="1"/>
  <c r="M135" i="191" s="1"/>
  <c r="M77" i="186"/>
  <c r="M89" i="186" s="1"/>
  <c r="M106" i="189"/>
  <c r="M211" i="189" s="1"/>
  <c r="M83" i="191" s="1"/>
  <c r="M188" i="191" s="1"/>
  <c r="M105" i="189"/>
  <c r="M210" i="189" s="1"/>
  <c r="M82" i="191" s="1"/>
  <c r="M187" i="191" s="1"/>
  <c r="M116" i="186"/>
  <c r="M128" i="186" s="1"/>
  <c r="M108" i="189"/>
  <c r="M213" i="189" s="1"/>
  <c r="M85" i="191" s="1"/>
  <c r="M190" i="191" s="1"/>
  <c r="M118" i="186"/>
  <c r="M130" i="186" s="1"/>
  <c r="J73" i="186"/>
  <c r="J85" i="186" s="1"/>
  <c r="J85" i="189"/>
  <c r="J156" i="189" s="1"/>
  <c r="J26" i="191" s="1"/>
  <c r="J131" i="191" s="1"/>
  <c r="J101" i="189"/>
  <c r="J189" i="189" s="1"/>
  <c r="J60" i="191" s="1"/>
  <c r="J165" i="191" s="1"/>
  <c r="J100" i="186"/>
  <c r="J112" i="186" s="1"/>
  <c r="J99" i="189"/>
  <c r="J187" i="189" s="1"/>
  <c r="J58" i="191" s="1"/>
  <c r="J163" i="191" s="1"/>
  <c r="J98" i="186"/>
  <c r="J110" i="186" s="1"/>
  <c r="J88" i="189"/>
  <c r="J159" i="189" s="1"/>
  <c r="J29" i="191" s="1"/>
  <c r="J134" i="191" s="1"/>
  <c r="J76" i="186"/>
  <c r="J88" i="186" s="1"/>
  <c r="J96" i="189"/>
  <c r="J184" i="189" s="1"/>
  <c r="J55" i="191" s="1"/>
  <c r="J160" i="191" s="1"/>
  <c r="J95" i="186"/>
  <c r="J107" i="186" s="1"/>
  <c r="J112" i="189"/>
  <c r="J217" i="189" s="1"/>
  <c r="J89" i="191" s="1"/>
  <c r="J194" i="191" s="1"/>
  <c r="J122" i="186"/>
  <c r="J134" i="186" s="1"/>
  <c r="J102" i="189"/>
  <c r="J190" i="189" s="1"/>
  <c r="J61" i="191" s="1"/>
  <c r="J166" i="191" s="1"/>
  <c r="J101" i="186"/>
  <c r="J113" i="186" s="1"/>
  <c r="K94" i="189"/>
  <c r="K182" i="189" s="1"/>
  <c r="K53" i="191" s="1"/>
  <c r="K158" i="191" s="1"/>
  <c r="K93" i="189"/>
  <c r="K181" i="189" s="1"/>
  <c r="K52" i="191" s="1"/>
  <c r="K157" i="191" s="1"/>
  <c r="K93" i="186"/>
  <c r="K105" i="186" s="1"/>
  <c r="K124" i="186"/>
  <c r="K136" i="186" s="1"/>
  <c r="K114" i="189"/>
  <c r="K219" i="189" s="1"/>
  <c r="K91" i="191" s="1"/>
  <c r="K196" i="191" s="1"/>
  <c r="K90" i="189"/>
  <c r="K161" i="189" s="1"/>
  <c r="K31" i="191" s="1"/>
  <c r="K136" i="191" s="1"/>
  <c r="K78" i="186"/>
  <c r="K90" i="186" s="1"/>
  <c r="K113" i="189"/>
  <c r="K218" i="189" s="1"/>
  <c r="K90" i="191" s="1"/>
  <c r="K195" i="191" s="1"/>
  <c r="K123" i="186"/>
  <c r="K135" i="186" s="1"/>
  <c r="K96" i="189"/>
  <c r="K184" i="189" s="1"/>
  <c r="K55" i="191" s="1"/>
  <c r="K160" i="191" s="1"/>
  <c r="K95" i="186"/>
  <c r="K107" i="186" s="1"/>
  <c r="K82" i="189"/>
  <c r="K153" i="189" s="1"/>
  <c r="K23" i="191" s="1"/>
  <c r="K128" i="191" s="1"/>
  <c r="K81" i="189"/>
  <c r="K152" i="189" s="1"/>
  <c r="K70" i="186"/>
  <c r="K82" i="186" s="1"/>
  <c r="K97" i="189"/>
  <c r="K185" i="189" s="1"/>
  <c r="K56" i="191" s="1"/>
  <c r="K161" i="191" s="1"/>
  <c r="K96" i="186"/>
  <c r="K108" i="186" s="1"/>
  <c r="L102" i="189"/>
  <c r="L190" i="189" s="1"/>
  <c r="L61" i="191" s="1"/>
  <c r="L166" i="191" s="1"/>
  <c r="L101" i="186"/>
  <c r="L113" i="186" s="1"/>
  <c r="L98" i="189"/>
  <c r="L186" i="189" s="1"/>
  <c r="L57" i="191" s="1"/>
  <c r="L162" i="191" s="1"/>
  <c r="L97" i="186"/>
  <c r="L109" i="186" s="1"/>
  <c r="L114" i="189"/>
  <c r="L219" i="189" s="1"/>
  <c r="L91" i="191" s="1"/>
  <c r="L196" i="191" s="1"/>
  <c r="L124" i="186"/>
  <c r="L136" i="186" s="1"/>
  <c r="L74" i="186"/>
  <c r="L86" i="186" s="1"/>
  <c r="L86" i="189"/>
  <c r="L157" i="189" s="1"/>
  <c r="L27" i="191" s="1"/>
  <c r="L132" i="191" s="1"/>
  <c r="L117" i="186"/>
  <c r="L129" i="186" s="1"/>
  <c r="L107" i="189"/>
  <c r="L212" i="189" s="1"/>
  <c r="L84" i="191" s="1"/>
  <c r="L189" i="191" s="1"/>
  <c r="L94" i="189"/>
  <c r="L182" i="189" s="1"/>
  <c r="L53" i="191" s="1"/>
  <c r="L158" i="191" s="1"/>
  <c r="L93" i="186"/>
  <c r="L105" i="186" s="1"/>
  <c r="L93" i="189"/>
  <c r="L181" i="189" s="1"/>
  <c r="L52" i="191" s="1"/>
  <c r="L157" i="191" s="1"/>
  <c r="L112" i="189"/>
  <c r="L217" i="189" s="1"/>
  <c r="L89" i="191" s="1"/>
  <c r="L194" i="191" s="1"/>
  <c r="L122" i="186"/>
  <c r="L134" i="186" s="1"/>
  <c r="M100" i="186"/>
  <c r="M112" i="186" s="1"/>
  <c r="M101" i="189"/>
  <c r="M189" i="189" s="1"/>
  <c r="M60" i="191" s="1"/>
  <c r="M165" i="191" s="1"/>
  <c r="M101" i="186"/>
  <c r="M113" i="186" s="1"/>
  <c r="M102" i="189"/>
  <c r="M190" i="189" s="1"/>
  <c r="M61" i="191" s="1"/>
  <c r="M166" i="191" s="1"/>
  <c r="M75" i="186"/>
  <c r="M87" i="186" s="1"/>
  <c r="M87" i="189"/>
  <c r="M158" i="189" s="1"/>
  <c r="M28" i="191" s="1"/>
  <c r="M133" i="191" s="1"/>
  <c r="M78" i="186"/>
  <c r="M90" i="186" s="1"/>
  <c r="M90" i="189"/>
  <c r="M161" i="189" s="1"/>
  <c r="M31" i="191" s="1"/>
  <c r="M136" i="191" s="1"/>
  <c r="M94" i="189"/>
  <c r="M182" i="189" s="1"/>
  <c r="M53" i="191" s="1"/>
  <c r="M158" i="191" s="1"/>
  <c r="M93" i="189"/>
  <c r="M181" i="189" s="1"/>
  <c r="M52" i="191" s="1"/>
  <c r="M157" i="191" s="1"/>
  <c r="M93" i="186"/>
  <c r="M105" i="186" s="1"/>
  <c r="M113" i="189"/>
  <c r="M218" i="189" s="1"/>
  <c r="M90" i="191" s="1"/>
  <c r="M195" i="191" s="1"/>
  <c r="M123" i="186"/>
  <c r="M135" i="186" s="1"/>
  <c r="J110" i="189"/>
  <c r="J215" i="189" s="1"/>
  <c r="J87" i="191" s="1"/>
  <c r="J192" i="191" s="1"/>
  <c r="J120" i="186"/>
  <c r="J132" i="186" s="1"/>
  <c r="J96" i="186"/>
  <c r="J108" i="186" s="1"/>
  <c r="J97" i="189"/>
  <c r="J185" i="189" s="1"/>
  <c r="J56" i="191" s="1"/>
  <c r="J161" i="191" s="1"/>
  <c r="J94" i="186"/>
  <c r="J106" i="186" s="1"/>
  <c r="J95" i="189"/>
  <c r="J183" i="189" s="1"/>
  <c r="J54" i="191" s="1"/>
  <c r="J159" i="191" s="1"/>
  <c r="J118" i="186"/>
  <c r="J130" i="186" s="1"/>
  <c r="J108" i="189"/>
  <c r="J213" i="189" s="1"/>
  <c r="J85" i="191" s="1"/>
  <c r="J190" i="191" s="1"/>
  <c r="J90" i="189"/>
  <c r="J161" i="189" s="1"/>
  <c r="J31" i="191" s="1"/>
  <c r="J136" i="191" s="1"/>
  <c r="J78" i="186"/>
  <c r="J90" i="186" s="1"/>
  <c r="J109" i="189"/>
  <c r="J214" i="189" s="1"/>
  <c r="J86" i="191" s="1"/>
  <c r="J191" i="191" s="1"/>
  <c r="J119" i="186"/>
  <c r="J131" i="186" s="1"/>
  <c r="J72" i="186"/>
  <c r="J84" i="186" s="1"/>
  <c r="J84" i="189"/>
  <c r="J155" i="189" s="1"/>
  <c r="J25" i="191" s="1"/>
  <c r="J130" i="191" s="1"/>
  <c r="K120" i="186"/>
  <c r="K132" i="186" s="1"/>
  <c r="K110" i="189"/>
  <c r="K215" i="189" s="1"/>
  <c r="K87" i="191" s="1"/>
  <c r="K192" i="191" s="1"/>
  <c r="K88" i="189"/>
  <c r="K159" i="189" s="1"/>
  <c r="K29" i="191" s="1"/>
  <c r="K134" i="191" s="1"/>
  <c r="K76" i="186"/>
  <c r="K88" i="186" s="1"/>
  <c r="K85" i="189"/>
  <c r="K156" i="189" s="1"/>
  <c r="K26" i="191" s="1"/>
  <c r="K131" i="191" s="1"/>
  <c r="K73" i="186"/>
  <c r="K85" i="186" s="1"/>
  <c r="K101" i="189"/>
  <c r="K189" i="189" s="1"/>
  <c r="K60" i="191" s="1"/>
  <c r="K165" i="191" s="1"/>
  <c r="K100" i="186"/>
  <c r="K112" i="186" s="1"/>
  <c r="K109" i="189"/>
  <c r="K214" i="189" s="1"/>
  <c r="K86" i="191" s="1"/>
  <c r="K191" i="191" s="1"/>
  <c r="K119" i="186"/>
  <c r="K131" i="186" s="1"/>
  <c r="K71" i="186"/>
  <c r="K83" i="186" s="1"/>
  <c r="K83" i="189"/>
  <c r="K154" i="189" s="1"/>
  <c r="K24" i="191" s="1"/>
  <c r="K129" i="191" s="1"/>
  <c r="J124" i="186"/>
  <c r="J136" i="186" s="1"/>
  <c r="J114" i="189"/>
  <c r="J219" i="189" s="1"/>
  <c r="J91" i="191" s="1"/>
  <c r="J196" i="191" s="1"/>
  <c r="J123" i="186"/>
  <c r="J135" i="186" s="1"/>
  <c r="J113" i="189"/>
  <c r="J218" i="189" s="1"/>
  <c r="J90" i="191" s="1"/>
  <c r="J195" i="191" s="1"/>
  <c r="J117" i="186"/>
  <c r="J129" i="186" s="1"/>
  <c r="J107" i="189"/>
  <c r="J212" i="189" s="1"/>
  <c r="J84" i="191" s="1"/>
  <c r="J189" i="191" s="1"/>
  <c r="J86" i="189"/>
  <c r="J157" i="189" s="1"/>
  <c r="J27" i="191" s="1"/>
  <c r="J132" i="191" s="1"/>
  <c r="J74" i="186"/>
  <c r="J86" i="186" s="1"/>
  <c r="J70" i="186"/>
  <c r="J82" i="186" s="1"/>
  <c r="J81" i="189"/>
  <c r="J152" i="189" s="1"/>
  <c r="J82" i="189"/>
  <c r="J153" i="189" s="1"/>
  <c r="J23" i="191" s="1"/>
  <c r="J128" i="191" s="1"/>
  <c r="J98" i="189"/>
  <c r="J186" i="189" s="1"/>
  <c r="J57" i="191" s="1"/>
  <c r="J162" i="191" s="1"/>
  <c r="J97" i="186"/>
  <c r="J109" i="186" s="1"/>
  <c r="K98" i="189"/>
  <c r="K186" i="189" s="1"/>
  <c r="K57" i="191" s="1"/>
  <c r="K162" i="191" s="1"/>
  <c r="K97" i="186"/>
  <c r="K109" i="186" s="1"/>
  <c r="K107" i="189"/>
  <c r="K212" i="189" s="1"/>
  <c r="K84" i="191" s="1"/>
  <c r="K189" i="191" s="1"/>
  <c r="K117" i="186"/>
  <c r="K129" i="186" s="1"/>
  <c r="K99" i="186"/>
  <c r="K111" i="186" s="1"/>
  <c r="K100" i="189"/>
  <c r="K188" i="189" s="1"/>
  <c r="K59" i="191" s="1"/>
  <c r="K164" i="191" s="1"/>
  <c r="K101" i="186"/>
  <c r="K113" i="186" s="1"/>
  <c r="K102" i="189"/>
  <c r="K190" i="189" s="1"/>
  <c r="K61" i="191" s="1"/>
  <c r="K166" i="191" s="1"/>
  <c r="K89" i="189"/>
  <c r="K160" i="189" s="1"/>
  <c r="K30" i="191" s="1"/>
  <c r="K135" i="191" s="1"/>
  <c r="K77" i="186"/>
  <c r="K89" i="186" s="1"/>
  <c r="K118" i="186"/>
  <c r="K130" i="186" s="1"/>
  <c r="K108" i="189"/>
  <c r="K213" i="189" s="1"/>
  <c r="K85" i="191" s="1"/>
  <c r="K190" i="191" s="1"/>
  <c r="K84" i="189"/>
  <c r="K155" i="189" s="1"/>
  <c r="K25" i="191" s="1"/>
  <c r="K130" i="191" s="1"/>
  <c r="K72" i="186"/>
  <c r="K84" i="186" s="1"/>
  <c r="L97" i="189"/>
  <c r="L185" i="189" s="1"/>
  <c r="L56" i="191" s="1"/>
  <c r="L161" i="191" s="1"/>
  <c r="L96" i="186"/>
  <c r="L108" i="186" s="1"/>
  <c r="L70" i="186"/>
  <c r="L82" i="186" s="1"/>
  <c r="L81" i="189"/>
  <c r="L152" i="189" s="1"/>
  <c r="L82" i="189"/>
  <c r="L153" i="189" s="1"/>
  <c r="L23" i="191" s="1"/>
  <c r="L128" i="191" s="1"/>
  <c r="L98" i="186"/>
  <c r="L110" i="186" s="1"/>
  <c r="L99" i="189"/>
  <c r="L187" i="189" s="1"/>
  <c r="L58" i="191" s="1"/>
  <c r="L163" i="191" s="1"/>
  <c r="L95" i="186"/>
  <c r="L107" i="186" s="1"/>
  <c r="L96" i="189"/>
  <c r="L184" i="189" s="1"/>
  <c r="L55" i="191" s="1"/>
  <c r="L160" i="191" s="1"/>
  <c r="L88" i="189"/>
  <c r="L159" i="189" s="1"/>
  <c r="L29" i="191" s="1"/>
  <c r="L134" i="191" s="1"/>
  <c r="L76" i="186"/>
  <c r="L88" i="186" s="1"/>
  <c r="L95" i="189"/>
  <c r="L183" i="189" s="1"/>
  <c r="L54" i="191" s="1"/>
  <c r="L159" i="191" s="1"/>
  <c r="L94" i="186"/>
  <c r="L106" i="186" s="1"/>
  <c r="L85" i="189"/>
  <c r="L156" i="189" s="1"/>
  <c r="L26" i="191" s="1"/>
  <c r="L131" i="191" s="1"/>
  <c r="L73" i="186"/>
  <c r="L85" i="186" s="1"/>
  <c r="M97" i="189"/>
  <c r="M185" i="189" s="1"/>
  <c r="M56" i="191" s="1"/>
  <c r="M161" i="191" s="1"/>
  <c r="M96" i="186"/>
  <c r="M108" i="186" s="1"/>
  <c r="M119" i="186"/>
  <c r="M131" i="186" s="1"/>
  <c r="M109" i="189"/>
  <c r="M214" i="189" s="1"/>
  <c r="M86" i="191" s="1"/>
  <c r="M191" i="191" s="1"/>
  <c r="M84" i="189"/>
  <c r="M155" i="189" s="1"/>
  <c r="M25" i="191" s="1"/>
  <c r="M130" i="191" s="1"/>
  <c r="M72" i="186"/>
  <c r="M84" i="186" s="1"/>
  <c r="M94" i="186"/>
  <c r="M106" i="186" s="1"/>
  <c r="M95" i="189"/>
  <c r="M183" i="189" s="1"/>
  <c r="M54" i="191" s="1"/>
  <c r="M159" i="191" s="1"/>
  <c r="M107" i="189"/>
  <c r="M212" i="189" s="1"/>
  <c r="M84" i="191" s="1"/>
  <c r="M189" i="191" s="1"/>
  <c r="M117" i="186"/>
  <c r="M129" i="186" s="1"/>
  <c r="M114" i="189"/>
  <c r="M219" i="189" s="1"/>
  <c r="M91" i="191" s="1"/>
  <c r="M196" i="191" s="1"/>
  <c r="M124" i="186"/>
  <c r="M136" i="186" s="1"/>
  <c r="M74" i="186"/>
  <c r="M86" i="186" s="1"/>
  <c r="M86" i="189"/>
  <c r="M157" i="189" s="1"/>
  <c r="M27" i="191" s="1"/>
  <c r="M132" i="191" s="1"/>
  <c r="L90" i="189"/>
  <c r="L161" i="189" s="1"/>
  <c r="L31" i="191" s="1"/>
  <c r="L136" i="191" s="1"/>
  <c r="L78" i="186"/>
  <c r="L90" i="186" s="1"/>
  <c r="L120" i="186"/>
  <c r="L132" i="186" s="1"/>
  <c r="L110" i="189"/>
  <c r="L215" i="189" s="1"/>
  <c r="L87" i="191" s="1"/>
  <c r="L192" i="191" s="1"/>
  <c r="L72" i="186"/>
  <c r="L84" i="186" s="1"/>
  <c r="L84" i="189"/>
  <c r="L155" i="189" s="1"/>
  <c r="L25" i="191" s="1"/>
  <c r="L130" i="191" s="1"/>
  <c r="L100" i="189"/>
  <c r="L188" i="189" s="1"/>
  <c r="L59" i="191" s="1"/>
  <c r="L164" i="191" s="1"/>
  <c r="L99" i="186"/>
  <c r="L111" i="186" s="1"/>
  <c r="L109" i="189"/>
  <c r="L214" i="189" s="1"/>
  <c r="L86" i="191" s="1"/>
  <c r="L191" i="191" s="1"/>
  <c r="L119" i="186"/>
  <c r="L131" i="186" s="1"/>
  <c r="L83" i="189"/>
  <c r="L154" i="189" s="1"/>
  <c r="L24" i="191" s="1"/>
  <c r="L129" i="191" s="1"/>
  <c r="L71" i="186"/>
  <c r="L83" i="186" s="1"/>
  <c r="M100" i="189"/>
  <c r="M188" i="189" s="1"/>
  <c r="M59" i="191" s="1"/>
  <c r="M164" i="191" s="1"/>
  <c r="M99" i="186"/>
  <c r="M111" i="186" s="1"/>
  <c r="M98" i="186"/>
  <c r="M110" i="186" s="1"/>
  <c r="M99" i="189"/>
  <c r="M187" i="189" s="1"/>
  <c r="M58" i="191" s="1"/>
  <c r="M163" i="191" s="1"/>
  <c r="M122" i="186"/>
  <c r="M134" i="186" s="1"/>
  <c r="M112" i="189"/>
  <c r="M217" i="189" s="1"/>
  <c r="M89" i="191" s="1"/>
  <c r="M194" i="191" s="1"/>
  <c r="M85" i="189"/>
  <c r="M156" i="189" s="1"/>
  <c r="M26" i="191" s="1"/>
  <c r="M131" i="191" s="1"/>
  <c r="M73" i="186"/>
  <c r="M85" i="186" s="1"/>
  <c r="M82" i="189"/>
  <c r="M153" i="189" s="1"/>
  <c r="M23" i="191" s="1"/>
  <c r="M128" i="191" s="1"/>
  <c r="M81" i="189"/>
  <c r="M152" i="189" s="1"/>
  <c r="M70" i="186"/>
  <c r="M82" i="186" s="1"/>
  <c r="M96" i="189"/>
  <c r="M184" i="189" s="1"/>
  <c r="M55" i="191" s="1"/>
  <c r="M160" i="191" s="1"/>
  <c r="M95" i="186"/>
  <c r="M107" i="186" s="1"/>
  <c r="M110" i="189"/>
  <c r="M215" i="189" s="1"/>
  <c r="M87" i="191" s="1"/>
  <c r="M192" i="191" s="1"/>
  <c r="M120" i="186"/>
  <c r="M132" i="186" s="1"/>
  <c r="J111" i="189"/>
  <c r="J216" i="189" s="1"/>
  <c r="J88" i="191" s="1"/>
  <c r="J193" i="191" s="1"/>
  <c r="J121" i="186"/>
  <c r="J133" i="186" s="1"/>
  <c r="J99" i="186"/>
  <c r="J111" i="186" s="1"/>
  <c r="J100" i="189"/>
  <c r="J188" i="189" s="1"/>
  <c r="J59" i="191" s="1"/>
  <c r="J164" i="191" s="1"/>
  <c r="J89" i="189"/>
  <c r="J160" i="189" s="1"/>
  <c r="J30" i="191" s="1"/>
  <c r="J135" i="191" s="1"/>
  <c r="J77" i="186"/>
  <c r="J89" i="186" s="1"/>
  <c r="J105" i="189"/>
  <c r="J210" i="189" s="1"/>
  <c r="J82" i="191" s="1"/>
  <c r="J187" i="191" s="1"/>
  <c r="J106" i="189"/>
  <c r="J211" i="189" s="1"/>
  <c r="J83" i="191" s="1"/>
  <c r="J188" i="191" s="1"/>
  <c r="J116" i="186"/>
  <c r="J128" i="186" s="1"/>
  <c r="J75" i="186"/>
  <c r="J87" i="186" s="1"/>
  <c r="J87" i="189"/>
  <c r="J158" i="189" s="1"/>
  <c r="J28" i="191" s="1"/>
  <c r="J133" i="191" s="1"/>
  <c r="J71" i="186"/>
  <c r="J83" i="186" s="1"/>
  <c r="J83" i="189"/>
  <c r="J154" i="189" s="1"/>
  <c r="J24" i="191" s="1"/>
  <c r="J129" i="191" s="1"/>
  <c r="J93" i="186"/>
  <c r="J105" i="186" s="1"/>
  <c r="J94" i="189"/>
  <c r="J182" i="189" s="1"/>
  <c r="J53" i="191" s="1"/>
  <c r="J158" i="191" s="1"/>
  <c r="J93" i="189"/>
  <c r="J181" i="189" s="1"/>
  <c r="J52" i="191" s="1"/>
  <c r="J157" i="191" s="1"/>
  <c r="K106" i="189"/>
  <c r="K211" i="189" s="1"/>
  <c r="K83" i="191" s="1"/>
  <c r="K188" i="191" s="1"/>
  <c r="K105" i="189"/>
  <c r="K210" i="189" s="1"/>
  <c r="K82" i="191" s="1"/>
  <c r="K187" i="191" s="1"/>
  <c r="K116" i="186"/>
  <c r="K128" i="186" s="1"/>
  <c r="K87" i="189"/>
  <c r="K158" i="189" s="1"/>
  <c r="K28" i="191" s="1"/>
  <c r="K133" i="191" s="1"/>
  <c r="K75" i="186"/>
  <c r="K87" i="186" s="1"/>
  <c r="K86" i="189"/>
  <c r="K157" i="189" s="1"/>
  <c r="K27" i="191" s="1"/>
  <c r="K132" i="191" s="1"/>
  <c r="K74" i="186"/>
  <c r="K86" i="186" s="1"/>
  <c r="K111" i="189"/>
  <c r="K216" i="189" s="1"/>
  <c r="K88" i="191" s="1"/>
  <c r="K193" i="191" s="1"/>
  <c r="K121" i="186"/>
  <c r="K133" i="186" s="1"/>
  <c r="K112" i="189"/>
  <c r="K217" i="189" s="1"/>
  <c r="K89" i="191" s="1"/>
  <c r="K194" i="191" s="1"/>
  <c r="K122" i="186"/>
  <c r="K134" i="186" s="1"/>
  <c r="K99" i="189"/>
  <c r="K187" i="189" s="1"/>
  <c r="K58" i="191" s="1"/>
  <c r="K163" i="191" s="1"/>
  <c r="K98" i="186"/>
  <c r="K110" i="186" s="1"/>
  <c r="K95" i="189"/>
  <c r="K183" i="189" s="1"/>
  <c r="K54" i="191" s="1"/>
  <c r="K159" i="191" s="1"/>
  <c r="K94" i="186"/>
  <c r="K106" i="186" s="1"/>
  <c r="N176" i="186"/>
  <c r="N269" i="186"/>
  <c r="P269" i="186"/>
  <c r="P208" i="186" l="1"/>
  <c r="O177" i="186"/>
  <c r="O208" i="186"/>
  <c r="L142" i="186"/>
  <c r="L168" i="186" s="1"/>
  <c r="L269" i="186" s="1"/>
  <c r="J46" i="55"/>
  <c r="P177" i="186"/>
  <c r="N177" i="186"/>
  <c r="J147" i="186"/>
  <c r="J173" i="186" s="1"/>
  <c r="J274" i="186" s="1"/>
  <c r="L150" i="186"/>
  <c r="L208" i="186" s="1"/>
  <c r="J143" i="186"/>
  <c r="J169" i="186" s="1"/>
  <c r="J270" i="186" s="1"/>
  <c r="M142" i="186"/>
  <c r="M168" i="186" s="1"/>
  <c r="M269" i="186" s="1"/>
  <c r="M144" i="186"/>
  <c r="M170" i="186" s="1"/>
  <c r="M271" i="186" s="1"/>
  <c r="K148" i="186"/>
  <c r="K174" i="186" s="1"/>
  <c r="K275" i="186" s="1"/>
  <c r="J150" i="186"/>
  <c r="J176" i="186" s="1"/>
  <c r="M150" i="186"/>
  <c r="J144" i="186"/>
  <c r="J170" i="186" s="1"/>
  <c r="J271" i="186" s="1"/>
  <c r="K146" i="186"/>
  <c r="K172" i="186" s="1"/>
  <c r="K273" i="186" s="1"/>
  <c r="M148" i="186"/>
  <c r="M174" i="186" s="1"/>
  <c r="M275" i="186" s="1"/>
  <c r="J146" i="186"/>
  <c r="M146" i="186"/>
  <c r="M172" i="186" s="1"/>
  <c r="M273" i="186" s="1"/>
  <c r="L22" i="191"/>
  <c r="L127" i="191" s="1"/>
  <c r="K144" i="186"/>
  <c r="K149" i="186"/>
  <c r="K175" i="186" s="1"/>
  <c r="K276" i="186" s="1"/>
  <c r="K143" i="186"/>
  <c r="K150" i="186"/>
  <c r="J145" i="186"/>
  <c r="M143" i="186"/>
  <c r="M169" i="186" s="1"/>
  <c r="M270" i="186" s="1"/>
  <c r="L147" i="186"/>
  <c r="L173" i="186" s="1"/>
  <c r="L274" i="186" s="1"/>
  <c r="M22" i="191"/>
  <c r="M127" i="191" s="1"/>
  <c r="J149" i="186"/>
  <c r="L144" i="186"/>
  <c r="L170" i="186" s="1"/>
  <c r="L271" i="186" s="1"/>
  <c r="L145" i="186"/>
  <c r="L171" i="186" s="1"/>
  <c r="L272" i="186" s="1"/>
  <c r="L148" i="186"/>
  <c r="L174" i="186" s="1"/>
  <c r="L275" i="186" s="1"/>
  <c r="J22" i="191"/>
  <c r="J127" i="191" s="1"/>
  <c r="K145" i="186"/>
  <c r="K171" i="186" s="1"/>
  <c r="K272" i="186" s="1"/>
  <c r="M147" i="186"/>
  <c r="M173" i="186" s="1"/>
  <c r="M274" i="186" s="1"/>
  <c r="K142" i="186"/>
  <c r="K168" i="186" s="1"/>
  <c r="J148" i="186"/>
  <c r="K147" i="186"/>
  <c r="M145" i="186"/>
  <c r="M171" i="186" s="1"/>
  <c r="M272" i="186" s="1"/>
  <c r="L143" i="186"/>
  <c r="L169" i="186" s="1"/>
  <c r="J142" i="186"/>
  <c r="L146" i="186"/>
  <c r="L172" i="186" s="1"/>
  <c r="L273" i="186" s="1"/>
  <c r="K22" i="191"/>
  <c r="K127" i="191" s="1"/>
  <c r="M149" i="186"/>
  <c r="M175" i="186" s="1"/>
  <c r="M276" i="186" s="1"/>
  <c r="L149" i="186"/>
  <c r="L175" i="186" s="1"/>
  <c r="L276" i="186" s="1"/>
  <c r="O260" i="186"/>
  <c r="P260" i="186"/>
  <c r="N260" i="186"/>
  <c r="L176" i="186" l="1"/>
  <c r="J208" i="186"/>
  <c r="M176" i="186"/>
  <c r="M208" i="186"/>
  <c r="K170" i="186"/>
  <c r="K271" i="186" s="1"/>
  <c r="H271" i="186" s="1"/>
  <c r="H156" i="186"/>
  <c r="J172" i="186"/>
  <c r="J273" i="186" s="1"/>
  <c r="H273" i="186" s="1"/>
  <c r="H158" i="186"/>
  <c r="K173" i="186"/>
  <c r="K274" i="186" s="1"/>
  <c r="H274" i="186" s="1"/>
  <c r="H159" i="186"/>
  <c r="J174" i="186"/>
  <c r="J275" i="186" s="1"/>
  <c r="H275" i="186" s="1"/>
  <c r="H160" i="186"/>
  <c r="H154" i="186"/>
  <c r="J168" i="186"/>
  <c r="H157" i="186"/>
  <c r="J171" i="186"/>
  <c r="J272" i="186" s="1"/>
  <c r="H272" i="186" s="1"/>
  <c r="K169" i="186"/>
  <c r="K270" i="186" s="1"/>
  <c r="H155" i="186"/>
  <c r="M177" i="186"/>
  <c r="L270" i="186"/>
  <c r="L177" i="186"/>
  <c r="K269" i="186"/>
  <c r="H161" i="186"/>
  <c r="J175" i="186"/>
  <c r="J276" i="186" s="1"/>
  <c r="H276" i="186" s="1"/>
  <c r="K208" i="186"/>
  <c r="K176" i="186"/>
  <c r="H162" i="186"/>
  <c r="H210" i="186" l="1"/>
  <c r="H234" i="186" s="1"/>
  <c r="L247" i="186" s="1"/>
  <c r="K177" i="186"/>
  <c r="J177" i="186"/>
  <c r="J269" i="186"/>
  <c r="H269" i="186" s="1"/>
  <c r="H270" i="186"/>
  <c r="R260" i="186" l="1"/>
  <c r="T247" i="186"/>
  <c r="X247" i="186"/>
  <c r="L260" i="186"/>
  <c r="L277" i="186" s="1"/>
  <c r="J247" i="186"/>
  <c r="U247" i="186"/>
  <c r="U260" i="186"/>
  <c r="R247" i="186"/>
  <c r="M247" i="186"/>
  <c r="M277" i="186" s="1"/>
  <c r="N247" i="186"/>
  <c r="N277" i="186" s="1"/>
  <c r="W247" i="186"/>
  <c r="Y260" i="186"/>
  <c r="V260" i="186"/>
  <c r="W260" i="186"/>
  <c r="Y247" i="186"/>
  <c r="Q247" i="186"/>
  <c r="X260" i="186"/>
  <c r="Q260" i="186"/>
  <c r="J260" i="186"/>
  <c r="S247" i="186"/>
  <c r="K247" i="186"/>
  <c r="K277" i="186" s="1"/>
  <c r="S260" i="186"/>
  <c r="T260" i="186"/>
  <c r="T277" i="186" s="1"/>
  <c r="P247" i="186"/>
  <c r="P277" i="186" s="1"/>
  <c r="V247" i="186"/>
  <c r="V277" i="186" s="1"/>
  <c r="O247" i="186"/>
  <c r="O277" i="186" s="1"/>
  <c r="H32" i="192"/>
  <c r="N171" i="192" s="1"/>
  <c r="N231" i="192" s="1"/>
  <c r="U277" i="186" l="1"/>
  <c r="R277" i="186"/>
  <c r="W277" i="186"/>
  <c r="P141" i="192"/>
  <c r="P201" i="192" s="1"/>
  <c r="J171" i="192"/>
  <c r="J231" i="192" s="1"/>
  <c r="Y277" i="186"/>
  <c r="Q141" i="192"/>
  <c r="Q271" i="192" s="1"/>
  <c r="Q34" i="194" s="1"/>
  <c r="Q79" i="194" s="1"/>
  <c r="N141" i="192"/>
  <c r="N271" i="192" s="1"/>
  <c r="N34" i="194" s="1"/>
  <c r="N79" i="194" s="1"/>
  <c r="O171" i="192"/>
  <c r="O231" i="192" s="1"/>
  <c r="O141" i="192"/>
  <c r="O271" i="192" s="1"/>
  <c r="O34" i="194" s="1"/>
  <c r="O79" i="194" s="1"/>
  <c r="X277" i="186"/>
  <c r="J277" i="186"/>
  <c r="Q277" i="186"/>
  <c r="S277" i="186"/>
  <c r="K171" i="192"/>
  <c r="K231" i="192" s="1"/>
  <c r="L171" i="192"/>
  <c r="L231" i="192" s="1"/>
  <c r="K141" i="192"/>
  <c r="K201" i="192" s="1"/>
  <c r="M141" i="192"/>
  <c r="M201" i="192" s="1"/>
  <c r="P171" i="192"/>
  <c r="P231" i="192" s="1"/>
  <c r="M171" i="192"/>
  <c r="M231" i="192" s="1"/>
  <c r="L141" i="192"/>
  <c r="L271" i="192" s="1"/>
  <c r="L34" i="194" s="1"/>
  <c r="L79" i="194" s="1"/>
  <c r="J141" i="192"/>
  <c r="J201" i="192" s="1"/>
  <c r="Q171" i="192"/>
  <c r="Q231" i="192" s="1"/>
  <c r="P271" i="192" l="1"/>
  <c r="P34" i="194" s="1"/>
  <c r="P79" i="194" s="1"/>
  <c r="N201" i="192"/>
  <c r="Q201" i="192"/>
  <c r="H277" i="186"/>
  <c r="K64" i="188" s="1" a="1"/>
  <c r="P64" i="188" s="1"/>
  <c r="P67" i="188" s="1"/>
  <c r="H281" i="186" a="1"/>
  <c r="H281" i="186" s="1"/>
  <c r="J47" i="55" s="1"/>
  <c r="O201" i="192"/>
  <c r="K271" i="192"/>
  <c r="K34" i="194" s="1"/>
  <c r="K79" i="194" s="1"/>
  <c r="L201" i="192"/>
  <c r="J271" i="192"/>
  <c r="J34" i="194" s="1"/>
  <c r="J79" i="194" s="1"/>
  <c r="J109" i="194" s="1"/>
  <c r="J141" i="194" s="1"/>
  <c r="M271" i="192"/>
  <c r="M34" i="194" s="1"/>
  <c r="M79" i="194" s="1"/>
  <c r="O64" i="188" l="1"/>
  <c r="O67" i="188" s="1"/>
  <c r="O73" i="188" s="1"/>
  <c r="O76" i="188" s="1"/>
  <c r="S64" i="188"/>
  <c r="S67" i="188" s="1"/>
  <c r="S73" i="188" s="1"/>
  <c r="S76" i="188" s="1"/>
  <c r="Q64" i="188"/>
  <c r="Q67" i="188" s="1"/>
  <c r="Q73" i="188" s="1"/>
  <c r="Q76" i="188" s="1"/>
  <c r="K64" i="188"/>
  <c r="J65" i="188" s="1"/>
  <c r="J67" i="188" s="1"/>
  <c r="J100" i="188" s="1"/>
  <c r="J115" i="188" s="1"/>
  <c r="R64" i="188"/>
  <c r="R67" i="188" s="1"/>
  <c r="R73" i="188" s="1"/>
  <c r="R76" i="188" s="1"/>
  <c r="A4" i="186"/>
  <c r="N64" i="188"/>
  <c r="N67" i="188" s="1"/>
  <c r="N73" i="188" s="1"/>
  <c r="N76" i="188" s="1"/>
  <c r="L64" i="188"/>
  <c r="L67" i="188" s="1"/>
  <c r="L73" i="188" s="1"/>
  <c r="L76" i="188" s="1"/>
  <c r="M64" i="188"/>
  <c r="M67" i="188" s="1"/>
  <c r="S109" i="194"/>
  <c r="S141" i="194" s="1"/>
  <c r="L109" i="194"/>
  <c r="L141" i="194" s="1"/>
  <c r="Q109" i="194"/>
  <c r="Q141" i="194" s="1"/>
  <c r="R109" i="194"/>
  <c r="R141" i="194" s="1"/>
  <c r="W109" i="194"/>
  <c r="W141" i="194" s="1"/>
  <c r="Y109" i="194"/>
  <c r="Y141" i="194" s="1"/>
  <c r="M109" i="194"/>
  <c r="M141" i="194" s="1"/>
  <c r="N109" i="194"/>
  <c r="N141" i="194" s="1"/>
  <c r="O109" i="194"/>
  <c r="O141" i="194" s="1"/>
  <c r="U109" i="194"/>
  <c r="U141" i="194" s="1"/>
  <c r="V109" i="194"/>
  <c r="V141" i="194" s="1"/>
  <c r="K109" i="194"/>
  <c r="K141" i="194" s="1"/>
  <c r="P109" i="194"/>
  <c r="P141" i="194" s="1"/>
  <c r="T109" i="194"/>
  <c r="T141" i="194" s="1"/>
  <c r="X109" i="194"/>
  <c r="X141" i="194" s="1"/>
  <c r="M73" i="188"/>
  <c r="M76" i="188" s="1"/>
  <c r="P100" i="188"/>
  <c r="P115" i="188" s="1"/>
  <c r="P73" i="188"/>
  <c r="P76" i="188" s="1"/>
  <c r="K67" i="188" l="1"/>
  <c r="N78" i="188"/>
  <c r="N97" i="188" s="1"/>
  <c r="N100" i="188" s="1"/>
  <c r="N115" i="188" s="1"/>
  <c r="N108" i="188"/>
  <c r="P78" i="188"/>
  <c r="P97" i="188" s="1"/>
  <c r="P108" i="188"/>
  <c r="S108" i="188"/>
  <c r="S78" i="188"/>
  <c r="S97" i="188" s="1"/>
  <c r="S100" i="188" s="1"/>
  <c r="S115" i="188" s="1"/>
  <c r="R78" i="188"/>
  <c r="R97" i="188" s="1"/>
  <c r="R100" i="188" s="1"/>
  <c r="R115" i="188" s="1"/>
  <c r="R108" i="188"/>
  <c r="O108" i="188"/>
  <c r="O78" i="188"/>
  <c r="O97" i="188" s="1"/>
  <c r="O100" i="188" s="1"/>
  <c r="O115" i="188" s="1"/>
  <c r="M78" i="188"/>
  <c r="M97" i="188" s="1"/>
  <c r="M100" i="188" s="1"/>
  <c r="M115" i="188" s="1"/>
  <c r="M108" i="188"/>
  <c r="K78" i="188"/>
  <c r="K97" i="188" s="1"/>
  <c r="L108" i="188"/>
  <c r="U78" i="188"/>
  <c r="U97" i="188" s="1"/>
  <c r="H123" i="188"/>
  <c r="H21" i="190" s="1"/>
  <c r="L78" i="188"/>
  <c r="L97" i="188" s="1"/>
  <c r="L100" i="188" s="1"/>
  <c r="L115" i="188" s="1"/>
  <c r="T78" i="188"/>
  <c r="T97" i="188" s="1"/>
  <c r="Q108" i="188"/>
  <c r="Q78" i="188"/>
  <c r="Q97" i="188" s="1"/>
  <c r="Q100" i="188" s="1"/>
  <c r="Q115" i="188" s="1"/>
  <c r="K100" i="188" l="1"/>
  <c r="K115" i="188" s="1"/>
  <c r="H65" i="192" s="1" a="1"/>
  <c r="H35" i="190"/>
  <c r="H127" i="188" l="1" a="1"/>
  <c r="H127" i="188" s="1"/>
  <c r="H131" i="188" s="1"/>
  <c r="J49" i="55" s="1"/>
  <c r="H30" i="189" a="1"/>
  <c r="H36" i="189" s="1"/>
  <c r="H63" i="193" a="1"/>
  <c r="H64" i="193" s="1"/>
  <c r="Q42" i="190"/>
  <c r="Q44" i="190"/>
  <c r="S43" i="190"/>
  <c r="S56" i="194" s="1"/>
  <c r="S157" i="194" s="1"/>
  <c r="J42" i="190"/>
  <c r="J55" i="194" s="1"/>
  <c r="J156" i="194" s="1"/>
  <c r="N42" i="190"/>
  <c r="N55" i="194" s="1"/>
  <c r="N156" i="194" s="1"/>
  <c r="X42" i="190"/>
  <c r="X55" i="194" s="1"/>
  <c r="X156" i="194" s="1"/>
  <c r="P43" i="190"/>
  <c r="P56" i="194" s="1"/>
  <c r="P157" i="194" s="1"/>
  <c r="Y43" i="190"/>
  <c r="Y56" i="194" s="1"/>
  <c r="Y157" i="194" s="1"/>
  <c r="T43" i="190"/>
  <c r="T56" i="194" s="1"/>
  <c r="T157" i="194" s="1"/>
  <c r="W43" i="190"/>
  <c r="W56" i="194" s="1"/>
  <c r="W157" i="194" s="1"/>
  <c r="L42" i="190"/>
  <c r="L55" i="194" s="1"/>
  <c r="L156" i="194" s="1"/>
  <c r="T42" i="190"/>
  <c r="T55" i="194" s="1"/>
  <c r="T156" i="194" s="1"/>
  <c r="U42" i="190"/>
  <c r="U55" i="194" s="1"/>
  <c r="U156" i="194" s="1"/>
  <c r="X43" i="190"/>
  <c r="X56" i="194" s="1"/>
  <c r="X157" i="194" s="1"/>
  <c r="U43" i="190"/>
  <c r="U56" i="194" s="1"/>
  <c r="U157" i="194" s="1"/>
  <c r="S42" i="190"/>
  <c r="S55" i="194" s="1"/>
  <c r="S156" i="194" s="1"/>
  <c r="R43" i="190"/>
  <c r="R56" i="194" s="1"/>
  <c r="R157" i="194" s="1"/>
  <c r="K43" i="190"/>
  <c r="K56" i="194" s="1"/>
  <c r="K157" i="194" s="1"/>
  <c r="O42" i="190"/>
  <c r="O55" i="194" s="1"/>
  <c r="O156" i="194" s="1"/>
  <c r="P42" i="190"/>
  <c r="P55" i="194" s="1"/>
  <c r="P156" i="194" s="1"/>
  <c r="Y42" i="190"/>
  <c r="Y55" i="194" s="1"/>
  <c r="Y156" i="194" s="1"/>
  <c r="M42" i="190"/>
  <c r="M55" i="194" s="1"/>
  <c r="M156" i="194" s="1"/>
  <c r="J43" i="190"/>
  <c r="J56" i="194" s="1"/>
  <c r="J157" i="194" s="1"/>
  <c r="K42" i="190"/>
  <c r="K55" i="194" s="1"/>
  <c r="K156" i="194" s="1"/>
  <c r="M43" i="190"/>
  <c r="M56" i="194" s="1"/>
  <c r="M157" i="194" s="1"/>
  <c r="V43" i="190"/>
  <c r="V56" i="194" s="1"/>
  <c r="V157" i="194" s="1"/>
  <c r="V42" i="190"/>
  <c r="V55" i="194" s="1"/>
  <c r="V156" i="194" s="1"/>
  <c r="Q43" i="190"/>
  <c r="R42" i="190"/>
  <c r="R55" i="194" s="1"/>
  <c r="R156" i="194" s="1"/>
  <c r="L43" i="190"/>
  <c r="L56" i="194" s="1"/>
  <c r="L157" i="194" s="1"/>
  <c r="W42" i="190"/>
  <c r="W55" i="194" s="1"/>
  <c r="W156" i="194" s="1"/>
  <c r="O43" i="190"/>
  <c r="O56" i="194" s="1"/>
  <c r="O157" i="194" s="1"/>
  <c r="N43" i="190"/>
  <c r="N56" i="194" s="1"/>
  <c r="N157" i="194" s="1"/>
  <c r="H72" i="192"/>
  <c r="H69" i="192"/>
  <c r="H68" i="192"/>
  <c r="H67" i="192"/>
  <c r="H74" i="192"/>
  <c r="H66" i="192"/>
  <c r="H70" i="192"/>
  <c r="H71" i="192"/>
  <c r="H73" i="192"/>
  <c r="H65" i="192"/>
  <c r="H39" i="189" l="1"/>
  <c r="H38" i="189"/>
  <c r="S172" i="189" s="1"/>
  <c r="S44" i="191" s="1"/>
  <c r="S149" i="191" s="1"/>
  <c r="H32" i="189"/>
  <c r="T224" i="189" s="1"/>
  <c r="T98" i="191" s="1"/>
  <c r="T203" i="191" s="1"/>
  <c r="H33" i="189"/>
  <c r="M225" i="189" s="1"/>
  <c r="M99" i="191" s="1"/>
  <c r="M204" i="191" s="1"/>
  <c r="H37" i="189"/>
  <c r="N142" i="189" s="1"/>
  <c r="N144" i="193" s="1"/>
  <c r="N214" i="193" s="1"/>
  <c r="N244" i="193" s="1"/>
  <c r="H34" i="189"/>
  <c r="Q226" i="189" s="1"/>
  <c r="Q100" i="191" s="1"/>
  <c r="Q205" i="191" s="1"/>
  <c r="H35" i="189"/>
  <c r="M169" i="189" s="1"/>
  <c r="M41" i="191" s="1"/>
  <c r="M146" i="191" s="1"/>
  <c r="H30" i="189"/>
  <c r="U193" i="189" s="1"/>
  <c r="U66" i="191" s="1"/>
  <c r="U171" i="191" s="1"/>
  <c r="H31" i="189"/>
  <c r="K165" i="189" s="1"/>
  <c r="K37" i="191" s="1"/>
  <c r="K142" i="191" s="1"/>
  <c r="A4" i="188"/>
  <c r="H63" i="193"/>
  <c r="X172" i="193" s="1"/>
  <c r="X207" i="193" s="1"/>
  <c r="X237" i="193" s="1"/>
  <c r="H70" i="193"/>
  <c r="V179" i="193" s="1"/>
  <c r="V214" i="193" s="1"/>
  <c r="V244" i="193" s="1"/>
  <c r="H65" i="193"/>
  <c r="T174" i="193" s="1"/>
  <c r="T209" i="193" s="1"/>
  <c r="T239" i="193" s="1"/>
  <c r="H68" i="193"/>
  <c r="S177" i="193" s="1"/>
  <c r="S212" i="193" s="1"/>
  <c r="S242" i="193" s="1"/>
  <c r="H72" i="193"/>
  <c r="X181" i="193" s="1"/>
  <c r="X216" i="193" s="1"/>
  <c r="X246" i="193" s="1"/>
  <c r="H71" i="193"/>
  <c r="V180" i="193" s="1"/>
  <c r="V215" i="193" s="1"/>
  <c r="V245" i="193" s="1"/>
  <c r="H66" i="193"/>
  <c r="H69" i="193"/>
  <c r="X178" i="193" s="1"/>
  <c r="X213" i="193" s="1"/>
  <c r="X243" i="193" s="1"/>
  <c r="H67" i="193"/>
  <c r="V176" i="193" s="1"/>
  <c r="V211" i="193" s="1"/>
  <c r="V241" i="193" s="1"/>
  <c r="H48" i="190" a="1"/>
  <c r="H48" i="190" s="1"/>
  <c r="A4" i="190" s="1"/>
  <c r="V229" i="189"/>
  <c r="V103" i="191" s="1"/>
  <c r="V208" i="191" s="1"/>
  <c r="P171" i="189"/>
  <c r="P43" i="191" s="1"/>
  <c r="P148" i="191" s="1"/>
  <c r="K149" i="192"/>
  <c r="L149" i="192"/>
  <c r="M179" i="192"/>
  <c r="M239" i="192" s="1"/>
  <c r="N149" i="192"/>
  <c r="O179" i="192"/>
  <c r="O239" i="192" s="1"/>
  <c r="O149" i="192"/>
  <c r="P149" i="192"/>
  <c r="L179" i="192"/>
  <c r="L239" i="192" s="1"/>
  <c r="Q149" i="192"/>
  <c r="Q179" i="192"/>
  <c r="Q239" i="192" s="1"/>
  <c r="J149" i="192"/>
  <c r="M149" i="192"/>
  <c r="K179" i="192"/>
  <c r="K239" i="192" s="1"/>
  <c r="J179" i="192"/>
  <c r="J239" i="192" s="1"/>
  <c r="P179" i="192"/>
  <c r="P239" i="192" s="1"/>
  <c r="N179" i="192"/>
  <c r="N239" i="192" s="1"/>
  <c r="V174" i="193"/>
  <c r="V209" i="193" s="1"/>
  <c r="V239" i="193" s="1"/>
  <c r="N226" i="189"/>
  <c r="N100" i="191" s="1"/>
  <c r="N205" i="191" s="1"/>
  <c r="K168" i="189"/>
  <c r="K40" i="191" s="1"/>
  <c r="K145" i="191" s="1"/>
  <c r="P139" i="189"/>
  <c r="P141" i="193" s="1"/>
  <c r="P211" i="193" s="1"/>
  <c r="P241" i="193" s="1"/>
  <c r="Y139" i="189"/>
  <c r="M168" i="189"/>
  <c r="M40" i="191" s="1"/>
  <c r="M145" i="191" s="1"/>
  <c r="S197" i="189"/>
  <c r="S70" i="191" s="1"/>
  <c r="S175" i="191" s="1"/>
  <c r="W197" i="189"/>
  <c r="W70" i="191" s="1"/>
  <c r="W175" i="191" s="1"/>
  <c r="P197" i="189"/>
  <c r="P70" i="191" s="1"/>
  <c r="P175" i="191" s="1"/>
  <c r="S168" i="189"/>
  <c r="S40" i="191" s="1"/>
  <c r="S145" i="191" s="1"/>
  <c r="Y168" i="189"/>
  <c r="Y40" i="191" s="1"/>
  <c r="Y145" i="191" s="1"/>
  <c r="P168" i="189"/>
  <c r="P40" i="191" s="1"/>
  <c r="P145" i="191" s="1"/>
  <c r="X139" i="189"/>
  <c r="L168" i="189"/>
  <c r="L40" i="191" s="1"/>
  <c r="L145" i="191" s="1"/>
  <c r="Q168" i="189"/>
  <c r="Q40" i="191" s="1"/>
  <c r="Q145" i="191" s="1"/>
  <c r="Q106" i="191"/>
  <c r="Q211" i="191" s="1"/>
  <c r="Q76" i="191"/>
  <c r="Q181" i="191" s="1"/>
  <c r="Q46" i="191"/>
  <c r="Q151" i="191" s="1"/>
  <c r="M146" i="192"/>
  <c r="K176" i="192"/>
  <c r="K236" i="192" s="1"/>
  <c r="Q146" i="192"/>
  <c r="J176" i="192"/>
  <c r="J236" i="192" s="1"/>
  <c r="O146" i="192"/>
  <c r="M176" i="192"/>
  <c r="M236" i="192" s="1"/>
  <c r="L176" i="192"/>
  <c r="L236" i="192" s="1"/>
  <c r="O176" i="192"/>
  <c r="O236" i="192" s="1"/>
  <c r="P176" i="192"/>
  <c r="P236" i="192" s="1"/>
  <c r="J146" i="192"/>
  <c r="Q176" i="192"/>
  <c r="Q236" i="192" s="1"/>
  <c r="L146" i="192"/>
  <c r="N146" i="192"/>
  <c r="K146" i="192"/>
  <c r="P146" i="192"/>
  <c r="N176" i="192"/>
  <c r="N236" i="192" s="1"/>
  <c r="K177" i="192"/>
  <c r="K237" i="192" s="1"/>
  <c r="J147" i="192"/>
  <c r="P147" i="192"/>
  <c r="L147" i="192"/>
  <c r="N147" i="192"/>
  <c r="Q177" i="192"/>
  <c r="Q237" i="192" s="1"/>
  <c r="Q147" i="192"/>
  <c r="M177" i="192"/>
  <c r="M237" i="192" s="1"/>
  <c r="K147" i="192"/>
  <c r="N177" i="192"/>
  <c r="N237" i="192" s="1"/>
  <c r="M147" i="192"/>
  <c r="O147" i="192"/>
  <c r="J177" i="192"/>
  <c r="J237" i="192" s="1"/>
  <c r="P177" i="192"/>
  <c r="P237" i="192" s="1"/>
  <c r="L177" i="192"/>
  <c r="L237" i="192" s="1"/>
  <c r="O177" i="192"/>
  <c r="O237" i="192" s="1"/>
  <c r="M150" i="192"/>
  <c r="J180" i="192"/>
  <c r="J240" i="192" s="1"/>
  <c r="K180" i="192"/>
  <c r="K240" i="192" s="1"/>
  <c r="O180" i="192"/>
  <c r="O240" i="192" s="1"/>
  <c r="M180" i="192"/>
  <c r="M240" i="192" s="1"/>
  <c r="K150" i="192"/>
  <c r="P180" i="192"/>
  <c r="P240" i="192" s="1"/>
  <c r="O150" i="192"/>
  <c r="N150" i="192"/>
  <c r="Q150" i="192"/>
  <c r="J150" i="192"/>
  <c r="P150" i="192"/>
  <c r="Q180" i="192"/>
  <c r="Q240" i="192" s="1"/>
  <c r="N180" i="192"/>
  <c r="N240" i="192" s="1"/>
  <c r="L180" i="192"/>
  <c r="L240" i="192" s="1"/>
  <c r="L150" i="192"/>
  <c r="W175" i="193"/>
  <c r="W210" i="193" s="1"/>
  <c r="W240" i="193" s="1"/>
  <c r="V231" i="189"/>
  <c r="V105" i="191" s="1"/>
  <c r="V210" i="191" s="1"/>
  <c r="Y231" i="189"/>
  <c r="Y105" i="191" s="1"/>
  <c r="Y210" i="191" s="1"/>
  <c r="M231" i="189"/>
  <c r="M105" i="191" s="1"/>
  <c r="M210" i="191" s="1"/>
  <c r="O231" i="189"/>
  <c r="O105" i="191" s="1"/>
  <c r="O210" i="191" s="1"/>
  <c r="R202" i="189"/>
  <c r="R75" i="191" s="1"/>
  <c r="R180" i="191" s="1"/>
  <c r="N202" i="189"/>
  <c r="N75" i="191" s="1"/>
  <c r="N180" i="191" s="1"/>
  <c r="Q231" i="189"/>
  <c r="Q105" i="191" s="1"/>
  <c r="Q210" i="191" s="1"/>
  <c r="V202" i="189"/>
  <c r="V75" i="191" s="1"/>
  <c r="V180" i="191" s="1"/>
  <c r="V144" i="189"/>
  <c r="U231" i="189"/>
  <c r="U105" i="191" s="1"/>
  <c r="U210" i="191" s="1"/>
  <c r="M144" i="189"/>
  <c r="M146" i="193" s="1"/>
  <c r="M216" i="193" s="1"/>
  <c r="M246" i="193" s="1"/>
  <c r="M202" i="189"/>
  <c r="M75" i="191" s="1"/>
  <c r="M180" i="191" s="1"/>
  <c r="U144" i="189"/>
  <c r="U202" i="189"/>
  <c r="U75" i="191" s="1"/>
  <c r="U180" i="191" s="1"/>
  <c r="L173" i="189"/>
  <c r="L45" i="191" s="1"/>
  <c r="L150" i="191" s="1"/>
  <c r="L231" i="189"/>
  <c r="L105" i="191" s="1"/>
  <c r="L210" i="191" s="1"/>
  <c r="T173" i="189"/>
  <c r="T45" i="191" s="1"/>
  <c r="T150" i="191" s="1"/>
  <c r="T231" i="189"/>
  <c r="T105" i="191" s="1"/>
  <c r="T210" i="191" s="1"/>
  <c r="Q202" i="189"/>
  <c r="Q75" i="191" s="1"/>
  <c r="Q180" i="191" s="1"/>
  <c r="O144" i="189"/>
  <c r="O146" i="193" s="1"/>
  <c r="O216" i="193" s="1"/>
  <c r="O246" i="193" s="1"/>
  <c r="P202" i="189"/>
  <c r="P75" i="191" s="1"/>
  <c r="P180" i="191" s="1"/>
  <c r="W144" i="189"/>
  <c r="X202" i="189"/>
  <c r="X75" i="191" s="1"/>
  <c r="X180" i="191" s="1"/>
  <c r="V173" i="189"/>
  <c r="V45" i="191" s="1"/>
  <c r="V150" i="191" s="1"/>
  <c r="W231" i="189"/>
  <c r="W105" i="191" s="1"/>
  <c r="W210" i="191" s="1"/>
  <c r="M173" i="189"/>
  <c r="M45" i="191" s="1"/>
  <c r="M150" i="191" s="1"/>
  <c r="O202" i="189"/>
  <c r="O75" i="191" s="1"/>
  <c r="O180" i="191" s="1"/>
  <c r="U173" i="189"/>
  <c r="U45" i="191" s="1"/>
  <c r="U150" i="191" s="1"/>
  <c r="W202" i="189"/>
  <c r="W75" i="191" s="1"/>
  <c r="W180" i="191" s="1"/>
  <c r="S202" i="189"/>
  <c r="S75" i="191" s="1"/>
  <c r="S180" i="191" s="1"/>
  <c r="N231" i="189"/>
  <c r="N105" i="191" s="1"/>
  <c r="N210" i="191" s="1"/>
  <c r="R231" i="189"/>
  <c r="R105" i="191" s="1"/>
  <c r="R210" i="191" s="1"/>
  <c r="N144" i="189"/>
  <c r="N146" i="193" s="1"/>
  <c r="N216" i="193" s="1"/>
  <c r="N246" i="193" s="1"/>
  <c r="N173" i="189"/>
  <c r="N45" i="191" s="1"/>
  <c r="N150" i="191" s="1"/>
  <c r="K231" i="189"/>
  <c r="K105" i="191" s="1"/>
  <c r="K210" i="191" s="1"/>
  <c r="Y144" i="189"/>
  <c r="O173" i="189"/>
  <c r="O45" i="191" s="1"/>
  <c r="O150" i="191" s="1"/>
  <c r="X173" i="189"/>
  <c r="X45" i="191" s="1"/>
  <c r="X150" i="191" s="1"/>
  <c r="W173" i="189"/>
  <c r="W45" i="191" s="1"/>
  <c r="W150" i="191" s="1"/>
  <c r="K144" i="189"/>
  <c r="K146" i="193" s="1"/>
  <c r="K216" i="193" s="1"/>
  <c r="K246" i="193" s="1"/>
  <c r="J144" i="189"/>
  <c r="J146" i="193" s="1"/>
  <c r="J216" i="193" s="1"/>
  <c r="J246" i="193" s="1"/>
  <c r="Q144" i="189"/>
  <c r="Q146" i="193" s="1"/>
  <c r="Q216" i="193" s="1"/>
  <c r="Q246" i="193" s="1"/>
  <c r="Y202" i="189"/>
  <c r="Y75" i="191" s="1"/>
  <c r="Y180" i="191" s="1"/>
  <c r="P173" i="189"/>
  <c r="P45" i="191" s="1"/>
  <c r="P150" i="191" s="1"/>
  <c r="X231" i="189"/>
  <c r="X105" i="191" s="1"/>
  <c r="X210" i="191" s="1"/>
  <c r="S144" i="189"/>
  <c r="P144" i="189"/>
  <c r="P146" i="193" s="1"/>
  <c r="P216" i="193" s="1"/>
  <c r="P246" i="193" s="1"/>
  <c r="R173" i="189"/>
  <c r="R45" i="191" s="1"/>
  <c r="R150" i="191" s="1"/>
  <c r="X144" i="189"/>
  <c r="K173" i="189"/>
  <c r="K45" i="191" s="1"/>
  <c r="K150" i="191" s="1"/>
  <c r="S173" i="189"/>
  <c r="S45" i="191" s="1"/>
  <c r="S150" i="191" s="1"/>
  <c r="J231" i="189"/>
  <c r="J105" i="191" s="1"/>
  <c r="J210" i="191" s="1"/>
  <c r="L202" i="189"/>
  <c r="L75" i="191" s="1"/>
  <c r="L180" i="191" s="1"/>
  <c r="P231" i="189"/>
  <c r="P105" i="191" s="1"/>
  <c r="P210" i="191" s="1"/>
  <c r="K202" i="189"/>
  <c r="K75" i="191" s="1"/>
  <c r="K180" i="191" s="1"/>
  <c r="T144" i="189"/>
  <c r="S231" i="189"/>
  <c r="S105" i="191" s="1"/>
  <c r="S210" i="191" s="1"/>
  <c r="Q173" i="189"/>
  <c r="Q45" i="191" s="1"/>
  <c r="Q150" i="191" s="1"/>
  <c r="J202" i="189"/>
  <c r="J75" i="191" s="1"/>
  <c r="J180" i="191" s="1"/>
  <c r="J173" i="189"/>
  <c r="J45" i="191" s="1"/>
  <c r="J150" i="191" s="1"/>
  <c r="T202" i="189"/>
  <c r="T75" i="191" s="1"/>
  <c r="T180" i="191" s="1"/>
  <c r="Y173" i="189"/>
  <c r="Y45" i="191" s="1"/>
  <c r="Y150" i="191" s="1"/>
  <c r="L144" i="189"/>
  <c r="L146" i="193" s="1"/>
  <c r="L216" i="193" s="1"/>
  <c r="L246" i="193" s="1"/>
  <c r="R144" i="189"/>
  <c r="N230" i="189"/>
  <c r="N104" i="191" s="1"/>
  <c r="N209" i="191" s="1"/>
  <c r="L230" i="189"/>
  <c r="L104" i="191" s="1"/>
  <c r="L209" i="191" s="1"/>
  <c r="W230" i="189"/>
  <c r="W104" i="191" s="1"/>
  <c r="W209" i="191" s="1"/>
  <c r="R143" i="189"/>
  <c r="R172" i="189"/>
  <c r="R44" i="191" s="1"/>
  <c r="R149" i="191" s="1"/>
  <c r="Q201" i="189"/>
  <c r="Q74" i="191" s="1"/>
  <c r="Q179" i="191" s="1"/>
  <c r="T172" i="189"/>
  <c r="T44" i="191" s="1"/>
  <c r="T149" i="191" s="1"/>
  <c r="S143" i="189"/>
  <c r="Q230" i="189"/>
  <c r="Q104" i="191" s="1"/>
  <c r="Q209" i="191" s="1"/>
  <c r="Y143" i="189"/>
  <c r="V143" i="189"/>
  <c r="U230" i="189"/>
  <c r="U104" i="191" s="1"/>
  <c r="U209" i="191" s="1"/>
  <c r="Y201" i="189"/>
  <c r="Y74" i="191" s="1"/>
  <c r="Y179" i="191" s="1"/>
  <c r="U172" i="189"/>
  <c r="U44" i="191" s="1"/>
  <c r="U149" i="191" s="1"/>
  <c r="P230" i="189"/>
  <c r="P104" i="191" s="1"/>
  <c r="P209" i="191" s="1"/>
  <c r="K143" i="189"/>
  <c r="K145" i="193" s="1"/>
  <c r="K215" i="193" s="1"/>
  <c r="K245" i="193" s="1"/>
  <c r="X143" i="189"/>
  <c r="L201" i="189"/>
  <c r="L74" i="191" s="1"/>
  <c r="L179" i="191" s="1"/>
  <c r="V230" i="189"/>
  <c r="V104" i="191" s="1"/>
  <c r="V209" i="191" s="1"/>
  <c r="J143" i="189"/>
  <c r="J145" i="193" s="1"/>
  <c r="J215" i="193" s="1"/>
  <c r="J245" i="193" s="1"/>
  <c r="R201" i="189"/>
  <c r="R74" i="191" s="1"/>
  <c r="R179" i="191" s="1"/>
  <c r="Y172" i="189"/>
  <c r="Y44" i="191" s="1"/>
  <c r="Y149" i="191" s="1"/>
  <c r="N172" i="189"/>
  <c r="N44" i="191" s="1"/>
  <c r="N149" i="191" s="1"/>
  <c r="U143" i="189"/>
  <c r="Y230" i="189"/>
  <c r="Y104" i="191" s="1"/>
  <c r="Y209" i="191" s="1"/>
  <c r="M201" i="189"/>
  <c r="M74" i="191" s="1"/>
  <c r="M179" i="191" s="1"/>
  <c r="T230" i="189"/>
  <c r="T104" i="191" s="1"/>
  <c r="T209" i="191" s="1"/>
  <c r="O143" i="189"/>
  <c r="O145" i="193" s="1"/>
  <c r="O215" i="193" s="1"/>
  <c r="O245" i="193" s="1"/>
  <c r="X230" i="189"/>
  <c r="X104" i="191" s="1"/>
  <c r="X209" i="191" s="1"/>
  <c r="V201" i="189"/>
  <c r="V74" i="191" s="1"/>
  <c r="V179" i="191" s="1"/>
  <c r="K201" i="189"/>
  <c r="K74" i="191" s="1"/>
  <c r="K179" i="191" s="1"/>
  <c r="N143" i="189"/>
  <c r="N145" i="193" s="1"/>
  <c r="N215" i="193" s="1"/>
  <c r="N245" i="193" s="1"/>
  <c r="M230" i="189"/>
  <c r="M104" i="191" s="1"/>
  <c r="M209" i="191" s="1"/>
  <c r="X172" i="189"/>
  <c r="X44" i="191" s="1"/>
  <c r="X149" i="191" s="1"/>
  <c r="M172" i="189"/>
  <c r="M44" i="191" s="1"/>
  <c r="M149" i="191" s="1"/>
  <c r="W201" i="189"/>
  <c r="W74" i="191" s="1"/>
  <c r="W179" i="191" s="1"/>
  <c r="L143" i="189"/>
  <c r="L145" i="193" s="1"/>
  <c r="L215" i="193" s="1"/>
  <c r="L245" i="193" s="1"/>
  <c r="O230" i="189"/>
  <c r="O104" i="191" s="1"/>
  <c r="O209" i="191" s="1"/>
  <c r="S201" i="189"/>
  <c r="S74" i="191" s="1"/>
  <c r="S179" i="191" s="1"/>
  <c r="Q172" i="189"/>
  <c r="Q44" i="191" s="1"/>
  <c r="Q149" i="191" s="1"/>
  <c r="R230" i="189"/>
  <c r="R104" i="191" s="1"/>
  <c r="R209" i="191" s="1"/>
  <c r="T201" i="189"/>
  <c r="T74" i="191" s="1"/>
  <c r="T179" i="191" s="1"/>
  <c r="J172" i="189"/>
  <c r="J44" i="191" s="1"/>
  <c r="J149" i="191" s="1"/>
  <c r="M143" i="189"/>
  <c r="M145" i="193" s="1"/>
  <c r="M215" i="193" s="1"/>
  <c r="M245" i="193" s="1"/>
  <c r="P201" i="189"/>
  <c r="P74" i="191" s="1"/>
  <c r="P179" i="191" s="1"/>
  <c r="P172" i="189"/>
  <c r="P44" i="191" s="1"/>
  <c r="P149" i="191" s="1"/>
  <c r="L172" i="189"/>
  <c r="L44" i="191" s="1"/>
  <c r="L149" i="191" s="1"/>
  <c r="K230" i="189"/>
  <c r="K104" i="191" s="1"/>
  <c r="K209" i="191" s="1"/>
  <c r="M182" i="192"/>
  <c r="M242" i="192" s="1"/>
  <c r="O182" i="192"/>
  <c r="O242" i="192" s="1"/>
  <c r="N182" i="192"/>
  <c r="N242" i="192" s="1"/>
  <c r="N152" i="192"/>
  <c r="K152" i="192"/>
  <c r="K182" i="192"/>
  <c r="K242" i="192" s="1"/>
  <c r="M152" i="192"/>
  <c r="L152" i="192"/>
  <c r="J152" i="192"/>
  <c r="P152" i="192"/>
  <c r="O152" i="192"/>
  <c r="P182" i="192"/>
  <c r="P242" i="192" s="1"/>
  <c r="J182" i="192"/>
  <c r="J242" i="192" s="1"/>
  <c r="Q182" i="192"/>
  <c r="Q242" i="192" s="1"/>
  <c r="Q152" i="192"/>
  <c r="L182" i="192"/>
  <c r="L242" i="192" s="1"/>
  <c r="J178" i="192"/>
  <c r="J238" i="192" s="1"/>
  <c r="M148" i="192"/>
  <c r="P178" i="192"/>
  <c r="P238" i="192" s="1"/>
  <c r="O148" i="192"/>
  <c r="L148" i="192"/>
  <c r="K148" i="192"/>
  <c r="P148" i="192"/>
  <c r="Q148" i="192"/>
  <c r="M178" i="192"/>
  <c r="M238" i="192" s="1"/>
  <c r="J148" i="192"/>
  <c r="K178" i="192"/>
  <c r="K238" i="192" s="1"/>
  <c r="N178" i="192"/>
  <c r="N238" i="192" s="1"/>
  <c r="L178" i="192"/>
  <c r="L238" i="192" s="1"/>
  <c r="Q178" i="192"/>
  <c r="Q238" i="192" s="1"/>
  <c r="O178" i="192"/>
  <c r="O238" i="192" s="1"/>
  <c r="N148" i="192"/>
  <c r="Q181" i="192"/>
  <c r="Q241" i="192" s="1"/>
  <c r="Q151" i="192"/>
  <c r="K151" i="192"/>
  <c r="L151" i="192"/>
  <c r="J151" i="192"/>
  <c r="N181" i="192"/>
  <c r="N241" i="192" s="1"/>
  <c r="P181" i="192"/>
  <c r="P241" i="192" s="1"/>
  <c r="N151" i="192"/>
  <c r="J181" i="192"/>
  <c r="J241" i="192" s="1"/>
  <c r="M181" i="192"/>
  <c r="M241" i="192" s="1"/>
  <c r="O181" i="192"/>
  <c r="O241" i="192" s="1"/>
  <c r="L181" i="192"/>
  <c r="L241" i="192" s="1"/>
  <c r="O151" i="192"/>
  <c r="M151" i="192"/>
  <c r="P151" i="192"/>
  <c r="K181" i="192"/>
  <c r="K241" i="192" s="1"/>
  <c r="N184" i="192"/>
  <c r="N244" i="192" s="1"/>
  <c r="O184" i="192"/>
  <c r="O244" i="192" s="1"/>
  <c r="L184" i="192"/>
  <c r="L244" i="192" s="1"/>
  <c r="M154" i="192"/>
  <c r="J154" i="192"/>
  <c r="Q184" i="192"/>
  <c r="Q244" i="192" s="1"/>
  <c r="N154" i="192"/>
  <c r="P154" i="192"/>
  <c r="O154" i="192"/>
  <c r="L154" i="192"/>
  <c r="K154" i="192"/>
  <c r="Q154" i="192"/>
  <c r="K184" i="192"/>
  <c r="K244" i="192" s="1"/>
  <c r="M184" i="192"/>
  <c r="M244" i="192" s="1"/>
  <c r="P184" i="192"/>
  <c r="P244" i="192" s="1"/>
  <c r="J184" i="192"/>
  <c r="J244" i="192" s="1"/>
  <c r="N185" i="192"/>
  <c r="N245" i="192" s="1"/>
  <c r="M155" i="192"/>
  <c r="L185" i="192"/>
  <c r="L245" i="192" s="1"/>
  <c r="K185" i="192"/>
  <c r="K245" i="192" s="1"/>
  <c r="J155" i="192"/>
  <c r="L155" i="192"/>
  <c r="Q155" i="192"/>
  <c r="Q185" i="192"/>
  <c r="Q245" i="192" s="1"/>
  <c r="J185" i="192"/>
  <c r="J245" i="192" s="1"/>
  <c r="N155" i="192"/>
  <c r="P155" i="192"/>
  <c r="M185" i="192"/>
  <c r="M245" i="192" s="1"/>
  <c r="O185" i="192"/>
  <c r="O245" i="192" s="1"/>
  <c r="K155" i="192"/>
  <c r="O155" i="192"/>
  <c r="P185" i="192"/>
  <c r="P245" i="192" s="1"/>
  <c r="J153" i="192"/>
  <c r="L183" i="192"/>
  <c r="L243" i="192" s="1"/>
  <c r="O183" i="192"/>
  <c r="O243" i="192" s="1"/>
  <c r="N153" i="192"/>
  <c r="N183" i="192"/>
  <c r="N243" i="192" s="1"/>
  <c r="Q153" i="192"/>
  <c r="K153" i="192"/>
  <c r="P183" i="192"/>
  <c r="P243" i="192" s="1"/>
  <c r="M183" i="192"/>
  <c r="M243" i="192" s="1"/>
  <c r="J183" i="192"/>
  <c r="J243" i="192" s="1"/>
  <c r="L153" i="192"/>
  <c r="P153" i="192"/>
  <c r="Q183" i="192"/>
  <c r="Q243" i="192" s="1"/>
  <c r="M153" i="192"/>
  <c r="O153" i="192"/>
  <c r="K183" i="192"/>
  <c r="K243" i="192" s="1"/>
  <c r="X173" i="193"/>
  <c r="X208" i="193" s="1"/>
  <c r="X238" i="193" s="1"/>
  <c r="T173" i="193"/>
  <c r="T208" i="193" s="1"/>
  <c r="T238" i="193" s="1"/>
  <c r="U173" i="193"/>
  <c r="U208" i="193" s="1"/>
  <c r="U238" i="193" s="1"/>
  <c r="W173" i="193"/>
  <c r="W208" i="193" s="1"/>
  <c r="W238" i="193" s="1"/>
  <c r="S173" i="193"/>
  <c r="S208" i="193" s="1"/>
  <c r="S238" i="193" s="1"/>
  <c r="R173" i="193"/>
  <c r="R208" i="193" s="1"/>
  <c r="R238" i="193" s="1"/>
  <c r="Y173" i="193"/>
  <c r="Y208" i="193" s="1"/>
  <c r="Y238" i="193" s="1"/>
  <c r="V173" i="193"/>
  <c r="V208" i="193" s="1"/>
  <c r="V238" i="193" s="1"/>
  <c r="S136" i="189"/>
  <c r="P223" i="189"/>
  <c r="P97" i="191" s="1"/>
  <c r="P202" i="191" s="1"/>
  <c r="O228" i="189"/>
  <c r="O102" i="191" s="1"/>
  <c r="O207" i="191" s="1"/>
  <c r="M228" i="189"/>
  <c r="M102" i="191" s="1"/>
  <c r="M207" i="191" s="1"/>
  <c r="K228" i="189"/>
  <c r="K102" i="191" s="1"/>
  <c r="K207" i="191" s="1"/>
  <c r="Y170" i="189"/>
  <c r="Y42" i="191" s="1"/>
  <c r="Y147" i="191" s="1"/>
  <c r="V199" i="189"/>
  <c r="V72" i="191" s="1"/>
  <c r="V177" i="191" s="1"/>
  <c r="X141" i="189"/>
  <c r="V170" i="189"/>
  <c r="V42" i="191" s="1"/>
  <c r="V147" i="191" s="1"/>
  <c r="Y228" i="189"/>
  <c r="Y102" i="191" s="1"/>
  <c r="Y207" i="191" s="1"/>
  <c r="M170" i="189"/>
  <c r="M42" i="191" s="1"/>
  <c r="M147" i="191" s="1"/>
  <c r="S199" i="189"/>
  <c r="S72" i="191" s="1"/>
  <c r="S177" i="191" s="1"/>
  <c r="U141" i="189"/>
  <c r="J199" i="189"/>
  <c r="J72" i="191" s="1"/>
  <c r="J177" i="191" s="1"/>
  <c r="L141" i="189"/>
  <c r="L143" i="193" s="1"/>
  <c r="L213" i="193" s="1"/>
  <c r="L243" i="193" s="1"/>
  <c r="Y141" i="189"/>
  <c r="O199" i="189"/>
  <c r="O72" i="191" s="1"/>
  <c r="O177" i="191" s="1"/>
  <c r="K141" i="189"/>
  <c r="K143" i="193" s="1"/>
  <c r="K213" i="193" s="1"/>
  <c r="K243" i="193" s="1"/>
  <c r="N228" i="189"/>
  <c r="N102" i="191" s="1"/>
  <c r="N207" i="191" s="1"/>
  <c r="X199" i="189"/>
  <c r="X72" i="191" s="1"/>
  <c r="X177" i="191" s="1"/>
  <c r="R141" i="189"/>
  <c r="U199" i="189"/>
  <c r="U72" i="191" s="1"/>
  <c r="U177" i="191" s="1"/>
  <c r="L199" i="189"/>
  <c r="L72" i="191" s="1"/>
  <c r="L177" i="191" s="1"/>
  <c r="T170" i="189"/>
  <c r="T42" i="191" s="1"/>
  <c r="T147" i="191" s="1"/>
  <c r="K170" i="189"/>
  <c r="K42" i="191" s="1"/>
  <c r="K147" i="191" s="1"/>
  <c r="R170" i="189"/>
  <c r="R42" i="191" s="1"/>
  <c r="R147" i="191" s="1"/>
  <c r="J228" i="189"/>
  <c r="J102" i="191" s="1"/>
  <c r="J207" i="191" s="1"/>
  <c r="U228" i="189"/>
  <c r="U102" i="191" s="1"/>
  <c r="U207" i="191" s="1"/>
  <c r="P199" i="189"/>
  <c r="P72" i="191" s="1"/>
  <c r="P177" i="191" s="1"/>
  <c r="O170" i="189"/>
  <c r="O42" i="191" s="1"/>
  <c r="O147" i="191" s="1"/>
  <c r="O141" i="189"/>
  <c r="O143" i="193" s="1"/>
  <c r="O213" i="193" s="1"/>
  <c r="O243" i="193" s="1"/>
  <c r="X228" i="189"/>
  <c r="X102" i="191" s="1"/>
  <c r="X207" i="191" s="1"/>
  <c r="R199" i="189"/>
  <c r="R72" i="191" s="1"/>
  <c r="R177" i="191" s="1"/>
  <c r="X170" i="189"/>
  <c r="X42" i="191" s="1"/>
  <c r="X147" i="191" s="1"/>
  <c r="J170" i="189"/>
  <c r="J42" i="191" s="1"/>
  <c r="J147" i="191" s="1"/>
  <c r="V228" i="189"/>
  <c r="V102" i="191" s="1"/>
  <c r="V207" i="191" s="1"/>
  <c r="T228" i="189"/>
  <c r="T102" i="191" s="1"/>
  <c r="T207" i="191" s="1"/>
  <c r="P228" i="189"/>
  <c r="P102" i="191" s="1"/>
  <c r="P207" i="191" s="1"/>
  <c r="Q170" i="189"/>
  <c r="Q42" i="191" s="1"/>
  <c r="Q147" i="191" s="1"/>
  <c r="N199" i="189"/>
  <c r="N72" i="191" s="1"/>
  <c r="N177" i="191" s="1"/>
  <c r="P141" i="189"/>
  <c r="P143" i="193" s="1"/>
  <c r="P213" i="193" s="1"/>
  <c r="P243" i="193" s="1"/>
  <c r="N170" i="189"/>
  <c r="N42" i="191" s="1"/>
  <c r="N147" i="191" s="1"/>
  <c r="T199" i="189"/>
  <c r="T72" i="191" s="1"/>
  <c r="T177" i="191" s="1"/>
  <c r="V141" i="189"/>
  <c r="K199" i="189"/>
  <c r="K72" i="191" s="1"/>
  <c r="K177" i="191" s="1"/>
  <c r="M141" i="189"/>
  <c r="M143" i="193" s="1"/>
  <c r="M213" i="193" s="1"/>
  <c r="M243" i="193" s="1"/>
  <c r="S170" i="189"/>
  <c r="S42" i="191" s="1"/>
  <c r="S147" i="191" s="1"/>
  <c r="Y199" i="189"/>
  <c r="Y72" i="191" s="1"/>
  <c r="Y177" i="191" s="1"/>
  <c r="Q199" i="189"/>
  <c r="Q72" i="191" s="1"/>
  <c r="Q177" i="191" s="1"/>
  <c r="P170" i="189"/>
  <c r="P42" i="191" s="1"/>
  <c r="P147" i="191" s="1"/>
  <c r="Q228" i="189"/>
  <c r="Q102" i="191" s="1"/>
  <c r="Q207" i="191" s="1"/>
  <c r="L228" i="189"/>
  <c r="L102" i="191" s="1"/>
  <c r="L207" i="191" s="1"/>
  <c r="W170" i="189"/>
  <c r="W42" i="191" s="1"/>
  <c r="W147" i="191" s="1"/>
  <c r="W141" i="189"/>
  <c r="N141" i="189"/>
  <c r="N143" i="193" s="1"/>
  <c r="N213" i="193" s="1"/>
  <c r="N243" i="193" s="1"/>
  <c r="R228" i="189"/>
  <c r="R102" i="191" s="1"/>
  <c r="R207" i="191" s="1"/>
  <c r="W199" i="189"/>
  <c r="W72" i="191" s="1"/>
  <c r="W177" i="191" s="1"/>
  <c r="Q141" i="189"/>
  <c r="Q143" i="193" s="1"/>
  <c r="Q213" i="193" s="1"/>
  <c r="Q243" i="193" s="1"/>
  <c r="W228" i="189"/>
  <c r="W102" i="191" s="1"/>
  <c r="W207" i="191" s="1"/>
  <c r="S228" i="189"/>
  <c r="S102" i="191" s="1"/>
  <c r="S207" i="191" s="1"/>
  <c r="J141" i="189"/>
  <c r="J143" i="193" s="1"/>
  <c r="J213" i="193" s="1"/>
  <c r="J243" i="193" s="1"/>
  <c r="M199" i="189"/>
  <c r="M72" i="191" s="1"/>
  <c r="M177" i="191" s="1"/>
  <c r="U170" i="189"/>
  <c r="U42" i="191" s="1"/>
  <c r="U147" i="191" s="1"/>
  <c r="L170" i="189"/>
  <c r="L42" i="191" s="1"/>
  <c r="L147" i="191" s="1"/>
  <c r="T141" i="189"/>
  <c r="S141" i="189"/>
  <c r="U139" i="189" l="1"/>
  <c r="W226" i="189"/>
  <c r="W100" i="191" s="1"/>
  <c r="W205" i="191" s="1"/>
  <c r="V226" i="189"/>
  <c r="V100" i="191" s="1"/>
  <c r="V205" i="191" s="1"/>
  <c r="R226" i="189"/>
  <c r="R100" i="191" s="1"/>
  <c r="R205" i="191" s="1"/>
  <c r="U171" i="189"/>
  <c r="U43" i="191" s="1"/>
  <c r="U148" i="191" s="1"/>
  <c r="N197" i="189"/>
  <c r="N70" i="191" s="1"/>
  <c r="N175" i="191" s="1"/>
  <c r="K197" i="189"/>
  <c r="K70" i="191" s="1"/>
  <c r="K175" i="191" s="1"/>
  <c r="P226" i="189"/>
  <c r="P100" i="191" s="1"/>
  <c r="P205" i="191" s="1"/>
  <c r="K226" i="189"/>
  <c r="K100" i="191" s="1"/>
  <c r="K205" i="191" s="1"/>
  <c r="Q139" i="189"/>
  <c r="Q141" i="193" s="1"/>
  <c r="Q211" i="193" s="1"/>
  <c r="Q241" i="193" s="1"/>
  <c r="U168" i="189"/>
  <c r="U40" i="191" s="1"/>
  <c r="U145" i="191" s="1"/>
  <c r="S229" i="189"/>
  <c r="S103" i="191" s="1"/>
  <c r="S208" i="191" s="1"/>
  <c r="S223" i="189"/>
  <c r="S97" i="191" s="1"/>
  <c r="S202" i="191" s="1"/>
  <c r="P194" i="189"/>
  <c r="P67" i="191" s="1"/>
  <c r="P172" i="191" s="1"/>
  <c r="O165" i="189"/>
  <c r="O37" i="191" s="1"/>
  <c r="O142" i="191" s="1"/>
  <c r="M223" i="189"/>
  <c r="M97" i="191" s="1"/>
  <c r="M202" i="191" s="1"/>
  <c r="K194" i="189"/>
  <c r="K67" i="191" s="1"/>
  <c r="K172" i="191" s="1"/>
  <c r="R198" i="189"/>
  <c r="R71" i="191" s="1"/>
  <c r="R176" i="191" s="1"/>
  <c r="K166" i="189"/>
  <c r="K38" i="191" s="1"/>
  <c r="K143" i="191" s="1"/>
  <c r="O198" i="189"/>
  <c r="O71" i="191" s="1"/>
  <c r="O176" i="191" s="1"/>
  <c r="V172" i="189"/>
  <c r="V44" i="191" s="1"/>
  <c r="V149" i="191" s="1"/>
  <c r="W143" i="189"/>
  <c r="T143" i="189"/>
  <c r="X201" i="189"/>
  <c r="X74" i="191" s="1"/>
  <c r="X179" i="191" s="1"/>
  <c r="W172" i="189"/>
  <c r="W44" i="191" s="1"/>
  <c r="W149" i="191" s="1"/>
  <c r="U201" i="189"/>
  <c r="U74" i="191" s="1"/>
  <c r="U179" i="191" s="1"/>
  <c r="J201" i="189"/>
  <c r="J74" i="191" s="1"/>
  <c r="J179" i="191" s="1"/>
  <c r="O201" i="189"/>
  <c r="O74" i="191" s="1"/>
  <c r="O179" i="191" s="1"/>
  <c r="Q143" i="189"/>
  <c r="Q145" i="193" s="1"/>
  <c r="Q215" i="193" s="1"/>
  <c r="Q245" i="193" s="1"/>
  <c r="K172" i="189"/>
  <c r="K44" i="191" s="1"/>
  <c r="K149" i="191" s="1"/>
  <c r="P143" i="189"/>
  <c r="P145" i="193" s="1"/>
  <c r="P215" i="193" s="1"/>
  <c r="P245" i="193" s="1"/>
  <c r="N201" i="189"/>
  <c r="N74" i="191" s="1"/>
  <c r="N179" i="191" s="1"/>
  <c r="O172" i="189"/>
  <c r="O44" i="191" s="1"/>
  <c r="O149" i="191" s="1"/>
  <c r="S230" i="189"/>
  <c r="S104" i="191" s="1"/>
  <c r="S209" i="191" s="1"/>
  <c r="J230" i="189"/>
  <c r="J104" i="191" s="1"/>
  <c r="J209" i="191" s="1"/>
  <c r="K224" i="189"/>
  <c r="K98" i="191" s="1"/>
  <c r="K203" i="191" s="1"/>
  <c r="N139" i="189"/>
  <c r="N141" i="193" s="1"/>
  <c r="N211" i="193" s="1"/>
  <c r="N241" i="193" s="1"/>
  <c r="R197" i="189"/>
  <c r="R70" i="191" s="1"/>
  <c r="R175" i="191" s="1"/>
  <c r="R168" i="189"/>
  <c r="R40" i="191" s="1"/>
  <c r="R145" i="191" s="1"/>
  <c r="S226" i="189"/>
  <c r="S100" i="191" s="1"/>
  <c r="S205" i="191" s="1"/>
  <c r="O168" i="189"/>
  <c r="O40" i="191" s="1"/>
  <c r="O145" i="191" s="1"/>
  <c r="T197" i="189"/>
  <c r="T70" i="191" s="1"/>
  <c r="T175" i="191" s="1"/>
  <c r="W139" i="189"/>
  <c r="S139" i="189"/>
  <c r="T166" i="189"/>
  <c r="T38" i="191" s="1"/>
  <c r="T143" i="191" s="1"/>
  <c r="J137" i="189"/>
  <c r="J139" i="193" s="1"/>
  <c r="J209" i="193" s="1"/>
  <c r="J239" i="193" s="1"/>
  <c r="M140" i="189"/>
  <c r="M142" i="193" s="1"/>
  <c r="M212" i="193" s="1"/>
  <c r="M242" i="193" s="1"/>
  <c r="U198" i="189"/>
  <c r="U71" i="191" s="1"/>
  <c r="U176" i="191" s="1"/>
  <c r="V137" i="189"/>
  <c r="X195" i="189"/>
  <c r="X68" i="191" s="1"/>
  <c r="X173" i="191" s="1"/>
  <c r="Q140" i="189"/>
  <c r="Q142" i="193" s="1"/>
  <c r="Q212" i="193" s="1"/>
  <c r="Q242" i="193" s="1"/>
  <c r="Y198" i="189"/>
  <c r="Y71" i="191" s="1"/>
  <c r="Y176" i="191" s="1"/>
  <c r="Q166" i="189"/>
  <c r="Q38" i="191" s="1"/>
  <c r="Q143" i="191" s="1"/>
  <c r="X166" i="189"/>
  <c r="X38" i="191" s="1"/>
  <c r="X143" i="191" s="1"/>
  <c r="N166" i="189"/>
  <c r="N38" i="191" s="1"/>
  <c r="N143" i="191" s="1"/>
  <c r="P169" i="189"/>
  <c r="P41" i="191" s="1"/>
  <c r="P146" i="191" s="1"/>
  <c r="X140" i="189"/>
  <c r="L224" i="189"/>
  <c r="L98" i="191" s="1"/>
  <c r="L203" i="191" s="1"/>
  <c r="M224" i="189"/>
  <c r="M98" i="191" s="1"/>
  <c r="M203" i="191" s="1"/>
  <c r="Q137" i="189"/>
  <c r="Q139" i="193" s="1"/>
  <c r="Q209" i="193" s="1"/>
  <c r="Q239" i="193" s="1"/>
  <c r="W176" i="193"/>
  <c r="W211" i="193" s="1"/>
  <c r="W241" i="193" s="1"/>
  <c r="N227" i="189"/>
  <c r="N101" i="191" s="1"/>
  <c r="N206" i="191" s="1"/>
  <c r="Y227" i="189"/>
  <c r="Y101" i="191" s="1"/>
  <c r="Y206" i="191" s="1"/>
  <c r="N169" i="189"/>
  <c r="N41" i="191" s="1"/>
  <c r="N146" i="191" s="1"/>
  <c r="Q169" i="189"/>
  <c r="Q41" i="191" s="1"/>
  <c r="Q146" i="191" s="1"/>
  <c r="M195" i="189"/>
  <c r="M68" i="191" s="1"/>
  <c r="M173" i="191" s="1"/>
  <c r="V224" i="189"/>
  <c r="V98" i="191" s="1"/>
  <c r="V203" i="191" s="1"/>
  <c r="M137" i="189"/>
  <c r="M139" i="193" s="1"/>
  <c r="M209" i="193" s="1"/>
  <c r="M239" i="193" s="1"/>
  <c r="U195" i="189"/>
  <c r="U68" i="191" s="1"/>
  <c r="U173" i="191" s="1"/>
  <c r="J195" i="189"/>
  <c r="J68" i="191" s="1"/>
  <c r="J173" i="191" s="1"/>
  <c r="J166" i="189"/>
  <c r="J38" i="191" s="1"/>
  <c r="J143" i="191" s="1"/>
  <c r="V140" i="189"/>
  <c r="T169" i="189"/>
  <c r="T41" i="191" s="1"/>
  <c r="T146" i="191" s="1"/>
  <c r="W169" i="189"/>
  <c r="W41" i="191" s="1"/>
  <c r="W146" i="191" s="1"/>
  <c r="R140" i="189"/>
  <c r="X224" i="189"/>
  <c r="X98" i="191" s="1"/>
  <c r="X203" i="191" s="1"/>
  <c r="P137" i="189"/>
  <c r="P139" i="193" s="1"/>
  <c r="P209" i="193" s="1"/>
  <c r="P239" i="193" s="1"/>
  <c r="W224" i="189"/>
  <c r="W98" i="191" s="1"/>
  <c r="W203" i="191" s="1"/>
  <c r="V195" i="189"/>
  <c r="V68" i="191" s="1"/>
  <c r="V173" i="191" s="1"/>
  <c r="K195" i="189"/>
  <c r="K68" i="191" s="1"/>
  <c r="K173" i="191" s="1"/>
  <c r="Y166" i="189"/>
  <c r="Y38" i="191" s="1"/>
  <c r="Y143" i="191" s="1"/>
  <c r="R135" i="189"/>
  <c r="T137" i="189"/>
  <c r="W137" i="189"/>
  <c r="O224" i="189"/>
  <c r="O98" i="191" s="1"/>
  <c r="O203" i="191" s="1"/>
  <c r="Q195" i="189"/>
  <c r="Q68" i="191" s="1"/>
  <c r="Q173" i="191" s="1"/>
  <c r="U137" i="189"/>
  <c r="S224" i="189"/>
  <c r="S98" i="191" s="1"/>
  <c r="S203" i="191" s="1"/>
  <c r="T195" i="189"/>
  <c r="T68" i="191" s="1"/>
  <c r="T173" i="191" s="1"/>
  <c r="L137" i="189"/>
  <c r="L139" i="193" s="1"/>
  <c r="L209" i="193" s="1"/>
  <c r="L239" i="193" s="1"/>
  <c r="U224" i="189"/>
  <c r="U98" i="191" s="1"/>
  <c r="U203" i="191" s="1"/>
  <c r="V166" i="189"/>
  <c r="V38" i="191" s="1"/>
  <c r="V143" i="191" s="1"/>
  <c r="W195" i="189"/>
  <c r="W68" i="191" s="1"/>
  <c r="W173" i="191" s="1"/>
  <c r="O137" i="189"/>
  <c r="O139" i="193" s="1"/>
  <c r="O209" i="193" s="1"/>
  <c r="O239" i="193" s="1"/>
  <c r="K167" i="189"/>
  <c r="K39" i="191" s="1"/>
  <c r="K144" i="191" s="1"/>
  <c r="S166" i="189"/>
  <c r="S38" i="191" s="1"/>
  <c r="S143" i="191" s="1"/>
  <c r="N224" i="189"/>
  <c r="N98" i="191" s="1"/>
  <c r="N203" i="191" s="1"/>
  <c r="Y137" i="189"/>
  <c r="M166" i="189"/>
  <c r="M38" i="191" s="1"/>
  <c r="M143" i="191" s="1"/>
  <c r="R137" i="189"/>
  <c r="P224" i="189"/>
  <c r="P98" i="191" s="1"/>
  <c r="P203" i="191" s="1"/>
  <c r="R224" i="189"/>
  <c r="R98" i="191" s="1"/>
  <c r="R203" i="191" s="1"/>
  <c r="K137" i="189"/>
  <c r="K139" i="193" s="1"/>
  <c r="K209" i="193" s="1"/>
  <c r="K239" i="193" s="1"/>
  <c r="N195" i="189"/>
  <c r="N68" i="191" s="1"/>
  <c r="N173" i="191" s="1"/>
  <c r="X137" i="189"/>
  <c r="O195" i="189"/>
  <c r="O68" i="191" s="1"/>
  <c r="O173" i="191" s="1"/>
  <c r="S137" i="189"/>
  <c r="V196" i="189"/>
  <c r="V69" i="191" s="1"/>
  <c r="V174" i="191" s="1"/>
  <c r="Q138" i="189"/>
  <c r="Q140" i="193" s="1"/>
  <c r="Q210" i="193" s="1"/>
  <c r="Q240" i="193" s="1"/>
  <c r="W166" i="189"/>
  <c r="W38" i="191" s="1"/>
  <c r="W143" i="191" s="1"/>
  <c r="Y224" i="189"/>
  <c r="Y98" i="191" s="1"/>
  <c r="Y203" i="191" s="1"/>
  <c r="R166" i="189"/>
  <c r="R38" i="191" s="1"/>
  <c r="R143" i="191" s="1"/>
  <c r="Y195" i="189"/>
  <c r="Y68" i="191" s="1"/>
  <c r="Y173" i="191" s="1"/>
  <c r="L166" i="189"/>
  <c r="L38" i="191" s="1"/>
  <c r="L143" i="191" s="1"/>
  <c r="L195" i="189"/>
  <c r="L68" i="191" s="1"/>
  <c r="L173" i="191" s="1"/>
  <c r="U166" i="189"/>
  <c r="U38" i="191" s="1"/>
  <c r="U143" i="191" s="1"/>
  <c r="S195" i="189"/>
  <c r="S68" i="191" s="1"/>
  <c r="S173" i="191" s="1"/>
  <c r="Q224" i="189"/>
  <c r="Q98" i="191" s="1"/>
  <c r="Q203" i="191" s="1"/>
  <c r="T167" i="189"/>
  <c r="T39" i="191" s="1"/>
  <c r="T144" i="191" s="1"/>
  <c r="M138" i="189"/>
  <c r="M140" i="193" s="1"/>
  <c r="M210" i="193" s="1"/>
  <c r="M240" i="193" s="1"/>
  <c r="N196" i="189"/>
  <c r="N69" i="191" s="1"/>
  <c r="N174" i="191" s="1"/>
  <c r="N137" i="189"/>
  <c r="N139" i="193" s="1"/>
  <c r="N209" i="193" s="1"/>
  <c r="N239" i="193" s="1"/>
  <c r="R195" i="189"/>
  <c r="R68" i="191" s="1"/>
  <c r="R173" i="191" s="1"/>
  <c r="J224" i="189"/>
  <c r="J98" i="191" s="1"/>
  <c r="J203" i="191" s="1"/>
  <c r="P166" i="189"/>
  <c r="P38" i="191" s="1"/>
  <c r="P143" i="191" s="1"/>
  <c r="O166" i="189"/>
  <c r="O38" i="191" s="1"/>
  <c r="O143" i="191" s="1"/>
  <c r="P195" i="189"/>
  <c r="P68" i="191" s="1"/>
  <c r="P173" i="191" s="1"/>
  <c r="K196" i="189"/>
  <c r="K69" i="191" s="1"/>
  <c r="K174" i="191" s="1"/>
  <c r="P138" i="189"/>
  <c r="P140" i="193" s="1"/>
  <c r="P210" i="193" s="1"/>
  <c r="P240" i="193" s="1"/>
  <c r="U167" i="189"/>
  <c r="U39" i="191" s="1"/>
  <c r="U144" i="191" s="1"/>
  <c r="Y167" i="189"/>
  <c r="Y39" i="191" s="1"/>
  <c r="Y144" i="191" s="1"/>
  <c r="K225" i="189"/>
  <c r="K99" i="191" s="1"/>
  <c r="K204" i="191" s="1"/>
  <c r="P196" i="189"/>
  <c r="P69" i="191" s="1"/>
  <c r="P174" i="191" s="1"/>
  <c r="T138" i="189"/>
  <c r="W167" i="189"/>
  <c r="W39" i="191" s="1"/>
  <c r="W144" i="191" s="1"/>
  <c r="O196" i="189"/>
  <c r="O69" i="191" s="1"/>
  <c r="O174" i="191" s="1"/>
  <c r="Q196" i="189"/>
  <c r="Q69" i="191" s="1"/>
  <c r="Q174" i="191" s="1"/>
  <c r="R164" i="189"/>
  <c r="R36" i="191" s="1"/>
  <c r="R141" i="191" s="1"/>
  <c r="V225" i="189"/>
  <c r="V99" i="191" s="1"/>
  <c r="V204" i="191" s="1"/>
  <c r="J196" i="189"/>
  <c r="J69" i="191" s="1"/>
  <c r="J174" i="191" s="1"/>
  <c r="U138" i="189"/>
  <c r="O167" i="189"/>
  <c r="O39" i="191" s="1"/>
  <c r="O144" i="191" s="1"/>
  <c r="P225" i="189"/>
  <c r="P99" i="191" s="1"/>
  <c r="P204" i="191" s="1"/>
  <c r="N138" i="189"/>
  <c r="N140" i="193" s="1"/>
  <c r="N210" i="193" s="1"/>
  <c r="N240" i="193" s="1"/>
  <c r="J138" i="189"/>
  <c r="J140" i="193" s="1"/>
  <c r="J210" i="193" s="1"/>
  <c r="J240" i="193" s="1"/>
  <c r="S138" i="189"/>
  <c r="X222" i="189"/>
  <c r="X96" i="191" s="1"/>
  <c r="X201" i="191" s="1"/>
  <c r="R193" i="189"/>
  <c r="R66" i="191" s="1"/>
  <c r="R171" i="191" s="1"/>
  <c r="S196" i="189"/>
  <c r="S69" i="191" s="1"/>
  <c r="S174" i="191" s="1"/>
  <c r="T225" i="189"/>
  <c r="T99" i="191" s="1"/>
  <c r="T204" i="191" s="1"/>
  <c r="R138" i="189"/>
  <c r="R225" i="189"/>
  <c r="R99" i="191" s="1"/>
  <c r="R204" i="191" s="1"/>
  <c r="Y196" i="189"/>
  <c r="Y69" i="191" s="1"/>
  <c r="Y174" i="191" s="1"/>
  <c r="K138" i="189"/>
  <c r="K140" i="193" s="1"/>
  <c r="K210" i="193" s="1"/>
  <c r="K240" i="193" s="1"/>
  <c r="O138" i="189"/>
  <c r="O140" i="193" s="1"/>
  <c r="O210" i="193" s="1"/>
  <c r="O240" i="193" s="1"/>
  <c r="Y138" i="189"/>
  <c r="O223" i="189"/>
  <c r="O97" i="191" s="1"/>
  <c r="O202" i="191" s="1"/>
  <c r="M136" i="189"/>
  <c r="M138" i="193" s="1"/>
  <c r="M208" i="193" s="1"/>
  <c r="M238" i="193" s="1"/>
  <c r="S194" i="189"/>
  <c r="S67" i="191" s="1"/>
  <c r="S172" i="191" s="1"/>
  <c r="N136" i="189"/>
  <c r="N138" i="193" s="1"/>
  <c r="N208" i="193" s="1"/>
  <c r="N238" i="193" s="1"/>
  <c r="U165" i="189"/>
  <c r="U37" i="191" s="1"/>
  <c r="U142" i="191" s="1"/>
  <c r="L223" i="189"/>
  <c r="L97" i="191" s="1"/>
  <c r="L202" i="191" s="1"/>
  <c r="R223" i="189"/>
  <c r="R97" i="191" s="1"/>
  <c r="R202" i="191" s="1"/>
  <c r="W136" i="189"/>
  <c r="M194" i="189"/>
  <c r="M67" i="191" s="1"/>
  <c r="M172" i="191" s="1"/>
  <c r="R165" i="189"/>
  <c r="R37" i="191" s="1"/>
  <c r="R142" i="191" s="1"/>
  <c r="Y194" i="189"/>
  <c r="Y67" i="191" s="1"/>
  <c r="Y172" i="191" s="1"/>
  <c r="L136" i="189"/>
  <c r="L138" i="193" s="1"/>
  <c r="L208" i="193" s="1"/>
  <c r="L238" i="193" s="1"/>
  <c r="K223" i="189"/>
  <c r="K97" i="191" s="1"/>
  <c r="K202" i="191" s="1"/>
  <c r="T194" i="189"/>
  <c r="T67" i="191" s="1"/>
  <c r="T172" i="191" s="1"/>
  <c r="R136" i="189"/>
  <c r="Y165" i="189"/>
  <c r="Y37" i="191" s="1"/>
  <c r="Y142" i="191" s="1"/>
  <c r="W223" i="189"/>
  <c r="W97" i="191" s="1"/>
  <c r="W202" i="191" s="1"/>
  <c r="L194" i="189"/>
  <c r="L67" i="191" s="1"/>
  <c r="L172" i="191" s="1"/>
  <c r="T223" i="189"/>
  <c r="T97" i="191" s="1"/>
  <c r="T202" i="191" s="1"/>
  <c r="U223" i="189"/>
  <c r="U97" i="191" s="1"/>
  <c r="U202" i="191" s="1"/>
  <c r="X165" i="189"/>
  <c r="X37" i="191" s="1"/>
  <c r="X142" i="191" s="1"/>
  <c r="O194" i="189"/>
  <c r="O67" i="191" s="1"/>
  <c r="O172" i="191" s="1"/>
  <c r="P165" i="189"/>
  <c r="P37" i="191" s="1"/>
  <c r="P142" i="191" s="1"/>
  <c r="Q194" i="189"/>
  <c r="Q67" i="191" s="1"/>
  <c r="Q172" i="191" s="1"/>
  <c r="J165" i="189"/>
  <c r="J37" i="191" s="1"/>
  <c r="J142" i="191" s="1"/>
  <c r="T165" i="189"/>
  <c r="T37" i="191" s="1"/>
  <c r="T142" i="191" s="1"/>
  <c r="X136" i="189"/>
  <c r="N194" i="189"/>
  <c r="N67" i="191" s="1"/>
  <c r="N172" i="191" s="1"/>
  <c r="U194" i="189"/>
  <c r="U67" i="191" s="1"/>
  <c r="U172" i="191" s="1"/>
  <c r="W165" i="189"/>
  <c r="W37" i="191" s="1"/>
  <c r="W142" i="191" s="1"/>
  <c r="R194" i="189"/>
  <c r="R67" i="191" s="1"/>
  <c r="R172" i="191" s="1"/>
  <c r="U136" i="189"/>
  <c r="Q165" i="189"/>
  <c r="Q37" i="191" s="1"/>
  <c r="Q142" i="191" s="1"/>
  <c r="S165" i="189"/>
  <c r="S37" i="191" s="1"/>
  <c r="S142" i="191" s="1"/>
  <c r="R200" i="189"/>
  <c r="R73" i="191" s="1"/>
  <c r="R178" i="191" s="1"/>
  <c r="N229" i="189"/>
  <c r="N103" i="191" s="1"/>
  <c r="N208" i="191" s="1"/>
  <c r="J171" i="189"/>
  <c r="J43" i="191" s="1"/>
  <c r="J148" i="191" s="1"/>
  <c r="V171" i="189"/>
  <c r="V43" i="191" s="1"/>
  <c r="V148" i="191" s="1"/>
  <c r="L165" i="189"/>
  <c r="L37" i="191" s="1"/>
  <c r="L142" i="191" s="1"/>
  <c r="J194" i="189"/>
  <c r="J67" i="191" s="1"/>
  <c r="J172" i="191" s="1"/>
  <c r="V194" i="189"/>
  <c r="V67" i="191" s="1"/>
  <c r="V172" i="191" s="1"/>
  <c r="P136" i="189"/>
  <c r="P138" i="193" s="1"/>
  <c r="P208" i="193" s="1"/>
  <c r="P238" i="193" s="1"/>
  <c r="J223" i="189"/>
  <c r="J97" i="191" s="1"/>
  <c r="J202" i="191" s="1"/>
  <c r="Q136" i="189"/>
  <c r="Q138" i="193" s="1"/>
  <c r="Q208" i="193" s="1"/>
  <c r="Q238" i="193" s="1"/>
  <c r="V223" i="189"/>
  <c r="V97" i="191" s="1"/>
  <c r="V202" i="191" s="1"/>
  <c r="V136" i="189"/>
  <c r="O229" i="189"/>
  <c r="O103" i="191" s="1"/>
  <c r="O208" i="191" s="1"/>
  <c r="W229" i="189"/>
  <c r="W103" i="191" s="1"/>
  <c r="W208" i="191" s="1"/>
  <c r="N171" i="189"/>
  <c r="N43" i="191" s="1"/>
  <c r="N148" i="191" s="1"/>
  <c r="R175" i="193"/>
  <c r="R210" i="193" s="1"/>
  <c r="R240" i="193" s="1"/>
  <c r="X175" i="193"/>
  <c r="X210" i="193" s="1"/>
  <c r="X240" i="193" s="1"/>
  <c r="S175" i="193"/>
  <c r="S210" i="193" s="1"/>
  <c r="S240" i="193" s="1"/>
  <c r="L229" i="189"/>
  <c r="L103" i="191" s="1"/>
  <c r="L208" i="191" s="1"/>
  <c r="J229" i="189"/>
  <c r="J103" i="191" s="1"/>
  <c r="J208" i="191" s="1"/>
  <c r="U229" i="189"/>
  <c r="U103" i="191" s="1"/>
  <c r="U208" i="191" s="1"/>
  <c r="Q171" i="189"/>
  <c r="Q43" i="191" s="1"/>
  <c r="Q148" i="191" s="1"/>
  <c r="W200" i="189"/>
  <c r="W73" i="191" s="1"/>
  <c r="W178" i="191" s="1"/>
  <c r="S200" i="189"/>
  <c r="S73" i="191" s="1"/>
  <c r="S178" i="191" s="1"/>
  <c r="O142" i="189"/>
  <c r="O144" i="193" s="1"/>
  <c r="O214" i="193" s="1"/>
  <c r="O244" i="193" s="1"/>
  <c r="V200" i="189"/>
  <c r="V73" i="191" s="1"/>
  <c r="V178" i="191" s="1"/>
  <c r="Q142" i="189"/>
  <c r="Q144" i="193" s="1"/>
  <c r="Q214" i="193" s="1"/>
  <c r="Q244" i="193" s="1"/>
  <c r="M142" i="189"/>
  <c r="M144" i="193" s="1"/>
  <c r="M214" i="193" s="1"/>
  <c r="M244" i="193" s="1"/>
  <c r="Y200" i="189"/>
  <c r="Y73" i="191" s="1"/>
  <c r="Y178" i="191" s="1"/>
  <c r="M171" i="189"/>
  <c r="M43" i="191" s="1"/>
  <c r="M148" i="191" s="1"/>
  <c r="P142" i="189"/>
  <c r="P144" i="193" s="1"/>
  <c r="P214" i="193" s="1"/>
  <c r="P244" i="193" s="1"/>
  <c r="X229" i="189"/>
  <c r="X103" i="191" s="1"/>
  <c r="X208" i="191" s="1"/>
  <c r="L142" i="189"/>
  <c r="L144" i="193" s="1"/>
  <c r="L214" i="193" s="1"/>
  <c r="L244" i="193" s="1"/>
  <c r="Q229" i="189"/>
  <c r="Q103" i="191" s="1"/>
  <c r="Q208" i="191" s="1"/>
  <c r="P229" i="189"/>
  <c r="P103" i="191" s="1"/>
  <c r="P208" i="191" s="1"/>
  <c r="Y171" i="189"/>
  <c r="Y43" i="191" s="1"/>
  <c r="Y148" i="191" s="1"/>
  <c r="R171" i="189"/>
  <c r="R43" i="191" s="1"/>
  <c r="R148" i="191" s="1"/>
  <c r="M200" i="189"/>
  <c r="M73" i="191" s="1"/>
  <c r="M178" i="191" s="1"/>
  <c r="T142" i="189"/>
  <c r="S142" i="189"/>
  <c r="N200" i="189"/>
  <c r="N73" i="191" s="1"/>
  <c r="N178" i="191" s="1"/>
  <c r="R142" i="189"/>
  <c r="T229" i="189"/>
  <c r="T103" i="191" s="1"/>
  <c r="T208" i="191" s="1"/>
  <c r="Y142" i="189"/>
  <c r="P200" i="189"/>
  <c r="P73" i="191" s="1"/>
  <c r="P178" i="191" s="1"/>
  <c r="K229" i="189"/>
  <c r="K103" i="191" s="1"/>
  <c r="K208" i="191" s="1"/>
  <c r="X142" i="189"/>
  <c r="R229" i="189"/>
  <c r="R103" i="191" s="1"/>
  <c r="R208" i="191" s="1"/>
  <c r="O171" i="189"/>
  <c r="O43" i="191" s="1"/>
  <c r="O148" i="191" s="1"/>
  <c r="O200" i="189"/>
  <c r="O73" i="191" s="1"/>
  <c r="O178" i="191" s="1"/>
  <c r="U200" i="189"/>
  <c r="U73" i="191" s="1"/>
  <c r="U178" i="191" s="1"/>
  <c r="J200" i="189"/>
  <c r="J73" i="191" s="1"/>
  <c r="J178" i="191" s="1"/>
  <c r="K200" i="189"/>
  <c r="K73" i="191" s="1"/>
  <c r="K178" i="191" s="1"/>
  <c r="Q200" i="189"/>
  <c r="Q73" i="191" s="1"/>
  <c r="Q178" i="191" s="1"/>
  <c r="K171" i="189"/>
  <c r="K43" i="191" s="1"/>
  <c r="K148" i="191" s="1"/>
  <c r="M229" i="189"/>
  <c r="M103" i="191" s="1"/>
  <c r="M208" i="191" s="1"/>
  <c r="K142" i="189"/>
  <c r="K144" i="193" s="1"/>
  <c r="K214" i="193" s="1"/>
  <c r="K244" i="193" s="1"/>
  <c r="T200" i="189"/>
  <c r="T73" i="191" s="1"/>
  <c r="T178" i="191" s="1"/>
  <c r="W171" i="189"/>
  <c r="W43" i="191" s="1"/>
  <c r="W148" i="191" s="1"/>
  <c r="T171" i="189"/>
  <c r="T43" i="191" s="1"/>
  <c r="T148" i="191" s="1"/>
  <c r="S171" i="189"/>
  <c r="S43" i="191" s="1"/>
  <c r="S148" i="191" s="1"/>
  <c r="U142" i="189"/>
  <c r="L171" i="189"/>
  <c r="L43" i="191" s="1"/>
  <c r="L148" i="191" s="1"/>
  <c r="Y229" i="189"/>
  <c r="Y103" i="191" s="1"/>
  <c r="Y208" i="191" s="1"/>
  <c r="L200" i="189"/>
  <c r="L73" i="191" s="1"/>
  <c r="L178" i="191" s="1"/>
  <c r="V142" i="189"/>
  <c r="Y223" i="189"/>
  <c r="Y97" i="191" s="1"/>
  <c r="Y202" i="191" s="1"/>
  <c r="K136" i="189"/>
  <c r="K138" i="193" s="1"/>
  <c r="K208" i="193" s="1"/>
  <c r="K238" i="193" s="1"/>
  <c r="O136" i="189"/>
  <c r="O138" i="193" s="1"/>
  <c r="O208" i="193" s="1"/>
  <c r="O238" i="193" s="1"/>
  <c r="X223" i="189"/>
  <c r="X97" i="191" s="1"/>
  <c r="X202" i="191" s="1"/>
  <c r="Q223" i="189"/>
  <c r="Q97" i="191" s="1"/>
  <c r="Q202" i="191" s="1"/>
  <c r="N165" i="189"/>
  <c r="N37" i="191" s="1"/>
  <c r="N142" i="191" s="1"/>
  <c r="X194" i="189"/>
  <c r="X67" i="191" s="1"/>
  <c r="X172" i="191" s="1"/>
  <c r="Y136" i="189"/>
  <c r="T136" i="189"/>
  <c r="W194" i="189"/>
  <c r="W67" i="191" s="1"/>
  <c r="W172" i="191" s="1"/>
  <c r="V165" i="189"/>
  <c r="V37" i="191" s="1"/>
  <c r="V142" i="191" s="1"/>
  <c r="J136" i="189"/>
  <c r="J138" i="193" s="1"/>
  <c r="J208" i="193" s="1"/>
  <c r="J238" i="193" s="1"/>
  <c r="M165" i="189"/>
  <c r="M37" i="191" s="1"/>
  <c r="M142" i="191" s="1"/>
  <c r="N223" i="189"/>
  <c r="N97" i="191" s="1"/>
  <c r="N202" i="191" s="1"/>
  <c r="T175" i="193"/>
  <c r="T210" i="193" s="1"/>
  <c r="T240" i="193" s="1"/>
  <c r="W142" i="189"/>
  <c r="X200" i="189"/>
  <c r="X73" i="191" s="1"/>
  <c r="X178" i="191" s="1"/>
  <c r="J142" i="189"/>
  <c r="J144" i="193" s="1"/>
  <c r="J214" i="193" s="1"/>
  <c r="J244" i="193" s="1"/>
  <c r="X171" i="189"/>
  <c r="X43" i="191" s="1"/>
  <c r="X148" i="191" s="1"/>
  <c r="L225" i="189"/>
  <c r="L99" i="191" s="1"/>
  <c r="L204" i="191" s="1"/>
  <c r="M167" i="189"/>
  <c r="M39" i="191" s="1"/>
  <c r="M144" i="191" s="1"/>
  <c r="O225" i="189"/>
  <c r="O99" i="191" s="1"/>
  <c r="O204" i="191" s="1"/>
  <c r="Q167" i="189"/>
  <c r="Q39" i="191" s="1"/>
  <c r="Q144" i="191" s="1"/>
  <c r="W225" i="189"/>
  <c r="W99" i="191" s="1"/>
  <c r="W204" i="191" s="1"/>
  <c r="N225" i="189"/>
  <c r="N99" i="191" s="1"/>
  <c r="N204" i="191" s="1"/>
  <c r="Y225" i="189"/>
  <c r="Y99" i="191" s="1"/>
  <c r="Y204" i="191" s="1"/>
  <c r="Q225" i="189"/>
  <c r="Q99" i="191" s="1"/>
  <c r="Q204" i="191" s="1"/>
  <c r="W196" i="189"/>
  <c r="W69" i="191" s="1"/>
  <c r="W174" i="191" s="1"/>
  <c r="L138" i="189"/>
  <c r="L140" i="193" s="1"/>
  <c r="L210" i="193" s="1"/>
  <c r="L240" i="193" s="1"/>
  <c r="J167" i="189"/>
  <c r="J39" i="191" s="1"/>
  <c r="J144" i="191" s="1"/>
  <c r="W138" i="189"/>
  <c r="L167" i="189"/>
  <c r="L39" i="191" s="1"/>
  <c r="L144" i="191" s="1"/>
  <c r="X167" i="189"/>
  <c r="X39" i="191" s="1"/>
  <c r="X144" i="191" s="1"/>
  <c r="R167" i="189"/>
  <c r="R39" i="191" s="1"/>
  <c r="R144" i="191" s="1"/>
  <c r="N167" i="189"/>
  <c r="N39" i="191" s="1"/>
  <c r="N144" i="191" s="1"/>
  <c r="R222" i="189"/>
  <c r="R96" i="191" s="1"/>
  <c r="R201" i="191" s="1"/>
  <c r="K222" i="189"/>
  <c r="K96" i="191" s="1"/>
  <c r="K201" i="191" s="1"/>
  <c r="S135" i="189"/>
  <c r="N164" i="189"/>
  <c r="N36" i="191" s="1"/>
  <c r="N141" i="191" s="1"/>
  <c r="J225" i="189"/>
  <c r="J99" i="191" s="1"/>
  <c r="J204" i="191" s="1"/>
  <c r="U225" i="189"/>
  <c r="U99" i="191" s="1"/>
  <c r="U204" i="191" s="1"/>
  <c r="V167" i="189"/>
  <c r="V39" i="191" s="1"/>
  <c r="V144" i="191" s="1"/>
  <c r="S167" i="189"/>
  <c r="S39" i="191" s="1"/>
  <c r="S144" i="191" s="1"/>
  <c r="L196" i="189"/>
  <c r="L69" i="191" s="1"/>
  <c r="L174" i="191" s="1"/>
  <c r="V138" i="189"/>
  <c r="R196" i="189"/>
  <c r="R69" i="191" s="1"/>
  <c r="R174" i="191" s="1"/>
  <c r="X138" i="189"/>
  <c r="S225" i="189"/>
  <c r="S99" i="191" s="1"/>
  <c r="S204" i="191" s="1"/>
  <c r="X196" i="189"/>
  <c r="X69" i="191" s="1"/>
  <c r="X174" i="191" s="1"/>
  <c r="X225" i="189"/>
  <c r="X99" i="191" s="1"/>
  <c r="X204" i="191" s="1"/>
  <c r="P167" i="189"/>
  <c r="P39" i="191" s="1"/>
  <c r="P144" i="191" s="1"/>
  <c r="T196" i="189"/>
  <c r="T69" i="191" s="1"/>
  <c r="T174" i="191" s="1"/>
  <c r="U196" i="189"/>
  <c r="U69" i="191" s="1"/>
  <c r="U174" i="191" s="1"/>
  <c r="M196" i="189"/>
  <c r="M69" i="191" s="1"/>
  <c r="M174" i="191" s="1"/>
  <c r="V227" i="189"/>
  <c r="V101" i="191" s="1"/>
  <c r="V206" i="191" s="1"/>
  <c r="N140" i="189"/>
  <c r="N142" i="193" s="1"/>
  <c r="N212" i="193" s="1"/>
  <c r="N242" i="193" s="1"/>
  <c r="Y169" i="189"/>
  <c r="Y41" i="191" s="1"/>
  <c r="Y146" i="191" s="1"/>
  <c r="J227" i="189"/>
  <c r="J101" i="191" s="1"/>
  <c r="J206" i="191" s="1"/>
  <c r="R169" i="189"/>
  <c r="R41" i="191" s="1"/>
  <c r="R146" i="191" s="1"/>
  <c r="V169" i="189"/>
  <c r="V41" i="191" s="1"/>
  <c r="V146" i="191" s="1"/>
  <c r="T198" i="189"/>
  <c r="T71" i="191" s="1"/>
  <c r="T176" i="191" s="1"/>
  <c r="Q227" i="189"/>
  <c r="Q101" i="191" s="1"/>
  <c r="Q206" i="191" s="1"/>
  <c r="J198" i="189"/>
  <c r="J71" i="191" s="1"/>
  <c r="J176" i="191" s="1"/>
  <c r="O227" i="189"/>
  <c r="O101" i="191" s="1"/>
  <c r="O206" i="191" s="1"/>
  <c r="K198" i="189"/>
  <c r="K71" i="191" s="1"/>
  <c r="K176" i="191" s="1"/>
  <c r="L169" i="189"/>
  <c r="L41" i="191" s="1"/>
  <c r="L146" i="191" s="1"/>
  <c r="P227" i="189"/>
  <c r="P101" i="191" s="1"/>
  <c r="P206" i="191" s="1"/>
  <c r="J140" i="189"/>
  <c r="J142" i="193" s="1"/>
  <c r="J212" i="193" s="1"/>
  <c r="J242" i="193" s="1"/>
  <c r="V198" i="189"/>
  <c r="V71" i="191" s="1"/>
  <c r="V176" i="191" s="1"/>
  <c r="O169" i="189"/>
  <c r="O41" i="191" s="1"/>
  <c r="O146" i="191" s="1"/>
  <c r="X227" i="189"/>
  <c r="X101" i="191" s="1"/>
  <c r="X206" i="191" s="1"/>
  <c r="M198" i="189"/>
  <c r="M71" i="191" s="1"/>
  <c r="M176" i="191" s="1"/>
  <c r="W140" i="189"/>
  <c r="U140" i="189"/>
  <c r="L140" i="189"/>
  <c r="L142" i="193" s="1"/>
  <c r="L212" i="193" s="1"/>
  <c r="L242" i="193" s="1"/>
  <c r="K140" i="189"/>
  <c r="K142" i="193" s="1"/>
  <c r="K212" i="193" s="1"/>
  <c r="K242" i="193" s="1"/>
  <c r="U181" i="193"/>
  <c r="U216" i="193" s="1"/>
  <c r="U246" i="193" s="1"/>
  <c r="X197" i="189"/>
  <c r="X70" i="191" s="1"/>
  <c r="X175" i="191" s="1"/>
  <c r="K139" i="189"/>
  <c r="K141" i="193" s="1"/>
  <c r="K211" i="193" s="1"/>
  <c r="K241" i="193" s="1"/>
  <c r="L226" i="189"/>
  <c r="L100" i="191" s="1"/>
  <c r="L205" i="191" s="1"/>
  <c r="L197" i="189"/>
  <c r="L70" i="191" s="1"/>
  <c r="L175" i="191" s="1"/>
  <c r="M226" i="189"/>
  <c r="M100" i="191" s="1"/>
  <c r="M205" i="191" s="1"/>
  <c r="Y197" i="189"/>
  <c r="Y70" i="191" s="1"/>
  <c r="Y175" i="191" s="1"/>
  <c r="X168" i="189"/>
  <c r="X40" i="191" s="1"/>
  <c r="X145" i="191" s="1"/>
  <c r="V168" i="189"/>
  <c r="V40" i="191" s="1"/>
  <c r="V145" i="191" s="1"/>
  <c r="M139" i="189"/>
  <c r="M141" i="193" s="1"/>
  <c r="M211" i="193" s="1"/>
  <c r="M241" i="193" s="1"/>
  <c r="O139" i="189"/>
  <c r="O141" i="193" s="1"/>
  <c r="O211" i="193" s="1"/>
  <c r="O241" i="193" s="1"/>
  <c r="T168" i="189"/>
  <c r="T40" i="191" s="1"/>
  <c r="T145" i="191" s="1"/>
  <c r="J139" i="189"/>
  <c r="J141" i="193" s="1"/>
  <c r="J211" i="193" s="1"/>
  <c r="J241" i="193" s="1"/>
  <c r="W168" i="189"/>
  <c r="W40" i="191" s="1"/>
  <c r="W145" i="191" s="1"/>
  <c r="T226" i="189"/>
  <c r="T100" i="191" s="1"/>
  <c r="T205" i="191" s="1"/>
  <c r="T139" i="189"/>
  <c r="Y226" i="189"/>
  <c r="Y100" i="191" s="1"/>
  <c r="Y205" i="191" s="1"/>
  <c r="V172" i="193"/>
  <c r="V207" i="193" s="1"/>
  <c r="V237" i="193" s="1"/>
  <c r="U227" i="189"/>
  <c r="U101" i="191" s="1"/>
  <c r="U206" i="191" s="1"/>
  <c r="W227" i="189"/>
  <c r="W101" i="191" s="1"/>
  <c r="W206" i="191" s="1"/>
  <c r="K227" i="189"/>
  <c r="K101" i="191" s="1"/>
  <c r="K206" i="191" s="1"/>
  <c r="P140" i="189"/>
  <c r="P142" i="193" s="1"/>
  <c r="P212" i="193" s="1"/>
  <c r="P242" i="193" s="1"/>
  <c r="K169" i="189"/>
  <c r="K41" i="191" s="1"/>
  <c r="K146" i="191" s="1"/>
  <c r="T227" i="189"/>
  <c r="T101" i="191" s="1"/>
  <c r="T206" i="191" s="1"/>
  <c r="X169" i="189"/>
  <c r="X41" i="191" s="1"/>
  <c r="X146" i="191" s="1"/>
  <c r="N198" i="189"/>
  <c r="N71" i="191" s="1"/>
  <c r="N176" i="191" s="1"/>
  <c r="M227" i="189"/>
  <c r="M101" i="191" s="1"/>
  <c r="M206" i="191" s="1"/>
  <c r="L227" i="189"/>
  <c r="L101" i="191" s="1"/>
  <c r="L206" i="191" s="1"/>
  <c r="L198" i="189"/>
  <c r="L71" i="191" s="1"/>
  <c r="L176" i="191" s="1"/>
  <c r="S198" i="189"/>
  <c r="S71" i="191" s="1"/>
  <c r="S176" i="191" s="1"/>
  <c r="X198" i="189"/>
  <c r="X71" i="191" s="1"/>
  <c r="X176" i="191" s="1"/>
  <c r="U169" i="189"/>
  <c r="U41" i="191" s="1"/>
  <c r="U146" i="191" s="1"/>
  <c r="S227" i="189"/>
  <c r="S101" i="191" s="1"/>
  <c r="S206" i="191" s="1"/>
  <c r="P198" i="189"/>
  <c r="P71" i="191" s="1"/>
  <c r="P176" i="191" s="1"/>
  <c r="Q198" i="189"/>
  <c r="Q71" i="191" s="1"/>
  <c r="Q176" i="191" s="1"/>
  <c r="S169" i="189"/>
  <c r="S41" i="191" s="1"/>
  <c r="S146" i="191" s="1"/>
  <c r="T140" i="189"/>
  <c r="J169" i="189"/>
  <c r="J41" i="191" s="1"/>
  <c r="J146" i="191" s="1"/>
  <c r="W198" i="189"/>
  <c r="W71" i="191" s="1"/>
  <c r="W176" i="191" s="1"/>
  <c r="Y140" i="189"/>
  <c r="S140" i="189"/>
  <c r="O140" i="189"/>
  <c r="O142" i="193" s="1"/>
  <c r="O212" i="193" s="1"/>
  <c r="O242" i="193" s="1"/>
  <c r="R227" i="189"/>
  <c r="R101" i="191" s="1"/>
  <c r="R206" i="191" s="1"/>
  <c r="N168" i="189"/>
  <c r="N40" i="191" s="1"/>
  <c r="N145" i="191" s="1"/>
  <c r="U197" i="189"/>
  <c r="U70" i="191" s="1"/>
  <c r="U175" i="191" s="1"/>
  <c r="V139" i="189"/>
  <c r="Q197" i="189"/>
  <c r="Q70" i="191" s="1"/>
  <c r="Q175" i="191" s="1"/>
  <c r="J197" i="189"/>
  <c r="J70" i="191" s="1"/>
  <c r="J175" i="191" s="1"/>
  <c r="U226" i="189"/>
  <c r="U100" i="191" s="1"/>
  <c r="U205" i="191" s="1"/>
  <c r="O226" i="189"/>
  <c r="O100" i="191" s="1"/>
  <c r="O205" i="191" s="1"/>
  <c r="O197" i="189"/>
  <c r="O70" i="191" s="1"/>
  <c r="O175" i="191" s="1"/>
  <c r="R139" i="189"/>
  <c r="J168" i="189"/>
  <c r="J40" i="191" s="1"/>
  <c r="J145" i="191" s="1"/>
  <c r="V197" i="189"/>
  <c r="V70" i="191" s="1"/>
  <c r="V175" i="191" s="1"/>
  <c r="M197" i="189"/>
  <c r="M70" i="191" s="1"/>
  <c r="M175" i="191" s="1"/>
  <c r="X226" i="189"/>
  <c r="X100" i="191" s="1"/>
  <c r="X205" i="191" s="1"/>
  <c r="J226" i="189"/>
  <c r="J100" i="191" s="1"/>
  <c r="J205" i="191" s="1"/>
  <c r="L139" i="189"/>
  <c r="L141" i="193" s="1"/>
  <c r="L211" i="193" s="1"/>
  <c r="L241" i="193" s="1"/>
  <c r="J164" i="189"/>
  <c r="J36" i="191" s="1"/>
  <c r="J222" i="189"/>
  <c r="J96" i="191" s="1"/>
  <c r="J201" i="191" s="1"/>
  <c r="T193" i="189"/>
  <c r="T66" i="191" s="1"/>
  <c r="T171" i="191" s="1"/>
  <c r="W193" i="189"/>
  <c r="W66" i="191" s="1"/>
  <c r="W171" i="191" s="1"/>
  <c r="U164" i="189"/>
  <c r="U36" i="191" s="1"/>
  <c r="U141" i="191" s="1"/>
  <c r="P164" i="189"/>
  <c r="P36" i="191" s="1"/>
  <c r="P141" i="191" s="1"/>
  <c r="L222" i="189"/>
  <c r="L96" i="191" s="1"/>
  <c r="L201" i="191" s="1"/>
  <c r="S222" i="189"/>
  <c r="S96" i="191" s="1"/>
  <c r="S201" i="191" s="1"/>
  <c r="W164" i="189"/>
  <c r="W36" i="191" s="1"/>
  <c r="W141" i="191" s="1"/>
  <c r="W135" i="189"/>
  <c r="N222" i="189"/>
  <c r="N96" i="191" s="1"/>
  <c r="N201" i="191" s="1"/>
  <c r="T135" i="189"/>
  <c r="Q164" i="189"/>
  <c r="Q36" i="191" s="1"/>
  <c r="Q141" i="191" s="1"/>
  <c r="Y180" i="193"/>
  <c r="Y215" i="193" s="1"/>
  <c r="Y245" i="193" s="1"/>
  <c r="O193" i="189"/>
  <c r="O66" i="191" s="1"/>
  <c r="O171" i="191" s="1"/>
  <c r="K164" i="189"/>
  <c r="K36" i="191" s="1"/>
  <c r="K141" i="191" s="1"/>
  <c r="X164" i="189"/>
  <c r="X36" i="191" s="1"/>
  <c r="X141" i="191" s="1"/>
  <c r="U222" i="189"/>
  <c r="U96" i="191" s="1"/>
  <c r="U201" i="191" s="1"/>
  <c r="P222" i="189"/>
  <c r="P96" i="191" s="1"/>
  <c r="P201" i="191" s="1"/>
  <c r="M193" i="189"/>
  <c r="M66" i="191" s="1"/>
  <c r="M171" i="191" s="1"/>
  <c r="Q135" i="189"/>
  <c r="Q137" i="193" s="1"/>
  <c r="Q207" i="193" s="1"/>
  <c r="Q237" i="193" s="1"/>
  <c r="L135" i="189"/>
  <c r="L137" i="193" s="1"/>
  <c r="L207" i="193" s="1"/>
  <c r="L237" i="193" s="1"/>
  <c r="P135" i="189"/>
  <c r="P137" i="193" s="1"/>
  <c r="P207" i="193" s="1"/>
  <c r="P237" i="193" s="1"/>
  <c r="V135" i="189"/>
  <c r="W222" i="189"/>
  <c r="W96" i="191" s="1"/>
  <c r="W201" i="191" s="1"/>
  <c r="R179" i="193"/>
  <c r="R214" i="193" s="1"/>
  <c r="R244" i="193" s="1"/>
  <c r="X180" i="193"/>
  <c r="X215" i="193" s="1"/>
  <c r="X245" i="193" s="1"/>
  <c r="X179" i="193"/>
  <c r="X214" i="193" s="1"/>
  <c r="X244" i="193" s="1"/>
  <c r="Q222" i="189"/>
  <c r="Q96" i="191" s="1"/>
  <c r="Q201" i="191" s="1"/>
  <c r="O164" i="189"/>
  <c r="O36" i="191" s="1"/>
  <c r="O141" i="191" s="1"/>
  <c r="Q193" i="189"/>
  <c r="Q66" i="191" s="1"/>
  <c r="Q171" i="191" s="1"/>
  <c r="V193" i="189"/>
  <c r="V66" i="191" s="1"/>
  <c r="V171" i="191" s="1"/>
  <c r="S193" i="189"/>
  <c r="S66" i="191" s="1"/>
  <c r="S171" i="191" s="1"/>
  <c r="J193" i="189"/>
  <c r="J66" i="191" s="1"/>
  <c r="J171" i="191" s="1"/>
  <c r="N193" i="189"/>
  <c r="N66" i="191" s="1"/>
  <c r="N171" i="191" s="1"/>
  <c r="L193" i="189"/>
  <c r="L66" i="191" s="1"/>
  <c r="L171" i="191" s="1"/>
  <c r="K135" i="189"/>
  <c r="K137" i="193" s="1"/>
  <c r="K207" i="193" s="1"/>
  <c r="K237" i="193" s="1"/>
  <c r="V222" i="189"/>
  <c r="V96" i="191" s="1"/>
  <c r="V201" i="191" s="1"/>
  <c r="Y164" i="189"/>
  <c r="Y36" i="191" s="1"/>
  <c r="Y141" i="191" s="1"/>
  <c r="X135" i="189"/>
  <c r="O135" i="189"/>
  <c r="O137" i="193" s="1"/>
  <c r="O207" i="193" s="1"/>
  <c r="O237" i="193" s="1"/>
  <c r="U135" i="189"/>
  <c r="P193" i="189"/>
  <c r="P66" i="191" s="1"/>
  <c r="P171" i="191" s="1"/>
  <c r="N135" i="189"/>
  <c r="N137" i="193" s="1"/>
  <c r="N207" i="193" s="1"/>
  <c r="N237" i="193" s="1"/>
  <c r="W180" i="193"/>
  <c r="W215" i="193" s="1"/>
  <c r="W245" i="193" s="1"/>
  <c r="U180" i="193"/>
  <c r="U215" i="193" s="1"/>
  <c r="U245" i="193" s="1"/>
  <c r="W179" i="193"/>
  <c r="W214" i="193" s="1"/>
  <c r="W244" i="193" s="1"/>
  <c r="Y179" i="193"/>
  <c r="Y214" i="193" s="1"/>
  <c r="Y244" i="193" s="1"/>
  <c r="R180" i="193"/>
  <c r="R215" i="193" s="1"/>
  <c r="R245" i="193" s="1"/>
  <c r="S180" i="193"/>
  <c r="S215" i="193" s="1"/>
  <c r="S245" i="193" s="1"/>
  <c r="T179" i="193"/>
  <c r="T214" i="193" s="1"/>
  <c r="T244" i="193" s="1"/>
  <c r="U179" i="193"/>
  <c r="U214" i="193" s="1"/>
  <c r="U244" i="193" s="1"/>
  <c r="Y222" i="189"/>
  <c r="Y96" i="191" s="1"/>
  <c r="Y201" i="191" s="1"/>
  <c r="V164" i="189"/>
  <c r="V36" i="191" s="1"/>
  <c r="V141" i="191" s="1"/>
  <c r="M164" i="189"/>
  <c r="M36" i="191" s="1"/>
  <c r="M141" i="191" s="1"/>
  <c r="S164" i="189"/>
  <c r="S36" i="191" s="1"/>
  <c r="S141" i="191" s="1"/>
  <c r="M222" i="189"/>
  <c r="M96" i="191" s="1"/>
  <c r="M201" i="191" s="1"/>
  <c r="K193" i="189"/>
  <c r="K66" i="191" s="1"/>
  <c r="K171" i="191" s="1"/>
  <c r="T164" i="189"/>
  <c r="T36" i="191" s="1"/>
  <c r="T141" i="191" s="1"/>
  <c r="T222" i="189"/>
  <c r="T96" i="191" s="1"/>
  <c r="T201" i="191" s="1"/>
  <c r="J135" i="189"/>
  <c r="J137" i="193" s="1"/>
  <c r="J207" i="193" s="1"/>
  <c r="J237" i="193" s="1"/>
  <c r="X193" i="189"/>
  <c r="X66" i="191" s="1"/>
  <c r="X171" i="191" s="1"/>
  <c r="M135" i="189"/>
  <c r="M137" i="193" s="1"/>
  <c r="M207" i="193" s="1"/>
  <c r="M237" i="193" s="1"/>
  <c r="L164" i="189"/>
  <c r="L36" i="191" s="1"/>
  <c r="L141" i="191" s="1"/>
  <c r="O222" i="189"/>
  <c r="O96" i="191" s="1"/>
  <c r="O201" i="191" s="1"/>
  <c r="Y135" i="189"/>
  <c r="Y193" i="189"/>
  <c r="Y66" i="191" s="1"/>
  <c r="Y171" i="191" s="1"/>
  <c r="T180" i="193"/>
  <c r="T215" i="193" s="1"/>
  <c r="T245" i="193" s="1"/>
  <c r="S179" i="193"/>
  <c r="S214" i="193" s="1"/>
  <c r="S244" i="193" s="1"/>
  <c r="S172" i="193"/>
  <c r="S207" i="193" s="1"/>
  <c r="S237" i="193" s="1"/>
  <c r="T176" i="193"/>
  <c r="T211" i="193" s="1"/>
  <c r="T241" i="193" s="1"/>
  <c r="U176" i="193"/>
  <c r="U211" i="193" s="1"/>
  <c r="U241" i="193" s="1"/>
  <c r="Y176" i="193"/>
  <c r="Y211" i="193" s="1"/>
  <c r="Y241" i="193" s="1"/>
  <c r="T172" i="193"/>
  <c r="T207" i="193" s="1"/>
  <c r="T237" i="193" s="1"/>
  <c r="T181" i="193"/>
  <c r="T216" i="193" s="1"/>
  <c r="T246" i="193" s="1"/>
  <c r="S176" i="193"/>
  <c r="S211" i="193" s="1"/>
  <c r="S241" i="193" s="1"/>
  <c r="X176" i="193"/>
  <c r="X211" i="193" s="1"/>
  <c r="X241" i="193" s="1"/>
  <c r="W172" i="193"/>
  <c r="W207" i="193" s="1"/>
  <c r="W237" i="193" s="1"/>
  <c r="S181" i="193"/>
  <c r="S216" i="193" s="1"/>
  <c r="S246" i="193" s="1"/>
  <c r="W181" i="193"/>
  <c r="W216" i="193" s="1"/>
  <c r="W246" i="193" s="1"/>
  <c r="R176" i="193"/>
  <c r="R211" i="193" s="1"/>
  <c r="R241" i="193" s="1"/>
  <c r="U172" i="193"/>
  <c r="U207" i="193" s="1"/>
  <c r="U237" i="193" s="1"/>
  <c r="Y172" i="193"/>
  <c r="Y207" i="193" s="1"/>
  <c r="Y237" i="193" s="1"/>
  <c r="Y181" i="193"/>
  <c r="Y216" i="193" s="1"/>
  <c r="Y246" i="193" s="1"/>
  <c r="V181" i="193"/>
  <c r="V216" i="193" s="1"/>
  <c r="V246" i="193" s="1"/>
  <c r="R172" i="193"/>
  <c r="R207" i="193" s="1"/>
  <c r="R237" i="193" s="1"/>
  <c r="R181" i="193"/>
  <c r="R216" i="193" s="1"/>
  <c r="R246" i="193" s="1"/>
  <c r="Y174" i="193"/>
  <c r="Y209" i="193" s="1"/>
  <c r="Y239" i="193" s="1"/>
  <c r="X174" i="193"/>
  <c r="X209" i="193" s="1"/>
  <c r="X239" i="193" s="1"/>
  <c r="S174" i="193"/>
  <c r="S209" i="193" s="1"/>
  <c r="S239" i="193" s="1"/>
  <c r="T177" i="193"/>
  <c r="T212" i="193" s="1"/>
  <c r="T242" i="193" s="1"/>
  <c r="T178" i="193"/>
  <c r="T213" i="193" s="1"/>
  <c r="T243" i="193" s="1"/>
  <c r="V178" i="193"/>
  <c r="V213" i="193" s="1"/>
  <c r="V243" i="193" s="1"/>
  <c r="Y175" i="193"/>
  <c r="Y210" i="193" s="1"/>
  <c r="Y240" i="193" s="1"/>
  <c r="U175" i="193"/>
  <c r="U210" i="193" s="1"/>
  <c r="U240" i="193" s="1"/>
  <c r="R174" i="193"/>
  <c r="R209" i="193" s="1"/>
  <c r="R239" i="193" s="1"/>
  <c r="W174" i="193"/>
  <c r="W209" i="193" s="1"/>
  <c r="W239" i="193" s="1"/>
  <c r="W178" i="193"/>
  <c r="W213" i="193" s="1"/>
  <c r="W243" i="193" s="1"/>
  <c r="Y177" i="193"/>
  <c r="Y212" i="193" s="1"/>
  <c r="Y242" i="193" s="1"/>
  <c r="R178" i="193"/>
  <c r="R213" i="193" s="1"/>
  <c r="R243" i="193" s="1"/>
  <c r="V175" i="193"/>
  <c r="V210" i="193" s="1"/>
  <c r="V240" i="193" s="1"/>
  <c r="U174" i="193"/>
  <c r="U209" i="193" s="1"/>
  <c r="U239" i="193" s="1"/>
  <c r="S178" i="193"/>
  <c r="S213" i="193" s="1"/>
  <c r="S243" i="193" s="1"/>
  <c r="U178" i="193"/>
  <c r="U213" i="193" s="1"/>
  <c r="U243" i="193" s="1"/>
  <c r="W177" i="193"/>
  <c r="W212" i="193" s="1"/>
  <c r="W242" i="193" s="1"/>
  <c r="U177" i="193"/>
  <c r="U212" i="193" s="1"/>
  <c r="U242" i="193" s="1"/>
  <c r="V177" i="193"/>
  <c r="V212" i="193" s="1"/>
  <c r="V242" i="193" s="1"/>
  <c r="R177" i="193"/>
  <c r="R212" i="193" s="1"/>
  <c r="R242" i="193" s="1"/>
  <c r="Y178" i="193"/>
  <c r="Y213" i="193" s="1"/>
  <c r="Y243" i="193" s="1"/>
  <c r="X177" i="193"/>
  <c r="X212" i="193" s="1"/>
  <c r="X242" i="193" s="1"/>
  <c r="J51" i="55"/>
  <c r="J283" i="192"/>
  <c r="J46" i="194" s="1"/>
  <c r="J91" i="194" s="1"/>
  <c r="J213" i="192"/>
  <c r="J285" i="192"/>
  <c r="J48" i="194" s="1"/>
  <c r="J93" i="194" s="1"/>
  <c r="J215" i="192"/>
  <c r="O214" i="192"/>
  <c r="O284" i="192"/>
  <c r="O47" i="194" s="1"/>
  <c r="O92" i="194" s="1"/>
  <c r="J214" i="192"/>
  <c r="J284" i="192"/>
  <c r="J47" i="194" s="1"/>
  <c r="J92" i="194" s="1"/>
  <c r="O211" i="192"/>
  <c r="O281" i="192"/>
  <c r="O44" i="194" s="1"/>
  <c r="O89" i="194" s="1"/>
  <c r="J211" i="192"/>
  <c r="J281" i="192"/>
  <c r="J44" i="194" s="1"/>
  <c r="J89" i="194" s="1"/>
  <c r="J278" i="192"/>
  <c r="J41" i="194" s="1"/>
  <c r="J86" i="194" s="1"/>
  <c r="J208" i="192"/>
  <c r="K208" i="192"/>
  <c r="K278" i="192"/>
  <c r="K41" i="194" s="1"/>
  <c r="K86" i="194" s="1"/>
  <c r="M208" i="192"/>
  <c r="M278" i="192"/>
  <c r="M41" i="194" s="1"/>
  <c r="M86" i="194" s="1"/>
  <c r="P282" i="192"/>
  <c r="P45" i="194" s="1"/>
  <c r="P90" i="194" s="1"/>
  <c r="P212" i="192"/>
  <c r="Q210" i="192"/>
  <c r="Q280" i="192"/>
  <c r="Q43" i="194" s="1"/>
  <c r="Q88" i="194" s="1"/>
  <c r="K210" i="192"/>
  <c r="K280" i="192"/>
  <c r="K43" i="194" s="1"/>
  <c r="K88" i="194" s="1"/>
  <c r="J207" i="192"/>
  <c r="J277" i="192"/>
  <c r="J40" i="194" s="1"/>
  <c r="J85" i="194" s="1"/>
  <c r="P276" i="192"/>
  <c r="P39" i="194" s="1"/>
  <c r="P84" i="194" s="1"/>
  <c r="P206" i="192"/>
  <c r="Q257" i="192"/>
  <c r="Q25" i="196" s="1"/>
  <c r="AG45" i="196" s="1"/>
  <c r="L257" i="192"/>
  <c r="L25" i="196" s="1"/>
  <c r="Q276" i="192"/>
  <c r="Q39" i="194" s="1"/>
  <c r="Q84" i="194" s="1"/>
  <c r="Q206" i="192"/>
  <c r="M209" i="192"/>
  <c r="M279" i="192"/>
  <c r="M42" i="194" s="1"/>
  <c r="M87" i="194" s="1"/>
  <c r="N279" i="192"/>
  <c r="N42" i="194" s="1"/>
  <c r="N87" i="194" s="1"/>
  <c r="N209" i="192"/>
  <c r="L208" i="192"/>
  <c r="L278" i="192"/>
  <c r="L41" i="194" s="1"/>
  <c r="L86" i="194" s="1"/>
  <c r="J282" i="192"/>
  <c r="J45" i="194" s="1"/>
  <c r="J90" i="194" s="1"/>
  <c r="J212" i="192"/>
  <c r="K282" i="192"/>
  <c r="K45" i="194" s="1"/>
  <c r="K90" i="194" s="1"/>
  <c r="K212" i="192"/>
  <c r="N210" i="192"/>
  <c r="N280" i="192"/>
  <c r="N43" i="194" s="1"/>
  <c r="N88" i="194" s="1"/>
  <c r="M210" i="192"/>
  <c r="M280" i="192"/>
  <c r="M43" i="194" s="1"/>
  <c r="M88" i="194" s="1"/>
  <c r="K207" i="192"/>
  <c r="K277" i="192"/>
  <c r="K40" i="194" s="1"/>
  <c r="K85" i="194" s="1"/>
  <c r="N207" i="192"/>
  <c r="N277" i="192"/>
  <c r="N40" i="194" s="1"/>
  <c r="N85" i="194" s="1"/>
  <c r="K206" i="192"/>
  <c r="K276" i="192"/>
  <c r="K39" i="194" s="1"/>
  <c r="K84" i="194" s="1"/>
  <c r="J206" i="192"/>
  <c r="J276" i="192"/>
  <c r="J39" i="194" s="1"/>
  <c r="M257" i="192"/>
  <c r="M25" i="196" s="1"/>
  <c r="Q45" i="196" s="1"/>
  <c r="K257" i="192"/>
  <c r="K25" i="196" s="1"/>
  <c r="K45" i="196" s="1"/>
  <c r="J279" i="192"/>
  <c r="J42" i="194" s="1"/>
  <c r="J87" i="194" s="1"/>
  <c r="J209" i="192"/>
  <c r="P279" i="192"/>
  <c r="P42" i="194" s="1"/>
  <c r="P87" i="194" s="1"/>
  <c r="P209" i="192"/>
  <c r="Q284" i="192"/>
  <c r="Q47" i="194" s="1"/>
  <c r="Q92" i="194" s="1"/>
  <c r="Q214" i="192"/>
  <c r="M214" i="192"/>
  <c r="M284" i="192"/>
  <c r="M47" i="194" s="1"/>
  <c r="M92" i="194" s="1"/>
  <c r="N211" i="192"/>
  <c r="N281" i="192"/>
  <c r="N44" i="194" s="1"/>
  <c r="N89" i="194" s="1"/>
  <c r="O213" i="192"/>
  <c r="O283" i="192"/>
  <c r="O46" i="194" s="1"/>
  <c r="O91" i="194" s="1"/>
  <c r="K213" i="192"/>
  <c r="K283" i="192"/>
  <c r="K46" i="194" s="1"/>
  <c r="K91" i="194" s="1"/>
  <c r="P215" i="192"/>
  <c r="P285" i="192"/>
  <c r="P48" i="194" s="1"/>
  <c r="P93" i="194" s="1"/>
  <c r="N206" i="192"/>
  <c r="N276" i="192"/>
  <c r="N39" i="194" s="1"/>
  <c r="N84" i="194" s="1"/>
  <c r="P257" i="192"/>
  <c r="P25" i="196" s="1"/>
  <c r="O276" i="192"/>
  <c r="O39" i="194" s="1"/>
  <c r="O84" i="194" s="1"/>
  <c r="O206" i="192"/>
  <c r="M276" i="192"/>
  <c r="M39" i="194" s="1"/>
  <c r="M84" i="194" s="1"/>
  <c r="M206" i="192"/>
  <c r="O209" i="192"/>
  <c r="O279" i="192"/>
  <c r="O42" i="194" s="1"/>
  <c r="O87" i="194" s="1"/>
  <c r="L279" i="192"/>
  <c r="L42" i="194" s="1"/>
  <c r="L87" i="194" s="1"/>
  <c r="L209" i="192"/>
  <c r="P283" i="192"/>
  <c r="P46" i="194" s="1"/>
  <c r="P91" i="194" s="1"/>
  <c r="P213" i="192"/>
  <c r="N213" i="192"/>
  <c r="N283" i="192"/>
  <c r="N46" i="194" s="1"/>
  <c r="N91" i="194" s="1"/>
  <c r="P284" i="192"/>
  <c r="P47" i="194" s="1"/>
  <c r="P92" i="194" s="1"/>
  <c r="P214" i="192"/>
  <c r="L281" i="192"/>
  <c r="L44" i="194" s="1"/>
  <c r="L89" i="194" s="1"/>
  <c r="L211" i="192"/>
  <c r="L283" i="192"/>
  <c r="L46" i="194" s="1"/>
  <c r="L91" i="194" s="1"/>
  <c r="L213" i="192"/>
  <c r="O215" i="192"/>
  <c r="O285" i="192"/>
  <c r="O48" i="194" s="1"/>
  <c r="O93" i="194" s="1"/>
  <c r="Q285" i="192"/>
  <c r="Q48" i="194" s="1"/>
  <c r="Q93" i="194" s="1"/>
  <c r="Q215" i="192"/>
  <c r="K284" i="192"/>
  <c r="K47" i="194" s="1"/>
  <c r="K92" i="194" s="1"/>
  <c r="K214" i="192"/>
  <c r="N284" i="192"/>
  <c r="N47" i="194" s="1"/>
  <c r="N92" i="194" s="1"/>
  <c r="N214" i="192"/>
  <c r="P281" i="192"/>
  <c r="P44" i="194" s="1"/>
  <c r="P89" i="194" s="1"/>
  <c r="P211" i="192"/>
  <c r="K281" i="192"/>
  <c r="K44" i="194" s="1"/>
  <c r="K89" i="194" s="1"/>
  <c r="K211" i="192"/>
  <c r="N278" i="192"/>
  <c r="N41" i="194" s="1"/>
  <c r="N86" i="194" s="1"/>
  <c r="N208" i="192"/>
  <c r="Q208" i="192"/>
  <c r="Q278" i="192"/>
  <c r="Q41" i="194" s="1"/>
  <c r="Q86" i="194" s="1"/>
  <c r="O278" i="192"/>
  <c r="O41" i="194" s="1"/>
  <c r="O86" i="194" s="1"/>
  <c r="O208" i="192"/>
  <c r="L212" i="192"/>
  <c r="L282" i="192"/>
  <c r="L45" i="194" s="1"/>
  <c r="L90" i="194" s="1"/>
  <c r="N282" i="192"/>
  <c r="N45" i="194" s="1"/>
  <c r="N90" i="194" s="1"/>
  <c r="N212" i="192"/>
  <c r="L210" i="192"/>
  <c r="L280" i="192"/>
  <c r="L43" i="194" s="1"/>
  <c r="L88" i="194" s="1"/>
  <c r="P280" i="192"/>
  <c r="P43" i="194" s="1"/>
  <c r="P88" i="194" s="1"/>
  <c r="P210" i="192"/>
  <c r="O280" i="192"/>
  <c r="O43" i="194" s="1"/>
  <c r="O88" i="194" s="1"/>
  <c r="O210" i="192"/>
  <c r="O207" i="192"/>
  <c r="O277" i="192"/>
  <c r="O40" i="194" s="1"/>
  <c r="O85" i="194" s="1"/>
  <c r="L277" i="192"/>
  <c r="L40" i="194" s="1"/>
  <c r="L85" i="194" s="1"/>
  <c r="L207" i="192"/>
  <c r="M213" i="192"/>
  <c r="M283" i="192"/>
  <c r="M46" i="194" s="1"/>
  <c r="M91" i="194" s="1"/>
  <c r="Q213" i="192"/>
  <c r="Q283" i="192"/>
  <c r="Q46" i="194" s="1"/>
  <c r="Q91" i="194" s="1"/>
  <c r="K215" i="192"/>
  <c r="K285" i="192"/>
  <c r="K48" i="194" s="1"/>
  <c r="K93" i="194" s="1"/>
  <c r="N215" i="192"/>
  <c r="N285" i="192"/>
  <c r="N48" i="194" s="1"/>
  <c r="N93" i="194" s="1"/>
  <c r="L215" i="192"/>
  <c r="L285" i="192"/>
  <c r="L48" i="194" s="1"/>
  <c r="L93" i="194" s="1"/>
  <c r="M285" i="192"/>
  <c r="M48" i="194" s="1"/>
  <c r="M93" i="194" s="1"/>
  <c r="M215" i="192"/>
  <c r="L214" i="192"/>
  <c r="L284" i="192"/>
  <c r="L47" i="194" s="1"/>
  <c r="L92" i="194" s="1"/>
  <c r="M211" i="192"/>
  <c r="M281" i="192"/>
  <c r="M44" i="194" s="1"/>
  <c r="M89" i="194" s="1"/>
  <c r="Q281" i="192"/>
  <c r="Q44" i="194" s="1"/>
  <c r="Q89" i="194" s="1"/>
  <c r="Q211" i="192"/>
  <c r="P278" i="192"/>
  <c r="P41" i="194" s="1"/>
  <c r="P86" i="194" s="1"/>
  <c r="P208" i="192"/>
  <c r="Q212" i="192"/>
  <c r="Q282" i="192"/>
  <c r="Q45" i="194" s="1"/>
  <c r="Q90" i="194" s="1"/>
  <c r="O212" i="192"/>
  <c r="O282" i="192"/>
  <c r="O45" i="194" s="1"/>
  <c r="O90" i="194" s="1"/>
  <c r="M282" i="192"/>
  <c r="M45" i="194" s="1"/>
  <c r="M90" i="194" s="1"/>
  <c r="M212" i="192"/>
  <c r="J280" i="192"/>
  <c r="J43" i="194" s="1"/>
  <c r="J88" i="194" s="1"/>
  <c r="J210" i="192"/>
  <c r="M207" i="192"/>
  <c r="M277" i="192"/>
  <c r="M40" i="194" s="1"/>
  <c r="M85" i="194" s="1"/>
  <c r="Q207" i="192"/>
  <c r="Q277" i="192"/>
  <c r="Q40" i="194" s="1"/>
  <c r="Q85" i="194" s="1"/>
  <c r="P207" i="192"/>
  <c r="P277" i="192"/>
  <c r="P40" i="194" s="1"/>
  <c r="P85" i="194" s="1"/>
  <c r="N257" i="192"/>
  <c r="N25" i="196" s="1"/>
  <c r="L276" i="192"/>
  <c r="L39" i="194" s="1"/>
  <c r="L84" i="194" s="1"/>
  <c r="L206" i="192"/>
  <c r="O257" i="192"/>
  <c r="O25" i="196" s="1"/>
  <c r="J257" i="192"/>
  <c r="J25" i="196" s="1"/>
  <c r="J45" i="196" s="1"/>
  <c r="Q209" i="192"/>
  <c r="Q279" i="192"/>
  <c r="Q42" i="194" s="1"/>
  <c r="Q87" i="194" s="1"/>
  <c r="K209" i="192"/>
  <c r="K279" i="192"/>
  <c r="K42" i="194" s="1"/>
  <c r="K87" i="194" s="1"/>
  <c r="R217" i="191" l="1"/>
  <c r="R20" i="196" s="1"/>
  <c r="AH40" i="196" s="1"/>
  <c r="R218" i="191"/>
  <c r="R21" i="196" s="1"/>
  <c r="AH41" i="196" s="1"/>
  <c r="U218" i="191"/>
  <c r="U21" i="196" s="1"/>
  <c r="AK41" i="196" s="1"/>
  <c r="AK77" i="196" s="1"/>
  <c r="N219" i="191"/>
  <c r="N22" i="196" s="1"/>
  <c r="T42" i="196" s="1"/>
  <c r="O217" i="191"/>
  <c r="O20" i="196" s="1"/>
  <c r="Y218" i="191"/>
  <c r="Y21" i="196" s="1"/>
  <c r="AO41" i="196" s="1"/>
  <c r="AO77" i="196" s="1"/>
  <c r="P219" i="191"/>
  <c r="P22" i="196" s="1"/>
  <c r="AC42" i="196" s="1"/>
  <c r="J218" i="191"/>
  <c r="J21" i="196" s="1"/>
  <c r="J41" i="196" s="1"/>
  <c r="J77" i="196" s="1"/>
  <c r="P217" i="191"/>
  <c r="P20" i="196" s="1"/>
  <c r="AB40" i="196" s="1"/>
  <c r="K218" i="191"/>
  <c r="K21" i="196" s="1"/>
  <c r="K41" i="196" s="1"/>
  <c r="K21" i="197" s="1"/>
  <c r="V217" i="191"/>
  <c r="V20" i="196" s="1"/>
  <c r="AL40" i="196" s="1"/>
  <c r="AL20" i="197" s="1"/>
  <c r="V219" i="191"/>
  <c r="V22" i="196" s="1"/>
  <c r="AL42" i="196" s="1"/>
  <c r="AL22" i="197" s="1"/>
  <c r="U219" i="191"/>
  <c r="U22" i="196" s="1"/>
  <c r="AK42" i="196" s="1"/>
  <c r="AK78" i="196" s="1"/>
  <c r="U239" i="189"/>
  <c r="Y219" i="191"/>
  <c r="Y22" i="196" s="1"/>
  <c r="AO42" i="196" s="1"/>
  <c r="AO22" i="197" s="1"/>
  <c r="K217" i="191"/>
  <c r="K20" i="196" s="1"/>
  <c r="K40" i="196" s="1"/>
  <c r="K20" i="197" s="1"/>
  <c r="W219" i="191"/>
  <c r="W22" i="196" s="1"/>
  <c r="AM42" i="196" s="1"/>
  <c r="AM78" i="196" s="1"/>
  <c r="M218" i="191"/>
  <c r="M21" i="196" s="1"/>
  <c r="Q41" i="196" s="1"/>
  <c r="Q77" i="196" s="1"/>
  <c r="R219" i="191"/>
  <c r="R22" i="196" s="1"/>
  <c r="AH42" i="196" s="1"/>
  <c r="AH22" i="197" s="1"/>
  <c r="O218" i="191"/>
  <c r="O21" i="196" s="1"/>
  <c r="AA41" i="196" s="1"/>
  <c r="K219" i="191"/>
  <c r="K22" i="196" s="1"/>
  <c r="K42" i="196" s="1"/>
  <c r="K22" i="197" s="1"/>
  <c r="X219" i="191"/>
  <c r="X22" i="196" s="1"/>
  <c r="AN42" i="196" s="1"/>
  <c r="AN78" i="196" s="1"/>
  <c r="Q250" i="193"/>
  <c r="Q26" i="196" s="1"/>
  <c r="AG46" i="196" s="1"/>
  <c r="AG82" i="196" s="1"/>
  <c r="N218" i="191"/>
  <c r="N21" i="196" s="1"/>
  <c r="V41" i="196" s="1"/>
  <c r="V21" i="197" s="1"/>
  <c r="R239" i="189"/>
  <c r="Y217" i="191"/>
  <c r="Y20" i="196" s="1"/>
  <c r="AO40" i="196" s="1"/>
  <c r="AO20" i="197" s="1"/>
  <c r="U217" i="191"/>
  <c r="U20" i="196" s="1"/>
  <c r="AK40" i="196" s="1"/>
  <c r="AK20" i="197" s="1"/>
  <c r="J250" i="193"/>
  <c r="J26" i="196" s="1"/>
  <c r="J46" i="196" s="1"/>
  <c r="J82" i="196" s="1"/>
  <c r="K250" i="193"/>
  <c r="K26" i="196" s="1"/>
  <c r="K46" i="196" s="1"/>
  <c r="K82" i="196" s="1"/>
  <c r="Q217" i="191"/>
  <c r="Q20" i="196" s="1"/>
  <c r="AG40" i="196" s="1"/>
  <c r="AG76" i="196" s="1"/>
  <c r="X239" i="189"/>
  <c r="L217" i="191"/>
  <c r="L20" i="196" s="1"/>
  <c r="P40" i="196" s="1"/>
  <c r="T219" i="191"/>
  <c r="T22" i="196" s="1"/>
  <c r="AJ42" i="196" s="1"/>
  <c r="AJ78" i="196" s="1"/>
  <c r="S217" i="191"/>
  <c r="S20" i="196" s="1"/>
  <c r="AI40" i="196" s="1"/>
  <c r="N250" i="193"/>
  <c r="N26" i="196" s="1"/>
  <c r="V46" i="196" s="1"/>
  <c r="V82" i="196" s="1"/>
  <c r="L218" i="191"/>
  <c r="L21" i="196" s="1"/>
  <c r="L41" i="196" s="1"/>
  <c r="L21" i="197" s="1"/>
  <c r="V218" i="191"/>
  <c r="V21" i="196" s="1"/>
  <c r="AL41" i="196" s="1"/>
  <c r="AL21" i="197" s="1"/>
  <c r="S219" i="191"/>
  <c r="S22" i="196" s="1"/>
  <c r="AI42" i="196" s="1"/>
  <c r="AI78" i="196" s="1"/>
  <c r="W218" i="191"/>
  <c r="W21" i="196" s="1"/>
  <c r="AM41" i="196" s="1"/>
  <c r="AM21" i="197" s="1"/>
  <c r="L250" i="193"/>
  <c r="L26" i="196" s="1"/>
  <c r="P46" i="196" s="1"/>
  <c r="O250" i="193"/>
  <c r="O26" i="196" s="1"/>
  <c r="Y46" i="196" s="1"/>
  <c r="P218" i="191"/>
  <c r="P21" i="196" s="1"/>
  <c r="AF41" i="196" s="1"/>
  <c r="P250" i="193"/>
  <c r="P26" i="196" s="1"/>
  <c r="AE46" i="196" s="1"/>
  <c r="X218" i="191"/>
  <c r="X21" i="196" s="1"/>
  <c r="AN41" i="196" s="1"/>
  <c r="AN21" i="197" s="1"/>
  <c r="J219" i="191"/>
  <c r="J22" i="196" s="1"/>
  <c r="J42" i="196" s="1"/>
  <c r="J22" i="197" s="1"/>
  <c r="N217" i="191"/>
  <c r="N20" i="196" s="1"/>
  <c r="R40" i="196" s="1"/>
  <c r="X217" i="191"/>
  <c r="X20" i="196" s="1"/>
  <c r="AN40" i="196" s="1"/>
  <c r="AN20" i="197" s="1"/>
  <c r="T217" i="191"/>
  <c r="T20" i="196" s="1"/>
  <c r="AJ40" i="196" s="1"/>
  <c r="AJ20" i="197" s="1"/>
  <c r="M217" i="191"/>
  <c r="M20" i="196" s="1"/>
  <c r="Q40" i="196" s="1"/>
  <c r="Q20" i="197" s="1"/>
  <c r="Q218" i="191"/>
  <c r="Q21" i="196" s="1"/>
  <c r="AG41" i="196" s="1"/>
  <c r="AG21" i="197" s="1"/>
  <c r="L219" i="191"/>
  <c r="L22" i="196" s="1"/>
  <c r="O42" i="196" s="1"/>
  <c r="T218" i="191"/>
  <c r="T21" i="196" s="1"/>
  <c r="AJ41" i="196" s="1"/>
  <c r="AJ77" i="196" s="1"/>
  <c r="M250" i="193"/>
  <c r="M26" i="196" s="1"/>
  <c r="Q46" i="196" s="1"/>
  <c r="Q26" i="197" s="1"/>
  <c r="Q116" i="197" s="1"/>
  <c r="L239" i="189"/>
  <c r="S239" i="189"/>
  <c r="N239" i="189"/>
  <c r="W239" i="189"/>
  <c r="J239" i="189"/>
  <c r="K239" i="189"/>
  <c r="P239" i="189"/>
  <c r="W217" i="191"/>
  <c r="W20" i="196" s="1"/>
  <c r="AM40" i="196" s="1"/>
  <c r="AM20" i="197" s="1"/>
  <c r="O219" i="191"/>
  <c r="O22" i="196" s="1"/>
  <c r="Y42" i="196" s="1"/>
  <c r="M219" i="191"/>
  <c r="M22" i="196" s="1"/>
  <c r="Q42" i="196" s="1"/>
  <c r="Q78" i="196" s="1"/>
  <c r="S218" i="191"/>
  <c r="S21" i="196" s="1"/>
  <c r="AI41" i="196" s="1"/>
  <c r="AI21" i="197" s="1"/>
  <c r="Q219" i="191"/>
  <c r="Q22" i="196" s="1"/>
  <c r="AG42" i="196" s="1"/>
  <c r="AG78" i="196" s="1"/>
  <c r="T239" i="189"/>
  <c r="V239" i="189"/>
  <c r="R41" i="196"/>
  <c r="R77" i="196" s="1"/>
  <c r="H237" i="189" a="1"/>
  <c r="H237" i="189" s="1"/>
  <c r="Q239" i="189"/>
  <c r="Y239" i="189"/>
  <c r="M239" i="189"/>
  <c r="O239" i="189"/>
  <c r="X250" i="193"/>
  <c r="X26" i="196" s="1"/>
  <c r="AN46" i="196" s="1"/>
  <c r="AN82" i="196" s="1"/>
  <c r="V250" i="193"/>
  <c r="V26" i="196" s="1"/>
  <c r="AL46" i="196" s="1"/>
  <c r="AL82" i="196" s="1"/>
  <c r="T250" i="193"/>
  <c r="T26" i="196" s="1"/>
  <c r="AJ46" i="196" s="1"/>
  <c r="AJ82" i="196" s="1"/>
  <c r="S250" i="193"/>
  <c r="S26" i="196" s="1"/>
  <c r="AI46" i="196" s="1"/>
  <c r="AI26" i="197" s="1"/>
  <c r="AI116" i="197" s="1"/>
  <c r="U250" i="193"/>
  <c r="U26" i="196" s="1"/>
  <c r="AK46" i="196" s="1"/>
  <c r="AK82" i="196" s="1"/>
  <c r="W250" i="193"/>
  <c r="W26" i="196" s="1"/>
  <c r="AM46" i="196" s="1"/>
  <c r="AM26" i="197" s="1"/>
  <c r="AM116" i="197" s="1"/>
  <c r="AM127" i="197" s="1"/>
  <c r="AM156" i="197" s="1"/>
  <c r="AM61" i="198" s="1"/>
  <c r="AM101" i="198" s="1"/>
  <c r="R250" i="193"/>
  <c r="R26" i="196" s="1"/>
  <c r="AH46" i="196" s="1"/>
  <c r="AH82" i="196" s="1"/>
  <c r="Y250" i="193"/>
  <c r="Y26" i="196" s="1"/>
  <c r="AO46" i="196" s="1"/>
  <c r="AO26" i="197" s="1"/>
  <c r="AO116" i="197" s="1"/>
  <c r="AO127" i="197" s="1"/>
  <c r="AO156" i="197" s="1"/>
  <c r="AO61" i="198" s="1"/>
  <c r="AO101" i="198" s="1"/>
  <c r="N256" i="192"/>
  <c r="N24" i="196" s="1"/>
  <c r="T44" i="196" s="1"/>
  <c r="S46" i="196"/>
  <c r="S82" i="196" s="1"/>
  <c r="AK21" i="197"/>
  <c r="AG20" i="197"/>
  <c r="J84" i="194"/>
  <c r="AO21" i="197"/>
  <c r="V121" i="194"/>
  <c r="V153" i="194" s="1"/>
  <c r="K121" i="194"/>
  <c r="K153" i="194" s="1"/>
  <c r="Y121" i="194"/>
  <c r="Y153" i="194" s="1"/>
  <c r="R121" i="194"/>
  <c r="R153" i="194" s="1"/>
  <c r="T121" i="194"/>
  <c r="T153" i="194" s="1"/>
  <c r="P121" i="194"/>
  <c r="P153" i="194" s="1"/>
  <c r="S121" i="194"/>
  <c r="S153" i="194" s="1"/>
  <c r="M121" i="194"/>
  <c r="M153" i="194" s="1"/>
  <c r="W121" i="194"/>
  <c r="W153" i="194" s="1"/>
  <c r="O121" i="194"/>
  <c r="O153" i="194" s="1"/>
  <c r="X121" i="194"/>
  <c r="X153" i="194" s="1"/>
  <c r="N121" i="194"/>
  <c r="N153" i="194" s="1"/>
  <c r="Q121" i="194"/>
  <c r="Q153" i="194" s="1"/>
  <c r="U121" i="194"/>
  <c r="U153" i="194" s="1"/>
  <c r="N123" i="194"/>
  <c r="N155" i="194" s="1"/>
  <c r="X123" i="194"/>
  <c r="X155" i="194" s="1"/>
  <c r="Y123" i="194"/>
  <c r="Y155" i="194" s="1"/>
  <c r="M123" i="194"/>
  <c r="M155" i="194" s="1"/>
  <c r="S123" i="194"/>
  <c r="S155" i="194" s="1"/>
  <c r="Q123" i="194"/>
  <c r="Q155" i="194" s="1"/>
  <c r="R123" i="194"/>
  <c r="R155" i="194" s="1"/>
  <c r="V123" i="194"/>
  <c r="V155" i="194" s="1"/>
  <c r="T123" i="194"/>
  <c r="T155" i="194" s="1"/>
  <c r="W123" i="194"/>
  <c r="W155" i="194" s="1"/>
  <c r="O123" i="194"/>
  <c r="O155" i="194" s="1"/>
  <c r="U123" i="194"/>
  <c r="U155" i="194" s="1"/>
  <c r="P123" i="194"/>
  <c r="P155" i="194" s="1"/>
  <c r="K123" i="194"/>
  <c r="K155" i="194" s="1"/>
  <c r="W42" i="196"/>
  <c r="AI76" i="196"/>
  <c r="AI20" i="197"/>
  <c r="N119" i="194"/>
  <c r="N151" i="194" s="1"/>
  <c r="T119" i="194"/>
  <c r="T151" i="194" s="1"/>
  <c r="P119" i="194"/>
  <c r="P151" i="194" s="1"/>
  <c r="X119" i="194"/>
  <c r="X151" i="194" s="1"/>
  <c r="V119" i="194"/>
  <c r="V151" i="194" s="1"/>
  <c r="W119" i="194"/>
  <c r="W151" i="194" s="1"/>
  <c r="K119" i="194"/>
  <c r="K151" i="194" s="1"/>
  <c r="U119" i="194"/>
  <c r="U151" i="194" s="1"/>
  <c r="Y119" i="194"/>
  <c r="Y151" i="194" s="1"/>
  <c r="Q119" i="194"/>
  <c r="Q151" i="194" s="1"/>
  <c r="S119" i="194"/>
  <c r="S151" i="194" s="1"/>
  <c r="M119" i="194"/>
  <c r="M151" i="194" s="1"/>
  <c r="R119" i="194"/>
  <c r="R151" i="194" s="1"/>
  <c r="O119" i="194"/>
  <c r="O151" i="194" s="1"/>
  <c r="U40" i="196"/>
  <c r="V40" i="196"/>
  <c r="AF40" i="196"/>
  <c r="AE40" i="196"/>
  <c r="AI22" i="197"/>
  <c r="K25" i="197"/>
  <c r="K115" i="197" s="1"/>
  <c r="K81" i="196"/>
  <c r="O114" i="194"/>
  <c r="O146" i="194" s="1"/>
  <c r="M114" i="194"/>
  <c r="M146" i="194" s="1"/>
  <c r="P114" i="194"/>
  <c r="P146" i="194" s="1"/>
  <c r="W114" i="194"/>
  <c r="W146" i="194" s="1"/>
  <c r="S114" i="194"/>
  <c r="S146" i="194" s="1"/>
  <c r="T114" i="194"/>
  <c r="T146" i="194" s="1"/>
  <c r="Y114" i="194"/>
  <c r="Y146" i="194" s="1"/>
  <c r="V114" i="194"/>
  <c r="V146" i="194" s="1"/>
  <c r="N114" i="194"/>
  <c r="N146" i="194" s="1"/>
  <c r="K114" i="194"/>
  <c r="K146" i="194" s="1"/>
  <c r="Q114" i="194"/>
  <c r="Q146" i="194" s="1"/>
  <c r="X114" i="194"/>
  <c r="X146" i="194" s="1"/>
  <c r="U114" i="194"/>
  <c r="U146" i="194" s="1"/>
  <c r="R114" i="194"/>
  <c r="R146" i="194" s="1"/>
  <c r="N115" i="194"/>
  <c r="N147" i="194" s="1"/>
  <c r="K115" i="194"/>
  <c r="K147" i="194" s="1"/>
  <c r="Q115" i="194"/>
  <c r="Q147" i="194" s="1"/>
  <c r="W115" i="194"/>
  <c r="W147" i="194" s="1"/>
  <c r="V115" i="194"/>
  <c r="V147" i="194" s="1"/>
  <c r="Y115" i="194"/>
  <c r="Y147" i="194" s="1"/>
  <c r="T115" i="194"/>
  <c r="T147" i="194" s="1"/>
  <c r="X115" i="194"/>
  <c r="X147" i="194" s="1"/>
  <c r="S115" i="194"/>
  <c r="S147" i="194" s="1"/>
  <c r="M115" i="194"/>
  <c r="M147" i="194" s="1"/>
  <c r="O115" i="194"/>
  <c r="O147" i="194" s="1"/>
  <c r="U115" i="194"/>
  <c r="U147" i="194" s="1"/>
  <c r="P115" i="194"/>
  <c r="P147" i="194" s="1"/>
  <c r="R115" i="194"/>
  <c r="R147" i="194" s="1"/>
  <c r="AG77" i="196"/>
  <c r="N45" i="196"/>
  <c r="L45" i="196"/>
  <c r="O45" i="196"/>
  <c r="M45" i="196"/>
  <c r="P45" i="196"/>
  <c r="J115" i="194"/>
  <c r="J147" i="194" s="1"/>
  <c r="L115" i="194"/>
  <c r="L147" i="194" s="1"/>
  <c r="J119" i="194"/>
  <c r="J151" i="194" s="1"/>
  <c r="L119" i="194"/>
  <c r="L151" i="194" s="1"/>
  <c r="L122" i="194"/>
  <c r="L154" i="194" s="1"/>
  <c r="J122" i="194"/>
  <c r="J154" i="194" s="1"/>
  <c r="AM77" i="196"/>
  <c r="O117" i="194"/>
  <c r="O149" i="194" s="1"/>
  <c r="U117" i="194"/>
  <c r="U149" i="194" s="1"/>
  <c r="W117" i="194"/>
  <c r="W149" i="194" s="1"/>
  <c r="Y117" i="194"/>
  <c r="Y149" i="194" s="1"/>
  <c r="X117" i="194"/>
  <c r="X149" i="194" s="1"/>
  <c r="N117" i="194"/>
  <c r="N149" i="194" s="1"/>
  <c r="Q117" i="194"/>
  <c r="Q149" i="194" s="1"/>
  <c r="K117" i="194"/>
  <c r="K149" i="194" s="1"/>
  <c r="S117" i="194"/>
  <c r="S149" i="194" s="1"/>
  <c r="V117" i="194"/>
  <c r="V149" i="194" s="1"/>
  <c r="R117" i="194"/>
  <c r="R149" i="194" s="1"/>
  <c r="M117" i="194"/>
  <c r="M149" i="194" s="1"/>
  <c r="T117" i="194"/>
  <c r="T149" i="194" s="1"/>
  <c r="P117" i="194"/>
  <c r="P149" i="194" s="1"/>
  <c r="J25" i="197"/>
  <c r="J115" i="197" s="1"/>
  <c r="J81" i="196"/>
  <c r="S45" i="196"/>
  <c r="U45" i="196"/>
  <c r="R45" i="196"/>
  <c r="V45" i="196"/>
  <c r="T45" i="196"/>
  <c r="L118" i="194"/>
  <c r="L150" i="194" s="1"/>
  <c r="J118" i="194"/>
  <c r="J150" i="194" s="1"/>
  <c r="L256" i="192"/>
  <c r="L24" i="196" s="1"/>
  <c r="K256" i="192"/>
  <c r="K24" i="196" s="1"/>
  <c r="K44" i="196" s="1"/>
  <c r="AO78" i="196"/>
  <c r="M256" i="192"/>
  <c r="M24" i="196" s="1"/>
  <c r="Q44" i="196" s="1"/>
  <c r="AE45" i="196"/>
  <c r="AD45" i="196"/>
  <c r="AC45" i="196"/>
  <c r="AF45" i="196"/>
  <c r="AB45" i="196"/>
  <c r="AH21" i="197"/>
  <c r="AH77" i="196"/>
  <c r="Q81" i="196"/>
  <c r="Q25" i="197"/>
  <c r="Q115" i="197" s="1"/>
  <c r="J120" i="194"/>
  <c r="J152" i="194" s="1"/>
  <c r="L120" i="194"/>
  <c r="L152" i="194" s="1"/>
  <c r="AG22" i="197"/>
  <c r="AG25" i="197"/>
  <c r="AG115" i="197" s="1"/>
  <c r="AG81" i="196"/>
  <c r="L116" i="194"/>
  <c r="L148" i="194" s="1"/>
  <c r="J116" i="194"/>
  <c r="J148" i="194" s="1"/>
  <c r="L123" i="194"/>
  <c r="L155" i="194" s="1"/>
  <c r="J123" i="194"/>
  <c r="J155" i="194" s="1"/>
  <c r="AC46" i="196"/>
  <c r="Q21" i="197"/>
  <c r="K122" i="194"/>
  <c r="K154" i="194" s="1"/>
  <c r="X122" i="194"/>
  <c r="X154" i="194" s="1"/>
  <c r="N122" i="194"/>
  <c r="N154" i="194" s="1"/>
  <c r="V122" i="194"/>
  <c r="V154" i="194" s="1"/>
  <c r="S122" i="194"/>
  <c r="S154" i="194" s="1"/>
  <c r="W122" i="194"/>
  <c r="W154" i="194" s="1"/>
  <c r="O122" i="194"/>
  <c r="O154" i="194" s="1"/>
  <c r="T122" i="194"/>
  <c r="T154" i="194" s="1"/>
  <c r="Q122" i="194"/>
  <c r="Q154" i="194" s="1"/>
  <c r="M122" i="194"/>
  <c r="M154" i="194" s="1"/>
  <c r="P122" i="194"/>
  <c r="P154" i="194" s="1"/>
  <c r="U122" i="194"/>
  <c r="U154" i="194" s="1"/>
  <c r="Y122" i="194"/>
  <c r="Y154" i="194" s="1"/>
  <c r="R122" i="194"/>
  <c r="R154" i="194" s="1"/>
  <c r="Q256" i="192"/>
  <c r="Q24" i="196" s="1"/>
  <c r="AG44" i="196" s="1"/>
  <c r="P256" i="192"/>
  <c r="P24" i="196" s="1"/>
  <c r="M118" i="194"/>
  <c r="M150" i="194" s="1"/>
  <c r="O118" i="194"/>
  <c r="O150" i="194" s="1"/>
  <c r="W118" i="194"/>
  <c r="W150" i="194" s="1"/>
  <c r="U118" i="194"/>
  <c r="U150" i="194" s="1"/>
  <c r="S118" i="194"/>
  <c r="S150" i="194" s="1"/>
  <c r="Q118" i="194"/>
  <c r="Q150" i="194" s="1"/>
  <c r="X118" i="194"/>
  <c r="X150" i="194" s="1"/>
  <c r="T118" i="194"/>
  <c r="T150" i="194" s="1"/>
  <c r="V118" i="194"/>
  <c r="V150" i="194" s="1"/>
  <c r="N118" i="194"/>
  <c r="N150" i="194" s="1"/>
  <c r="K118" i="194"/>
  <c r="K150" i="194" s="1"/>
  <c r="R118" i="194"/>
  <c r="R150" i="194" s="1"/>
  <c r="Y118" i="194"/>
  <c r="Y150" i="194" s="1"/>
  <c r="P118" i="194"/>
  <c r="P150" i="194" s="1"/>
  <c r="N116" i="194"/>
  <c r="N148" i="194" s="1"/>
  <c r="U116" i="194"/>
  <c r="U148" i="194" s="1"/>
  <c r="M116" i="194"/>
  <c r="M148" i="194" s="1"/>
  <c r="W116" i="194"/>
  <c r="W148" i="194" s="1"/>
  <c r="Q116" i="194"/>
  <c r="Q148" i="194" s="1"/>
  <c r="O116" i="194"/>
  <c r="O148" i="194" s="1"/>
  <c r="X116" i="194"/>
  <c r="X148" i="194" s="1"/>
  <c r="R116" i="194"/>
  <c r="R148" i="194" s="1"/>
  <c r="S116" i="194"/>
  <c r="S148" i="194" s="1"/>
  <c r="P116" i="194"/>
  <c r="P148" i="194" s="1"/>
  <c r="K116" i="194"/>
  <c r="K148" i="194" s="1"/>
  <c r="T116" i="194"/>
  <c r="T148" i="194" s="1"/>
  <c r="Y116" i="194"/>
  <c r="Y148" i="194" s="1"/>
  <c r="V116" i="194"/>
  <c r="V148" i="194" s="1"/>
  <c r="J141" i="191"/>
  <c r="J217" i="191" s="1"/>
  <c r="J20" i="196" s="1"/>
  <c r="J40" i="196" s="1"/>
  <c r="O256" i="192"/>
  <c r="O24" i="196" s="1"/>
  <c r="Q82" i="196"/>
  <c r="AE41" i="196"/>
  <c r="AD41" i="196"/>
  <c r="AA40" i="196"/>
  <c r="W40" i="196"/>
  <c r="X40" i="196"/>
  <c r="Y40" i="196"/>
  <c r="Z40" i="196"/>
  <c r="L117" i="194"/>
  <c r="L149" i="194" s="1"/>
  <c r="J117" i="194"/>
  <c r="J149" i="194" s="1"/>
  <c r="J256" i="192"/>
  <c r="J24" i="196" s="1"/>
  <c r="J44" i="196" s="1"/>
  <c r="U120" i="194"/>
  <c r="U152" i="194" s="1"/>
  <c r="V120" i="194"/>
  <c r="V152" i="194" s="1"/>
  <c r="X120" i="194"/>
  <c r="X152" i="194" s="1"/>
  <c r="W120" i="194"/>
  <c r="W152" i="194" s="1"/>
  <c r="O120" i="194"/>
  <c r="O152" i="194" s="1"/>
  <c r="K120" i="194"/>
  <c r="K152" i="194" s="1"/>
  <c r="Q120" i="194"/>
  <c r="Q152" i="194" s="1"/>
  <c r="R120" i="194"/>
  <c r="R152" i="194" s="1"/>
  <c r="T120" i="194"/>
  <c r="T152" i="194" s="1"/>
  <c r="S120" i="194"/>
  <c r="S152" i="194" s="1"/>
  <c r="M120" i="194"/>
  <c r="M152" i="194" s="1"/>
  <c r="P120" i="194"/>
  <c r="P152" i="194" s="1"/>
  <c r="Y120" i="194"/>
  <c r="Y152" i="194" s="1"/>
  <c r="N120" i="194"/>
  <c r="N152" i="194" s="1"/>
  <c r="L121" i="194"/>
  <c r="L153" i="194" s="1"/>
  <c r="J121" i="194"/>
  <c r="J153" i="194" s="1"/>
  <c r="Y45" i="196"/>
  <c r="AA45" i="196"/>
  <c r="Z45" i="196"/>
  <c r="W45" i="196"/>
  <c r="X45" i="196"/>
  <c r="AH76" i="196"/>
  <c r="AH20" i="197"/>
  <c r="AF42" i="196" l="1"/>
  <c r="X42" i="196"/>
  <c r="AN22" i="197"/>
  <c r="AN26" i="197"/>
  <c r="AN116" i="197" s="1"/>
  <c r="AG26" i="197"/>
  <c r="AG116" i="197" s="1"/>
  <c r="AG145" i="197" s="1"/>
  <c r="AG174" i="197" s="1"/>
  <c r="AG79" i="198" s="1"/>
  <c r="AG121" i="198" s="1"/>
  <c r="N42" i="196"/>
  <c r="N22" i="197" s="1"/>
  <c r="O40" i="196"/>
  <c r="O76" i="196" s="1"/>
  <c r="V77" i="196"/>
  <c r="Z41" i="196"/>
  <c r="Z21" i="197" s="1"/>
  <c r="U42" i="196"/>
  <c r="U22" i="197" s="1"/>
  <c r="N40" i="196"/>
  <c r="N20" i="197" s="1"/>
  <c r="S42" i="196"/>
  <c r="S22" i="197" s="1"/>
  <c r="R42" i="196"/>
  <c r="R22" i="197" s="1"/>
  <c r="X41" i="196"/>
  <c r="X21" i="197" s="1"/>
  <c r="AL78" i="196"/>
  <c r="K76" i="196"/>
  <c r="K26" i="197"/>
  <c r="K116" i="197" s="1"/>
  <c r="K127" i="197" s="1"/>
  <c r="K156" i="197" s="1"/>
  <c r="K61" i="198" s="1"/>
  <c r="K101" i="198" s="1"/>
  <c r="O41" i="196"/>
  <c r="O21" i="197" s="1"/>
  <c r="W41" i="196"/>
  <c r="W77" i="196" s="1"/>
  <c r="L77" i="196"/>
  <c r="V42" i="196"/>
  <c r="V22" i="197" s="1"/>
  <c r="J26" i="197"/>
  <c r="J116" i="197" s="1"/>
  <c r="J145" i="197" s="1"/>
  <c r="J174" i="197" s="1"/>
  <c r="J79" i="198" s="1"/>
  <c r="J121" i="198" s="1"/>
  <c r="N46" i="196"/>
  <c r="N26" i="197" s="1"/>
  <c r="N116" i="197" s="1"/>
  <c r="J21" i="197"/>
  <c r="T41" i="196"/>
  <c r="T77" i="196" s="1"/>
  <c r="Y41" i="196"/>
  <c r="Y21" i="197" s="1"/>
  <c r="S41" i="196"/>
  <c r="S21" i="197" s="1"/>
  <c r="AD42" i="196"/>
  <c r="AD22" i="197" s="1"/>
  <c r="AK76" i="196"/>
  <c r="AL26" i="197"/>
  <c r="AL116" i="197" s="1"/>
  <c r="AL145" i="197" s="1"/>
  <c r="AL174" i="197" s="1"/>
  <c r="AL79" i="198" s="1"/>
  <c r="AL121" i="198" s="1"/>
  <c r="L42" i="196"/>
  <c r="L22" i="197" s="1"/>
  <c r="AF46" i="196"/>
  <c r="AF26" i="197" s="1"/>
  <c r="AF116" i="197" s="1"/>
  <c r="AH78" i="196"/>
  <c r="Q22" i="197"/>
  <c r="AB42" i="196"/>
  <c r="AB22" i="197" s="1"/>
  <c r="AE42" i="196"/>
  <c r="AE22" i="197" s="1"/>
  <c r="AC41" i="196"/>
  <c r="AC21" i="197" s="1"/>
  <c r="M42" i="196"/>
  <c r="M22" i="197" s="1"/>
  <c r="AB46" i="196"/>
  <c r="AB26" i="197" s="1"/>
  <c r="AB116" i="197" s="1"/>
  <c r="AK26" i="197"/>
  <c r="AK116" i="197" s="1"/>
  <c r="AK127" i="197" s="1"/>
  <c r="AK156" i="197" s="1"/>
  <c r="AK61" i="198" s="1"/>
  <c r="AK101" i="198" s="1"/>
  <c r="K77" i="196"/>
  <c r="AN76" i="196"/>
  <c r="S40" i="196"/>
  <c r="S20" i="197" s="1"/>
  <c r="AL76" i="196"/>
  <c r="Z42" i="196"/>
  <c r="Z78" i="196" s="1"/>
  <c r="AA42" i="196"/>
  <c r="AA78" i="196" s="1"/>
  <c r="AO76" i="196"/>
  <c r="U46" i="196"/>
  <c r="U26" i="197" s="1"/>
  <c r="U116" i="197" s="1"/>
  <c r="U145" i="197" s="1"/>
  <c r="U174" i="197" s="1"/>
  <c r="U79" i="198" s="1"/>
  <c r="U121" i="198" s="1"/>
  <c r="AB41" i="196"/>
  <c r="AB77" i="196" s="1"/>
  <c r="P42" i="196"/>
  <c r="P78" i="196" s="1"/>
  <c r="AD46" i="196"/>
  <c r="AD82" i="196" s="1"/>
  <c r="V26" i="197"/>
  <c r="V116" i="197" s="1"/>
  <c r="V145" i="197" s="1"/>
  <c r="V174" i="197" s="1"/>
  <c r="V79" i="198" s="1"/>
  <c r="V121" i="198" s="1"/>
  <c r="T40" i="196"/>
  <c r="T20" i="197" s="1"/>
  <c r="AJ26" i="197"/>
  <c r="AJ116" i="197" s="1"/>
  <c r="AJ145" i="197" s="1"/>
  <c r="AJ174" i="197" s="1"/>
  <c r="AJ79" i="198" s="1"/>
  <c r="AJ121" i="198" s="1"/>
  <c r="AJ21" i="197"/>
  <c r="O46" i="196"/>
  <c r="O82" i="196" s="1"/>
  <c r="T46" i="196"/>
  <c r="T26" i="197" s="1"/>
  <c r="T116" i="197" s="1"/>
  <c r="T127" i="197" s="1"/>
  <c r="T156" i="197" s="1"/>
  <c r="T61" i="198" s="1"/>
  <c r="T101" i="198" s="1"/>
  <c r="R46" i="196"/>
  <c r="R82" i="196" s="1"/>
  <c r="U41" i="196"/>
  <c r="U21" i="197" s="1"/>
  <c r="AK22" i="197"/>
  <c r="AC40" i="196"/>
  <c r="AC76" i="196" s="1"/>
  <c r="AM22" i="197"/>
  <c r="AD40" i="196"/>
  <c r="AD76" i="196" s="1"/>
  <c r="K78" i="196"/>
  <c r="Q76" i="196"/>
  <c r="AL77" i="196"/>
  <c r="AA46" i="196"/>
  <c r="AA26" i="197" s="1"/>
  <c r="AA116" i="197" s="1"/>
  <c r="AJ22" i="197"/>
  <c r="W46" i="196"/>
  <c r="W82" i="196" s="1"/>
  <c r="J78" i="196"/>
  <c r="X46" i="196"/>
  <c r="X82" i="196" s="1"/>
  <c r="Z46" i="196"/>
  <c r="Z26" i="197" s="1"/>
  <c r="Z116" i="197" s="1"/>
  <c r="AM76" i="196"/>
  <c r="AN77" i="196"/>
  <c r="M40" i="196"/>
  <c r="M20" i="197" s="1"/>
  <c r="M46" i="196"/>
  <c r="M82" i="196" s="1"/>
  <c r="AH26" i="197"/>
  <c r="AH116" i="197" s="1"/>
  <c r="AH136" i="197" s="1"/>
  <c r="AH165" i="197" s="1"/>
  <c r="AH70" i="198" s="1"/>
  <c r="AH111" i="198" s="1"/>
  <c r="AJ76" i="196"/>
  <c r="N41" i="196"/>
  <c r="N77" i="196" s="1"/>
  <c r="L40" i="196"/>
  <c r="L20" i="197" s="1"/>
  <c r="L46" i="196"/>
  <c r="L26" i="197" s="1"/>
  <c r="L116" i="197" s="1"/>
  <c r="R21" i="197"/>
  <c r="P41" i="196"/>
  <c r="P77" i="196" s="1"/>
  <c r="M41" i="196"/>
  <c r="M77" i="196" s="1"/>
  <c r="AI77" i="196"/>
  <c r="H239" i="189"/>
  <c r="H241" i="189" s="1"/>
  <c r="J50" i="55" s="1"/>
  <c r="AI82" i="196"/>
  <c r="AM82" i="196"/>
  <c r="H223" i="191" a="1"/>
  <c r="H223" i="191" s="1"/>
  <c r="J52" i="55" s="1"/>
  <c r="AO82" i="196"/>
  <c r="H254" i="193" a="1"/>
  <c r="H254" i="193" s="1"/>
  <c r="A4" i="193" s="1"/>
  <c r="S26" i="197"/>
  <c r="S116" i="197" s="1"/>
  <c r="S136" i="197" s="1"/>
  <c r="S165" i="197" s="1"/>
  <c r="S70" i="198" s="1"/>
  <c r="S111" i="198" s="1"/>
  <c r="T21" i="197"/>
  <c r="S44" i="196"/>
  <c r="S80" i="196" s="1"/>
  <c r="V44" i="196"/>
  <c r="V24" i="197" s="1"/>
  <c r="V114" i="197" s="1"/>
  <c r="R44" i="196"/>
  <c r="R80" i="196" s="1"/>
  <c r="U44" i="196"/>
  <c r="U24" i="197" s="1"/>
  <c r="U114" i="197" s="1"/>
  <c r="R161" i="194"/>
  <c r="R23" i="196" s="1"/>
  <c r="AH43" i="196" s="1"/>
  <c r="AH79" i="196" s="1"/>
  <c r="X25" i="197"/>
  <c r="X115" i="197" s="1"/>
  <c r="X81" i="196"/>
  <c r="Y25" i="197"/>
  <c r="Y115" i="197" s="1"/>
  <c r="Y81" i="196"/>
  <c r="O78" i="196"/>
  <c r="O22" i="197"/>
  <c r="T161" i="194"/>
  <c r="T23" i="196" s="1"/>
  <c r="AJ43" i="196" s="1"/>
  <c r="W22" i="197"/>
  <c r="W78" i="196"/>
  <c r="AN127" i="197"/>
  <c r="AN156" i="197" s="1"/>
  <c r="AN61" i="198" s="1"/>
  <c r="AN101" i="198" s="1"/>
  <c r="AN145" i="197"/>
  <c r="AN174" i="197" s="1"/>
  <c r="AN79" i="198" s="1"/>
  <c r="AN121" i="198" s="1"/>
  <c r="AC26" i="197"/>
  <c r="AC116" i="197" s="1"/>
  <c r="AC82" i="196"/>
  <c r="AD81" i="196"/>
  <c r="AD25" i="197"/>
  <c r="AD115" i="197" s="1"/>
  <c r="R81" i="196"/>
  <c r="R25" i="197"/>
  <c r="R115" i="197" s="1"/>
  <c r="J135" i="197"/>
  <c r="J164" i="197" s="1"/>
  <c r="J69" i="198" s="1"/>
  <c r="J110" i="198" s="1"/>
  <c r="J126" i="197"/>
  <c r="J155" i="197" s="1"/>
  <c r="J60" i="198" s="1"/>
  <c r="J100" i="198" s="1"/>
  <c r="J144" i="197"/>
  <c r="J173" i="197" s="1"/>
  <c r="J78" i="198" s="1"/>
  <c r="J120" i="198" s="1"/>
  <c r="O25" i="197"/>
  <c r="O115" i="197" s="1"/>
  <c r="O81" i="196"/>
  <c r="U161" i="194"/>
  <c r="U23" i="196" s="1"/>
  <c r="AK43" i="196" s="1"/>
  <c r="N161" i="194"/>
  <c r="N23" i="196" s="1"/>
  <c r="S161" i="194"/>
  <c r="S23" i="196" s="1"/>
  <c r="AI43" i="196" s="1"/>
  <c r="O161" i="194"/>
  <c r="O23" i="196" s="1"/>
  <c r="AE20" i="197"/>
  <c r="AE76" i="196"/>
  <c r="AF20" i="197"/>
  <c r="AF76" i="196"/>
  <c r="V20" i="197"/>
  <c r="V76" i="196"/>
  <c r="L114" i="194"/>
  <c r="L146" i="194" s="1"/>
  <c r="L161" i="194" s="1"/>
  <c r="L23" i="196" s="1"/>
  <c r="J114" i="194"/>
  <c r="AG136" i="197"/>
  <c r="AG165" i="197" s="1"/>
  <c r="AG70" i="198" s="1"/>
  <c r="AG111" i="198" s="1"/>
  <c r="Z20" i="197"/>
  <c r="Z76" i="196"/>
  <c r="Q135" i="197"/>
  <c r="Q164" i="197" s="1"/>
  <c r="Q69" i="198" s="1"/>
  <c r="Q110" i="198" s="1"/>
  <c r="Q126" i="197"/>
  <c r="Q155" i="197" s="1"/>
  <c r="Q60" i="198" s="1"/>
  <c r="Q100" i="198" s="1"/>
  <c r="Q144" i="197"/>
  <c r="Q173" i="197" s="1"/>
  <c r="Q78" i="198" s="1"/>
  <c r="Q120" i="198" s="1"/>
  <c r="AC81" i="196"/>
  <c r="AC25" i="197"/>
  <c r="AC115" i="197" s="1"/>
  <c r="O44" i="196"/>
  <c r="L44" i="196"/>
  <c r="N44" i="196"/>
  <c r="P44" i="196"/>
  <c r="M44" i="196"/>
  <c r="P26" i="197"/>
  <c r="P116" i="197" s="1"/>
  <c r="P82" i="196"/>
  <c r="M81" i="196"/>
  <c r="M25" i="197"/>
  <c r="M115" i="197" s="1"/>
  <c r="K161" i="194"/>
  <c r="K23" i="196" s="1"/>
  <c r="K43" i="196" s="1"/>
  <c r="AB20" i="197"/>
  <c r="AB76" i="196"/>
  <c r="R20" i="197"/>
  <c r="R76" i="196"/>
  <c r="W25" i="197"/>
  <c r="W115" i="197" s="1"/>
  <c r="W81" i="196"/>
  <c r="J24" i="197"/>
  <c r="J114" i="197" s="1"/>
  <c r="J80" i="196"/>
  <c r="Y20" i="197"/>
  <c r="Y76" i="196"/>
  <c r="AF77" i="196"/>
  <c r="AF21" i="197"/>
  <c r="N78" i="196"/>
  <c r="AA77" i="196"/>
  <c r="AA21" i="197"/>
  <c r="AB44" i="196"/>
  <c r="AF44" i="196"/>
  <c r="AE44" i="196"/>
  <c r="AC44" i="196"/>
  <c r="AD44" i="196"/>
  <c r="Z81" i="196"/>
  <c r="Z25" i="197"/>
  <c r="Z115" i="197" s="1"/>
  <c r="AI145" i="197"/>
  <c r="AI174" i="197" s="1"/>
  <c r="AI79" i="198" s="1"/>
  <c r="AI121" i="198" s="1"/>
  <c r="AI127" i="197"/>
  <c r="AI156" i="197" s="1"/>
  <c r="AI61" i="198" s="1"/>
  <c r="AI101" i="198" s="1"/>
  <c r="X20" i="197"/>
  <c r="X76" i="196"/>
  <c r="AD21" i="197"/>
  <c r="AD77" i="196"/>
  <c r="Z77" i="196"/>
  <c r="J76" i="196"/>
  <c r="J20" i="197"/>
  <c r="AG24" i="197"/>
  <c r="AG114" i="197" s="1"/>
  <c r="AG80" i="196"/>
  <c r="AE26" i="197"/>
  <c r="AE116" i="197" s="1"/>
  <c r="AE82" i="196"/>
  <c r="AB25" i="197"/>
  <c r="AB115" i="197" s="1"/>
  <c r="AB81" i="196"/>
  <c r="AE25" i="197"/>
  <c r="AE115" i="197" s="1"/>
  <c r="AE81" i="196"/>
  <c r="U81" i="196"/>
  <c r="U25" i="197"/>
  <c r="U115" i="197" s="1"/>
  <c r="L81" i="196"/>
  <c r="L25" i="197"/>
  <c r="L115" i="197" s="1"/>
  <c r="X161" i="194"/>
  <c r="X23" i="196" s="1"/>
  <c r="AN43" i="196" s="1"/>
  <c r="V161" i="194"/>
  <c r="V23" i="196" s="1"/>
  <c r="AL43" i="196" s="1"/>
  <c r="W161" i="194"/>
  <c r="W23" i="196" s="1"/>
  <c r="AM43" i="196" s="1"/>
  <c r="U20" i="197"/>
  <c r="U76" i="196"/>
  <c r="Y22" i="197"/>
  <c r="Y78" i="196"/>
  <c r="P20" i="197"/>
  <c r="P76" i="196"/>
  <c r="AF22" i="197"/>
  <c r="AF78" i="196"/>
  <c r="AA20" i="197"/>
  <c r="AA76" i="196"/>
  <c r="R78" i="196"/>
  <c r="V81" i="196"/>
  <c r="V25" i="197"/>
  <c r="V115" i="197" s="1"/>
  <c r="M161" i="194"/>
  <c r="M23" i="196" s="1"/>
  <c r="Q43" i="196" s="1"/>
  <c r="H291" i="192" a="1"/>
  <c r="H291" i="192" s="1"/>
  <c r="H295" i="192" s="1"/>
  <c r="T80" i="196"/>
  <c r="T24" i="197"/>
  <c r="T114" i="197" s="1"/>
  <c r="AA25" i="197"/>
  <c r="AA115" i="197" s="1"/>
  <c r="AA81" i="196"/>
  <c r="AC22" i="197"/>
  <c r="AC78" i="196"/>
  <c r="W20" i="197"/>
  <c r="W76" i="196"/>
  <c r="AE21" i="197"/>
  <c r="AE77" i="196"/>
  <c r="Q127" i="197"/>
  <c r="Q156" i="197" s="1"/>
  <c r="Q61" i="198" s="1"/>
  <c r="Q101" i="198" s="1"/>
  <c r="Q145" i="197"/>
  <c r="Q174" i="197" s="1"/>
  <c r="Q79" i="198" s="1"/>
  <c r="Q121" i="198" s="1"/>
  <c r="Q136" i="197"/>
  <c r="Q165" i="197" s="1"/>
  <c r="Q70" i="198" s="1"/>
  <c r="Q111" i="198" s="1"/>
  <c r="Y44" i="196"/>
  <c r="W44" i="196"/>
  <c r="AA44" i="196"/>
  <c r="X44" i="196"/>
  <c r="Z44" i="196"/>
  <c r="AG144" i="197"/>
  <c r="AG173" i="197" s="1"/>
  <c r="AG78" i="198" s="1"/>
  <c r="AG120" i="198" s="1"/>
  <c r="AG126" i="197"/>
  <c r="AG155" i="197" s="1"/>
  <c r="AG60" i="198" s="1"/>
  <c r="AG100" i="198" s="1"/>
  <c r="AG135" i="197"/>
  <c r="AG164" i="197" s="1"/>
  <c r="AG69" i="198" s="1"/>
  <c r="AG110" i="198" s="1"/>
  <c r="AF25" i="197"/>
  <c r="AF115" i="197" s="1"/>
  <c r="AF81" i="196"/>
  <c r="Q24" i="197"/>
  <c r="Q114" i="197" s="1"/>
  <c r="Q80" i="196"/>
  <c r="T22" i="197"/>
  <c r="T78" i="196"/>
  <c r="K80" i="196"/>
  <c r="K24" i="197"/>
  <c r="K114" i="197" s="1"/>
  <c r="T25" i="197"/>
  <c r="T115" i="197" s="1"/>
  <c r="T81" i="196"/>
  <c r="S81" i="196"/>
  <c r="S25" i="197"/>
  <c r="S115" i="197" s="1"/>
  <c r="P25" i="197"/>
  <c r="P115" i="197" s="1"/>
  <c r="P81" i="196"/>
  <c r="N81" i="196"/>
  <c r="N25" i="197"/>
  <c r="N115" i="197" s="1"/>
  <c r="Q161" i="194"/>
  <c r="Q23" i="196" s="1"/>
  <c r="AG43" i="196" s="1"/>
  <c r="Y161" i="194"/>
  <c r="Y23" i="196" s="1"/>
  <c r="AO43" i="196" s="1"/>
  <c r="P161" i="194"/>
  <c r="P23" i="196" s="1"/>
  <c r="K135" i="197"/>
  <c r="K164" i="197" s="1"/>
  <c r="K69" i="198" s="1"/>
  <c r="K110" i="198" s="1"/>
  <c r="K126" i="197"/>
  <c r="K155" i="197" s="1"/>
  <c r="K60" i="198" s="1"/>
  <c r="K100" i="198" s="1"/>
  <c r="K144" i="197"/>
  <c r="K173" i="197" s="1"/>
  <c r="K78" i="198" s="1"/>
  <c r="K120" i="198" s="1"/>
  <c r="Y26" i="197"/>
  <c r="Y116" i="197" s="1"/>
  <c r="Y82" i="196"/>
  <c r="X78" i="196"/>
  <c r="X22" i="197"/>
  <c r="T145" i="197" l="1"/>
  <c r="T174" i="197" s="1"/>
  <c r="T79" i="198" s="1"/>
  <c r="T121" i="198" s="1"/>
  <c r="V78" i="196"/>
  <c r="AC20" i="197"/>
  <c r="T136" i="197"/>
  <c r="T165" i="197" s="1"/>
  <c r="T70" i="198" s="1"/>
  <c r="T111" i="198" s="1"/>
  <c r="AB21" i="197"/>
  <c r="AG127" i="197"/>
  <c r="AG156" i="197" s="1"/>
  <c r="AG61" i="198" s="1"/>
  <c r="AG101" i="198" s="1"/>
  <c r="K136" i="197"/>
  <c r="K165" i="197" s="1"/>
  <c r="K70" i="198" s="1"/>
  <c r="K111" i="198" s="1"/>
  <c r="AD20" i="197"/>
  <c r="W21" i="197"/>
  <c r="AH83" i="196"/>
  <c r="T76" i="196"/>
  <c r="O20" i="197"/>
  <c r="AB78" i="196"/>
  <c r="N76" i="196"/>
  <c r="N82" i="196"/>
  <c r="T82" i="196"/>
  <c r="Z22" i="197"/>
  <c r="K145" i="197"/>
  <c r="K174" i="197" s="1"/>
  <c r="K79" i="198" s="1"/>
  <c r="K121" i="198" s="1"/>
  <c r="AC77" i="196"/>
  <c r="AE78" i="196"/>
  <c r="S78" i="196"/>
  <c r="W26" i="197"/>
  <c r="W116" i="197" s="1"/>
  <c r="W145" i="197" s="1"/>
  <c r="W174" i="197" s="1"/>
  <c r="W79" i="198" s="1"/>
  <c r="W121" i="198" s="1"/>
  <c r="U78" i="196"/>
  <c r="X77" i="196"/>
  <c r="M78" i="196"/>
  <c r="AA22" i="197"/>
  <c r="O77" i="196"/>
  <c r="S77" i="196"/>
  <c r="O26" i="197"/>
  <c r="O116" i="197" s="1"/>
  <c r="O145" i="197" s="1"/>
  <c r="O174" i="197" s="1"/>
  <c r="O79" i="198" s="1"/>
  <c r="O121" i="198" s="1"/>
  <c r="AF82" i="196"/>
  <c r="L76" i="196"/>
  <c r="U127" i="197"/>
  <c r="U156" i="197" s="1"/>
  <c r="U61" i="198" s="1"/>
  <c r="U101" i="198" s="1"/>
  <c r="U82" i="196"/>
  <c r="V136" i="197"/>
  <c r="V165" i="197" s="1"/>
  <c r="V70" i="198" s="1"/>
  <c r="V111" i="198" s="1"/>
  <c r="U136" i="197"/>
  <c r="U165" i="197" s="1"/>
  <c r="U70" i="198" s="1"/>
  <c r="U111" i="198" s="1"/>
  <c r="M26" i="197"/>
  <c r="M116" i="197" s="1"/>
  <c r="M145" i="197" s="1"/>
  <c r="M174" i="197" s="1"/>
  <c r="M79" i="198" s="1"/>
  <c r="M121" i="198" s="1"/>
  <c r="Z82" i="196"/>
  <c r="V127" i="197"/>
  <c r="V156" i="197" s="1"/>
  <c r="V61" i="198" s="1"/>
  <c r="V101" i="198" s="1"/>
  <c r="AD78" i="196"/>
  <c r="M21" i="197"/>
  <c r="P22" i="197"/>
  <c r="J127" i="197"/>
  <c r="J156" i="197" s="1"/>
  <c r="J61" i="198" s="1"/>
  <c r="J101" i="198" s="1"/>
  <c r="Y77" i="196"/>
  <c r="AJ136" i="197"/>
  <c r="AJ165" i="197" s="1"/>
  <c r="AJ70" i="198" s="1"/>
  <c r="AJ111" i="198" s="1"/>
  <c r="AL127" i="197"/>
  <c r="AL156" i="197" s="1"/>
  <c r="AL61" i="198" s="1"/>
  <c r="AL101" i="198" s="1"/>
  <c r="J136" i="197"/>
  <c r="J165" i="197" s="1"/>
  <c r="J70" i="198" s="1"/>
  <c r="J111" i="198" s="1"/>
  <c r="AJ127" i="197"/>
  <c r="AJ156" i="197" s="1"/>
  <c r="AJ61" i="198" s="1"/>
  <c r="AJ101" i="198" s="1"/>
  <c r="L82" i="196"/>
  <c r="S76" i="196"/>
  <c r="L78" i="196"/>
  <c r="AB82" i="196"/>
  <c r="AD26" i="197"/>
  <c r="AD116" i="197" s="1"/>
  <c r="AD145" i="197" s="1"/>
  <c r="AD174" i="197" s="1"/>
  <c r="AD79" i="198" s="1"/>
  <c r="AD121" i="198" s="1"/>
  <c r="R26" i="197"/>
  <c r="R116" i="197" s="1"/>
  <c r="R136" i="197" s="1"/>
  <c r="R165" i="197" s="1"/>
  <c r="R70" i="198" s="1"/>
  <c r="R111" i="198" s="1"/>
  <c r="U77" i="196"/>
  <c r="A4" i="189"/>
  <c r="AA82" i="196"/>
  <c r="X26" i="197"/>
  <c r="X116" i="197" s="1"/>
  <c r="X127" i="197" s="1"/>
  <c r="X156" i="197" s="1"/>
  <c r="X61" i="198" s="1"/>
  <c r="X101" i="198" s="1"/>
  <c r="M76" i="196"/>
  <c r="P21" i="197"/>
  <c r="N21" i="197"/>
  <c r="AH145" i="197"/>
  <c r="AH174" i="197" s="1"/>
  <c r="AH79" i="198" s="1"/>
  <c r="AH121" i="198" s="1"/>
  <c r="AH127" i="197"/>
  <c r="AH156" i="197" s="1"/>
  <c r="AH61" i="198" s="1"/>
  <c r="AH101" i="198" s="1"/>
  <c r="A4" i="191"/>
  <c r="J54" i="55"/>
  <c r="R24" i="197"/>
  <c r="R114" i="197" s="1"/>
  <c r="R143" i="197" s="1"/>
  <c r="R172" i="197" s="1"/>
  <c r="R77" i="198" s="1"/>
  <c r="R119" i="198" s="1"/>
  <c r="S127" i="197"/>
  <c r="S156" i="197" s="1"/>
  <c r="S61" i="198" s="1"/>
  <c r="S101" i="198" s="1"/>
  <c r="S145" i="197"/>
  <c r="S174" i="197" s="1"/>
  <c r="S79" i="198" s="1"/>
  <c r="S121" i="198" s="1"/>
  <c r="S24" i="197"/>
  <c r="S114" i="197" s="1"/>
  <c r="S134" i="197" s="1"/>
  <c r="S163" i="197" s="1"/>
  <c r="S68" i="198" s="1"/>
  <c r="S109" i="198" s="1"/>
  <c r="U80" i="196"/>
  <c r="AH23" i="197"/>
  <c r="V80" i="196"/>
  <c r="H81" i="196"/>
  <c r="AG79" i="196"/>
  <c r="AG83" i="196" s="1"/>
  <c r="AG23" i="197"/>
  <c r="P144" i="197"/>
  <c r="P173" i="197" s="1"/>
  <c r="P78" i="198" s="1"/>
  <c r="P120" i="198" s="1"/>
  <c r="P126" i="197"/>
  <c r="P155" i="197" s="1"/>
  <c r="P60" i="198" s="1"/>
  <c r="P100" i="198" s="1"/>
  <c r="P135" i="197"/>
  <c r="P164" i="197" s="1"/>
  <c r="P69" i="198" s="1"/>
  <c r="P110" i="198" s="1"/>
  <c r="Q143" i="197"/>
  <c r="Q172" i="197" s="1"/>
  <c r="Q77" i="198" s="1"/>
  <c r="Q119" i="198" s="1"/>
  <c r="Q125" i="197"/>
  <c r="Q154" i="197" s="1"/>
  <c r="Q59" i="198" s="1"/>
  <c r="Q99" i="198" s="1"/>
  <c r="Q134" i="197"/>
  <c r="Q163" i="197" s="1"/>
  <c r="Q68" i="198" s="1"/>
  <c r="Q109" i="198" s="1"/>
  <c r="X80" i="196"/>
  <c r="X24" i="197"/>
  <c r="X114" i="197" s="1"/>
  <c r="AA126" i="197"/>
  <c r="AA155" i="197" s="1"/>
  <c r="AA60" i="198" s="1"/>
  <c r="AA100" i="198" s="1"/>
  <c r="AA144" i="197"/>
  <c r="AA173" i="197" s="1"/>
  <c r="AA78" i="198" s="1"/>
  <c r="AA120" i="198" s="1"/>
  <c r="Q79" i="196"/>
  <c r="Q83" i="196" s="1"/>
  <c r="Q23" i="197"/>
  <c r="L144" i="197"/>
  <c r="L173" i="197" s="1"/>
  <c r="L78" i="198" s="1"/>
  <c r="L120" i="198" s="1"/>
  <c r="L135" i="197"/>
  <c r="L164" i="197" s="1"/>
  <c r="L69" i="198" s="1"/>
  <c r="L110" i="198" s="1"/>
  <c r="L126" i="197"/>
  <c r="L155" i="197" s="1"/>
  <c r="L60" i="198" s="1"/>
  <c r="L100" i="198" s="1"/>
  <c r="U144" i="197"/>
  <c r="U173" i="197" s="1"/>
  <c r="U78" i="198" s="1"/>
  <c r="U120" i="198" s="1"/>
  <c r="U126" i="197"/>
  <c r="U155" i="197" s="1"/>
  <c r="U60" i="198" s="1"/>
  <c r="U100" i="198" s="1"/>
  <c r="U135" i="197"/>
  <c r="U164" i="197" s="1"/>
  <c r="U69" i="198" s="1"/>
  <c r="U110" i="198" s="1"/>
  <c r="AB144" i="197"/>
  <c r="AB173" i="197" s="1"/>
  <c r="AB78" i="198" s="1"/>
  <c r="AB120" i="198" s="1"/>
  <c r="AB126" i="197"/>
  <c r="AB155" i="197" s="1"/>
  <c r="AB60" i="198" s="1"/>
  <c r="AB100" i="198" s="1"/>
  <c r="AC24" i="197"/>
  <c r="AC114" i="197" s="1"/>
  <c r="AC80" i="196"/>
  <c r="J134" i="197"/>
  <c r="J163" i="197" s="1"/>
  <c r="J68" i="198" s="1"/>
  <c r="J109" i="198" s="1"/>
  <c r="J125" i="197"/>
  <c r="J154" i="197" s="1"/>
  <c r="J59" i="198" s="1"/>
  <c r="J99" i="198" s="1"/>
  <c r="J143" i="197"/>
  <c r="J172" i="197" s="1"/>
  <c r="J77" i="198" s="1"/>
  <c r="J119" i="198" s="1"/>
  <c r="M24" i="197"/>
  <c r="M114" i="197" s="1"/>
  <c r="M80" i="196"/>
  <c r="O24" i="197"/>
  <c r="O114" i="197" s="1"/>
  <c r="O80" i="196"/>
  <c r="AI23" i="197"/>
  <c r="AI79" i="196"/>
  <c r="AI83" i="196" s="1"/>
  <c r="O126" i="197"/>
  <c r="O155" i="197" s="1"/>
  <c r="O60" i="198" s="1"/>
  <c r="O100" i="198" s="1"/>
  <c r="O144" i="197"/>
  <c r="O173" i="197" s="1"/>
  <c r="O78" i="198" s="1"/>
  <c r="O120" i="198" s="1"/>
  <c r="O135" i="197"/>
  <c r="O164" i="197" s="1"/>
  <c r="O69" i="198" s="1"/>
  <c r="O110" i="198" s="1"/>
  <c r="AC145" i="197"/>
  <c r="AC174" i="197" s="1"/>
  <c r="AC79" i="198" s="1"/>
  <c r="AC121" i="198" s="1"/>
  <c r="AC127" i="197"/>
  <c r="AC156" i="197" s="1"/>
  <c r="AC61" i="198" s="1"/>
  <c r="AC101" i="198" s="1"/>
  <c r="Y144" i="197"/>
  <c r="Y173" i="197" s="1"/>
  <c r="Y78" i="198" s="1"/>
  <c r="Y120" i="198" s="1"/>
  <c r="Y126" i="197"/>
  <c r="Y155" i="197" s="1"/>
  <c r="Y60" i="198" s="1"/>
  <c r="Y100" i="198" s="1"/>
  <c r="N144" i="197"/>
  <c r="N173" i="197" s="1"/>
  <c r="N78" i="198" s="1"/>
  <c r="N120" i="198" s="1"/>
  <c r="N135" i="197"/>
  <c r="N164" i="197" s="1"/>
  <c r="N69" i="198" s="1"/>
  <c r="N110" i="198" s="1"/>
  <c r="N126" i="197"/>
  <c r="N155" i="197" s="1"/>
  <c r="N60" i="198" s="1"/>
  <c r="N100" i="198" s="1"/>
  <c r="AA24" i="197"/>
  <c r="AA114" i="197" s="1"/>
  <c r="AA80" i="196"/>
  <c r="T134" i="197"/>
  <c r="T163" i="197" s="1"/>
  <c r="T68" i="198" s="1"/>
  <c r="T109" i="198" s="1"/>
  <c r="T125" i="197"/>
  <c r="T154" i="197" s="1"/>
  <c r="T59" i="198" s="1"/>
  <c r="T99" i="198" s="1"/>
  <c r="T143" i="197"/>
  <c r="T172" i="197" s="1"/>
  <c r="T77" i="198" s="1"/>
  <c r="T119" i="198" s="1"/>
  <c r="V144" i="197"/>
  <c r="V173" i="197" s="1"/>
  <c r="V78" i="198" s="1"/>
  <c r="V120" i="198" s="1"/>
  <c r="V126" i="197"/>
  <c r="V155" i="197" s="1"/>
  <c r="V60" i="198" s="1"/>
  <c r="V100" i="198" s="1"/>
  <c r="V135" i="197"/>
  <c r="V164" i="197" s="1"/>
  <c r="V69" i="198" s="1"/>
  <c r="V110" i="198" s="1"/>
  <c r="Z127" i="197"/>
  <c r="Z156" i="197" s="1"/>
  <c r="Z61" i="198" s="1"/>
  <c r="Z101" i="198" s="1"/>
  <c r="Z145" i="197"/>
  <c r="Z174" i="197" s="1"/>
  <c r="Z79" i="198" s="1"/>
  <c r="Z121" i="198" s="1"/>
  <c r="AM23" i="197"/>
  <c r="AM79" i="196"/>
  <c r="AM83" i="196" s="1"/>
  <c r="AE127" i="197"/>
  <c r="AE156" i="197" s="1"/>
  <c r="AE61" i="198" s="1"/>
  <c r="AE101" i="198" s="1"/>
  <c r="AE145" i="197"/>
  <c r="AE174" i="197" s="1"/>
  <c r="AE79" i="198" s="1"/>
  <c r="AE121" i="198" s="1"/>
  <c r="AE24" i="197"/>
  <c r="AE114" i="197" s="1"/>
  <c r="AE80" i="196"/>
  <c r="P136" i="197"/>
  <c r="P165" i="197" s="1"/>
  <c r="P70" i="198" s="1"/>
  <c r="P111" i="198" s="1"/>
  <c r="P145" i="197"/>
  <c r="P174" i="197" s="1"/>
  <c r="P79" i="198" s="1"/>
  <c r="P121" i="198" s="1"/>
  <c r="P127" i="197"/>
  <c r="P156" i="197" s="1"/>
  <c r="P61" i="198" s="1"/>
  <c r="P101" i="198" s="1"/>
  <c r="P80" i="196"/>
  <c r="P24" i="197"/>
  <c r="P114" i="197" s="1"/>
  <c r="AC144" i="197"/>
  <c r="AC173" i="197" s="1"/>
  <c r="AC78" i="198" s="1"/>
  <c r="AC120" i="198" s="1"/>
  <c r="AC126" i="197"/>
  <c r="AC155" i="197" s="1"/>
  <c r="AC60" i="198" s="1"/>
  <c r="AC100" i="198" s="1"/>
  <c r="J146" i="194"/>
  <c r="J161" i="194" s="1"/>
  <c r="J23" i="196" s="1"/>
  <c r="J43" i="196" s="1"/>
  <c r="V43" i="196"/>
  <c r="S43" i="196"/>
  <c r="T43" i="196"/>
  <c r="U43" i="196"/>
  <c r="R43" i="196"/>
  <c r="AD144" i="197"/>
  <c r="AD173" i="197" s="1"/>
  <c r="AD78" i="198" s="1"/>
  <c r="AD120" i="198" s="1"/>
  <c r="AD126" i="197"/>
  <c r="AD155" i="197" s="1"/>
  <c r="AD60" i="198" s="1"/>
  <c r="AD100" i="198" s="1"/>
  <c r="AJ23" i="197"/>
  <c r="AJ79" i="196"/>
  <c r="AJ83" i="196" s="1"/>
  <c r="Y145" i="197"/>
  <c r="Y174" i="197" s="1"/>
  <c r="Y79" i="198" s="1"/>
  <c r="Y121" i="198" s="1"/>
  <c r="Y127" i="197"/>
  <c r="Y156" i="197" s="1"/>
  <c r="Y61" i="198" s="1"/>
  <c r="Y101" i="198" s="1"/>
  <c r="AO23" i="197"/>
  <c r="AO79" i="196"/>
  <c r="AO83" i="196" s="1"/>
  <c r="S144" i="197"/>
  <c r="S173" i="197" s="1"/>
  <c r="S78" i="198" s="1"/>
  <c r="S120" i="198" s="1"/>
  <c r="S135" i="197"/>
  <c r="S164" i="197" s="1"/>
  <c r="S69" i="198" s="1"/>
  <c r="S110" i="198" s="1"/>
  <c r="S126" i="197"/>
  <c r="S155" i="197" s="1"/>
  <c r="S60" i="198" s="1"/>
  <c r="S100" i="198" s="1"/>
  <c r="K125" i="197"/>
  <c r="K154" i="197" s="1"/>
  <c r="K59" i="198" s="1"/>
  <c r="K99" i="198" s="1"/>
  <c r="K143" i="197"/>
  <c r="K172" i="197" s="1"/>
  <c r="K77" i="198" s="1"/>
  <c r="K119" i="198" s="1"/>
  <c r="K134" i="197"/>
  <c r="K163" i="197" s="1"/>
  <c r="K68" i="198" s="1"/>
  <c r="K109" i="198" s="1"/>
  <c r="AF145" i="197"/>
  <c r="AF174" i="197" s="1"/>
  <c r="AF79" i="198" s="1"/>
  <c r="AF121" i="198" s="1"/>
  <c r="AF127" i="197"/>
  <c r="AF156" i="197" s="1"/>
  <c r="AF61" i="198" s="1"/>
  <c r="AF101" i="198" s="1"/>
  <c r="Z80" i="196"/>
  <c r="Z24" i="197"/>
  <c r="Z114" i="197" s="1"/>
  <c r="Y24" i="197"/>
  <c r="Y114" i="197" s="1"/>
  <c r="Y80" i="196"/>
  <c r="AF43" i="196"/>
  <c r="AE43" i="196"/>
  <c r="AC43" i="196"/>
  <c r="AD43" i="196"/>
  <c r="AB43" i="196"/>
  <c r="T144" i="197"/>
  <c r="T173" i="197" s="1"/>
  <c r="T78" i="198" s="1"/>
  <c r="T120" i="198" s="1"/>
  <c r="T126" i="197"/>
  <c r="T155" i="197" s="1"/>
  <c r="T60" i="198" s="1"/>
  <c r="T100" i="198" s="1"/>
  <c r="T135" i="197"/>
  <c r="T164" i="197" s="1"/>
  <c r="T69" i="198" s="1"/>
  <c r="T110" i="198" s="1"/>
  <c r="AF126" i="197"/>
  <c r="AF155" i="197" s="1"/>
  <c r="AF60" i="198" s="1"/>
  <c r="AF100" i="198" s="1"/>
  <c r="AF144" i="197"/>
  <c r="AF173" i="197" s="1"/>
  <c r="AF78" i="198" s="1"/>
  <c r="AF120" i="198" s="1"/>
  <c r="W80" i="196"/>
  <c r="W24" i="197"/>
  <c r="W114" i="197" s="1"/>
  <c r="AL79" i="196"/>
  <c r="AL83" i="196" s="1"/>
  <c r="AL23" i="197"/>
  <c r="AE126" i="197"/>
  <c r="AE155" i="197" s="1"/>
  <c r="AE60" i="198" s="1"/>
  <c r="AE100" i="198" s="1"/>
  <c r="AE144" i="197"/>
  <c r="AE173" i="197" s="1"/>
  <c r="AE78" i="198" s="1"/>
  <c r="AE120" i="198" s="1"/>
  <c r="Z126" i="197"/>
  <c r="Z155" i="197" s="1"/>
  <c r="Z60" i="198" s="1"/>
  <c r="Z100" i="198" s="1"/>
  <c r="Z144" i="197"/>
  <c r="Z173" i="197" s="1"/>
  <c r="Z78" i="198" s="1"/>
  <c r="Z120" i="198" s="1"/>
  <c r="AF24" i="197"/>
  <c r="AF114" i="197" s="1"/>
  <c r="AF80" i="196"/>
  <c r="M126" i="197"/>
  <c r="M155" i="197" s="1"/>
  <c r="M60" i="198" s="1"/>
  <c r="M100" i="198" s="1"/>
  <c r="M144" i="197"/>
  <c r="M173" i="197" s="1"/>
  <c r="M78" i="198" s="1"/>
  <c r="M120" i="198" s="1"/>
  <c r="M135" i="197"/>
  <c r="M164" i="197" s="1"/>
  <c r="M69" i="198" s="1"/>
  <c r="M110" i="198" s="1"/>
  <c r="L127" i="197"/>
  <c r="L156" i="197" s="1"/>
  <c r="L61" i="198" s="1"/>
  <c r="L101" i="198" s="1"/>
  <c r="L145" i="197"/>
  <c r="L174" i="197" s="1"/>
  <c r="L79" i="198" s="1"/>
  <c r="L121" i="198" s="1"/>
  <c r="L136" i="197"/>
  <c r="L165" i="197" s="1"/>
  <c r="L70" i="198" s="1"/>
  <c r="L111" i="198" s="1"/>
  <c r="N80" i="196"/>
  <c r="N24" i="197"/>
  <c r="N114" i="197" s="1"/>
  <c r="N43" i="196"/>
  <c r="O43" i="196"/>
  <c r="L43" i="196"/>
  <c r="P43" i="196"/>
  <c r="M43" i="196"/>
  <c r="AK79" i="196"/>
  <c r="AK83" i="196" s="1"/>
  <c r="AK23" i="197"/>
  <c r="N145" i="197"/>
  <c r="N174" i="197" s="1"/>
  <c r="N79" i="198" s="1"/>
  <c r="N121" i="198" s="1"/>
  <c r="N136" i="197"/>
  <c r="N165" i="197" s="1"/>
  <c r="N70" i="198" s="1"/>
  <c r="N111" i="198" s="1"/>
  <c r="N127" i="197"/>
  <c r="N156" i="197" s="1"/>
  <c r="N61" i="198" s="1"/>
  <c r="N101" i="198" s="1"/>
  <c r="X144" i="197"/>
  <c r="X173" i="197" s="1"/>
  <c r="X78" i="198" s="1"/>
  <c r="X120" i="198" s="1"/>
  <c r="X126" i="197"/>
  <c r="X155" i="197" s="1"/>
  <c r="X60" i="198" s="1"/>
  <c r="X100" i="198" s="1"/>
  <c r="A4" i="192"/>
  <c r="J53" i="55"/>
  <c r="AN23" i="197"/>
  <c r="AN79" i="196"/>
  <c r="AN83" i="196" s="1"/>
  <c r="AG134" i="197"/>
  <c r="AG163" i="197" s="1"/>
  <c r="AG68" i="198" s="1"/>
  <c r="AG109" i="198" s="1"/>
  <c r="AG143" i="197"/>
  <c r="AG172" i="197" s="1"/>
  <c r="AG77" i="198" s="1"/>
  <c r="AG119" i="198" s="1"/>
  <c r="AG125" i="197"/>
  <c r="AG154" i="197" s="1"/>
  <c r="AG59" i="198" s="1"/>
  <c r="AG99" i="198" s="1"/>
  <c r="U125" i="197"/>
  <c r="U154" i="197" s="1"/>
  <c r="U59" i="198" s="1"/>
  <c r="U99" i="198" s="1"/>
  <c r="U143" i="197"/>
  <c r="U172" i="197" s="1"/>
  <c r="U77" i="198" s="1"/>
  <c r="U119" i="198" s="1"/>
  <c r="U134" i="197"/>
  <c r="U163" i="197" s="1"/>
  <c r="U68" i="198" s="1"/>
  <c r="U109" i="198" s="1"/>
  <c r="AD24" i="197"/>
  <c r="AD114" i="197" s="1"/>
  <c r="AD80" i="196"/>
  <c r="AB24" i="197"/>
  <c r="AB114" i="197" s="1"/>
  <c r="AB80" i="196"/>
  <c r="W126" i="197"/>
  <c r="W155" i="197" s="1"/>
  <c r="W60" i="198" s="1"/>
  <c r="W100" i="198" s="1"/>
  <c r="W144" i="197"/>
  <c r="W173" i="197" s="1"/>
  <c r="W78" i="198" s="1"/>
  <c r="W120" i="198" s="1"/>
  <c r="V134" i="197"/>
  <c r="V163" i="197" s="1"/>
  <c r="V68" i="198" s="1"/>
  <c r="V109" i="198" s="1"/>
  <c r="V125" i="197"/>
  <c r="V154" i="197" s="1"/>
  <c r="V59" i="198" s="1"/>
  <c r="V99" i="198" s="1"/>
  <c r="V143" i="197"/>
  <c r="V172" i="197" s="1"/>
  <c r="V77" i="198" s="1"/>
  <c r="V119" i="198" s="1"/>
  <c r="AA145" i="197"/>
  <c r="AA174" i="197" s="1"/>
  <c r="AA79" i="198" s="1"/>
  <c r="AA121" i="198" s="1"/>
  <c r="AA127" i="197"/>
  <c r="AA156" i="197" s="1"/>
  <c r="AA61" i="198" s="1"/>
  <c r="AA101" i="198" s="1"/>
  <c r="K23" i="197"/>
  <c r="K79" i="196"/>
  <c r="K83" i="196" s="1"/>
  <c r="L24" i="197"/>
  <c r="L114" i="197" s="1"/>
  <c r="L80" i="196"/>
  <c r="AB145" i="197"/>
  <c r="AB174" i="197" s="1"/>
  <c r="AB79" i="198" s="1"/>
  <c r="AB121" i="198" s="1"/>
  <c r="AB127" i="197"/>
  <c r="AB156" i="197" s="1"/>
  <c r="AB61" i="198" s="1"/>
  <c r="AB101" i="198" s="1"/>
  <c r="AA43" i="196"/>
  <c r="X43" i="196"/>
  <c r="W43" i="196"/>
  <c r="Y43" i="196"/>
  <c r="Z43" i="196"/>
  <c r="R126" i="197"/>
  <c r="R155" i="197" s="1"/>
  <c r="R60" i="198" s="1"/>
  <c r="R100" i="198" s="1"/>
  <c r="R144" i="197"/>
  <c r="R173" i="197" s="1"/>
  <c r="R78" i="198" s="1"/>
  <c r="R120" i="198" s="1"/>
  <c r="R135" i="197"/>
  <c r="R164" i="197" s="1"/>
  <c r="R69" i="198" s="1"/>
  <c r="R110" i="198" s="1"/>
  <c r="W127" i="197" l="1"/>
  <c r="W156" i="197" s="1"/>
  <c r="W61" i="198" s="1"/>
  <c r="W101" i="198" s="1"/>
  <c r="M127" i="197"/>
  <c r="M156" i="197" s="1"/>
  <c r="M61" i="198" s="1"/>
  <c r="M101" i="198" s="1"/>
  <c r="O127" i="197"/>
  <c r="O156" i="197" s="1"/>
  <c r="O61" i="198" s="1"/>
  <c r="O101" i="198" s="1"/>
  <c r="O136" i="197"/>
  <c r="O165" i="197" s="1"/>
  <c r="O70" i="198" s="1"/>
  <c r="O111" i="198" s="1"/>
  <c r="H78" i="196"/>
  <c r="M136" i="197"/>
  <c r="M165" i="197" s="1"/>
  <c r="M70" i="198" s="1"/>
  <c r="M111" i="198" s="1"/>
  <c r="X145" i="197"/>
  <c r="X174" i="197" s="1"/>
  <c r="X79" i="198" s="1"/>
  <c r="X121" i="198" s="1"/>
  <c r="H82" i="196"/>
  <c r="R127" i="197"/>
  <c r="R156" i="197" s="1"/>
  <c r="R61" i="198" s="1"/>
  <c r="R101" i="198" s="1"/>
  <c r="H77" i="196"/>
  <c r="H76" i="196"/>
  <c r="AD127" i="197"/>
  <c r="AD156" i="197" s="1"/>
  <c r="AD61" i="198" s="1"/>
  <c r="AD101" i="198" s="1"/>
  <c r="R145" i="197"/>
  <c r="R174" i="197" s="1"/>
  <c r="R79" i="198" s="1"/>
  <c r="R121" i="198" s="1"/>
  <c r="R125" i="197"/>
  <c r="R154" i="197" s="1"/>
  <c r="R59" i="198" s="1"/>
  <c r="R99" i="198" s="1"/>
  <c r="R134" i="197"/>
  <c r="R163" i="197" s="1"/>
  <c r="R68" i="198" s="1"/>
  <c r="R109" i="198" s="1"/>
  <c r="S143" i="197"/>
  <c r="S172" i="197" s="1"/>
  <c r="S77" i="198" s="1"/>
  <c r="S119" i="198" s="1"/>
  <c r="S125" i="197"/>
  <c r="S154" i="197" s="1"/>
  <c r="S59" i="198" s="1"/>
  <c r="S99" i="198" s="1"/>
  <c r="H80" i="196"/>
  <c r="H165" i="194" a="1"/>
  <c r="H165" i="194" s="1"/>
  <c r="J55" i="55" s="1"/>
  <c r="H110" i="198"/>
  <c r="H100" i="198"/>
  <c r="H120" i="198"/>
  <c r="O79" i="196"/>
  <c r="O83" i="196" s="1"/>
  <c r="O23" i="197"/>
  <c r="AF143" i="197"/>
  <c r="AF172" i="197" s="1"/>
  <c r="AF77" i="198" s="1"/>
  <c r="AF119" i="198" s="1"/>
  <c r="AF125" i="197"/>
  <c r="AF154" i="197" s="1"/>
  <c r="AF59" i="198" s="1"/>
  <c r="AF99" i="198" s="1"/>
  <c r="AE23" i="197"/>
  <c r="AE79" i="196"/>
  <c r="AE83" i="196" s="1"/>
  <c r="V23" i="197"/>
  <c r="V79" i="196"/>
  <c r="V83" i="196" s="1"/>
  <c r="X79" i="196"/>
  <c r="X83" i="196" s="1"/>
  <c r="X23" i="197"/>
  <c r="P23" i="197"/>
  <c r="P79" i="196"/>
  <c r="P83" i="196" s="1"/>
  <c r="N134" i="197"/>
  <c r="N163" i="197" s="1"/>
  <c r="N68" i="198" s="1"/>
  <c r="N109" i="198" s="1"/>
  <c r="N125" i="197"/>
  <c r="N154" i="197" s="1"/>
  <c r="N59" i="198" s="1"/>
  <c r="N99" i="198" s="1"/>
  <c r="N143" i="197"/>
  <c r="N172" i="197" s="1"/>
  <c r="N77" i="198" s="1"/>
  <c r="N119" i="198" s="1"/>
  <c r="W125" i="197"/>
  <c r="W154" i="197" s="1"/>
  <c r="W59" i="198" s="1"/>
  <c r="W99" i="198" s="1"/>
  <c r="W143" i="197"/>
  <c r="W172" i="197" s="1"/>
  <c r="W77" i="198" s="1"/>
  <c r="W119" i="198" s="1"/>
  <c r="AD79" i="196"/>
  <c r="AD83" i="196" s="1"/>
  <c r="AD23" i="197"/>
  <c r="Z143" i="197"/>
  <c r="Z172" i="197" s="1"/>
  <c r="Z77" i="198" s="1"/>
  <c r="Z119" i="198" s="1"/>
  <c r="Z125" i="197"/>
  <c r="Z154" i="197" s="1"/>
  <c r="Z59" i="198" s="1"/>
  <c r="Z99" i="198" s="1"/>
  <c r="T23" i="197"/>
  <c r="T79" i="196"/>
  <c r="T83" i="196" s="1"/>
  <c r="Y79" i="196"/>
  <c r="Y83" i="196" s="1"/>
  <c r="Y23" i="197"/>
  <c r="R79" i="196"/>
  <c r="R83" i="196" s="1"/>
  <c r="R23" i="197"/>
  <c r="Z23" i="197"/>
  <c r="Z79" i="196"/>
  <c r="Z83" i="196" s="1"/>
  <c r="AA23" i="197"/>
  <c r="AA79" i="196"/>
  <c r="AA83" i="196" s="1"/>
  <c r="AD143" i="197"/>
  <c r="AD172" i="197" s="1"/>
  <c r="AD77" i="198" s="1"/>
  <c r="AD119" i="198" s="1"/>
  <c r="AD125" i="197"/>
  <c r="AD154" i="197" s="1"/>
  <c r="AD59" i="198" s="1"/>
  <c r="AD99" i="198" s="1"/>
  <c r="L23" i="197"/>
  <c r="L79" i="196"/>
  <c r="L83" i="196" s="1"/>
  <c r="AC79" i="196"/>
  <c r="AC83" i="196" s="1"/>
  <c r="AC23" i="197"/>
  <c r="S23" i="197"/>
  <c r="S79" i="196"/>
  <c r="S83" i="196" s="1"/>
  <c r="M125" i="197"/>
  <c r="M154" i="197" s="1"/>
  <c r="M59" i="198" s="1"/>
  <c r="M99" i="198" s="1"/>
  <c r="M134" i="197"/>
  <c r="M163" i="197" s="1"/>
  <c r="M68" i="198" s="1"/>
  <c r="M109" i="198" s="1"/>
  <c r="M143" i="197"/>
  <c r="M172" i="197" s="1"/>
  <c r="M77" i="198" s="1"/>
  <c r="M119" i="198" s="1"/>
  <c r="AC125" i="197"/>
  <c r="AC154" i="197" s="1"/>
  <c r="AC59" i="198" s="1"/>
  <c r="AC99" i="198" s="1"/>
  <c r="AC143" i="197"/>
  <c r="AC172" i="197" s="1"/>
  <c r="AC77" i="198" s="1"/>
  <c r="AC119" i="198" s="1"/>
  <c r="AE143" i="197"/>
  <c r="AE172" i="197" s="1"/>
  <c r="AE77" i="198" s="1"/>
  <c r="AE119" i="198" s="1"/>
  <c r="AE125" i="197"/>
  <c r="AE154" i="197" s="1"/>
  <c r="AE59" i="198" s="1"/>
  <c r="AE99" i="198" s="1"/>
  <c r="AA125" i="197"/>
  <c r="AA154" i="197" s="1"/>
  <c r="AA59" i="198" s="1"/>
  <c r="AA99" i="198" s="1"/>
  <c r="AA143" i="197"/>
  <c r="AA172" i="197" s="1"/>
  <c r="AA77" i="198" s="1"/>
  <c r="AA119" i="198" s="1"/>
  <c r="X125" i="197"/>
  <c r="X154" i="197" s="1"/>
  <c r="X59" i="198" s="1"/>
  <c r="X99" i="198" s="1"/>
  <c r="X143" i="197"/>
  <c r="X172" i="197" s="1"/>
  <c r="X77" i="198" s="1"/>
  <c r="X119" i="198" s="1"/>
  <c r="W79" i="196"/>
  <c r="W83" i="196" s="1"/>
  <c r="W23" i="197"/>
  <c r="L143" i="197"/>
  <c r="L172" i="197" s="1"/>
  <c r="L77" i="198" s="1"/>
  <c r="L119" i="198" s="1"/>
  <c r="L125" i="197"/>
  <c r="L154" i="197" s="1"/>
  <c r="L59" i="198" s="1"/>
  <c r="L99" i="198" s="1"/>
  <c r="L134" i="197"/>
  <c r="L163" i="197" s="1"/>
  <c r="L68" i="198" s="1"/>
  <c r="L109" i="198" s="1"/>
  <c r="AB125" i="197"/>
  <c r="AB154" i="197" s="1"/>
  <c r="AB59" i="198" s="1"/>
  <c r="AB99" i="198" s="1"/>
  <c r="AB143" i="197"/>
  <c r="AB172" i="197" s="1"/>
  <c r="AB77" i="198" s="1"/>
  <c r="AB119" i="198" s="1"/>
  <c r="M79" i="196"/>
  <c r="M83" i="196" s="1"/>
  <c r="M23" i="197"/>
  <c r="N23" i="197"/>
  <c r="N79" i="196"/>
  <c r="N83" i="196" s="1"/>
  <c r="AB23" i="197"/>
  <c r="AB79" i="196"/>
  <c r="AB83" i="196" s="1"/>
  <c r="AF79" i="196"/>
  <c r="AF83" i="196" s="1"/>
  <c r="AF23" i="197"/>
  <c r="Y125" i="197"/>
  <c r="Y154" i="197" s="1"/>
  <c r="Y59" i="198" s="1"/>
  <c r="Y99" i="198" s="1"/>
  <c r="Y143" i="197"/>
  <c r="Y172" i="197" s="1"/>
  <c r="Y77" i="198" s="1"/>
  <c r="Y119" i="198" s="1"/>
  <c r="U23" i="197"/>
  <c r="U79" i="196"/>
  <c r="U83" i="196" s="1"/>
  <c r="AJ223" i="196" a="1"/>
  <c r="AJ223" i="196" s="1"/>
  <c r="AJ225" i="196" s="1"/>
  <c r="AI223" i="196" a="1"/>
  <c r="AI223" i="196" s="1"/>
  <c r="AI225" i="196" s="1"/>
  <c r="R223" i="196" a="1"/>
  <c r="R223" i="196" s="1"/>
  <c r="R225" i="196" s="1"/>
  <c r="AH223" i="196" a="1"/>
  <c r="AH223" i="196" s="1"/>
  <c r="AH225" i="196" s="1"/>
  <c r="J23" i="197"/>
  <c r="AM223" i="196" a="1"/>
  <c r="AM223" i="196" s="1"/>
  <c r="AM225" i="196" s="1"/>
  <c r="Q223" i="196" a="1"/>
  <c r="Q223" i="196" s="1"/>
  <c r="Q225" i="196" s="1"/>
  <c r="J223" i="196" a="1"/>
  <c r="J223" i="196" s="1"/>
  <c r="AO223" i="196" a="1"/>
  <c r="AO223" i="196" s="1"/>
  <c r="AO225" i="196" s="1"/>
  <c r="L223" i="196" a="1"/>
  <c r="L223" i="196" s="1"/>
  <c r="L225" i="196" s="1"/>
  <c r="AB223" i="196" a="1"/>
  <c r="AB223" i="196" s="1"/>
  <c r="AB225" i="196" s="1"/>
  <c r="AN223" i="196" a="1"/>
  <c r="AN223" i="196" s="1"/>
  <c r="AN225" i="196" s="1"/>
  <c r="AK223" i="196" a="1"/>
  <c r="AK223" i="196" s="1"/>
  <c r="AK225" i="196" s="1"/>
  <c r="W223" i="196" a="1"/>
  <c r="W223" i="196" s="1"/>
  <c r="W225" i="196" s="1"/>
  <c r="AL223" i="196" a="1"/>
  <c r="AL223" i="196" s="1"/>
  <c r="AL225" i="196" s="1"/>
  <c r="J79" i="196"/>
  <c r="K223" i="196" a="1"/>
  <c r="K223" i="196" s="1"/>
  <c r="K225" i="196" s="1"/>
  <c r="M223" i="196" a="1"/>
  <c r="M223" i="196" s="1"/>
  <c r="AE223" i="196" a="1"/>
  <c r="AE223" i="196" s="1"/>
  <c r="V223" i="196" a="1"/>
  <c r="V223" i="196" s="1"/>
  <c r="AG223" i="196" a="1"/>
  <c r="AG223" i="196" s="1"/>
  <c r="AG225" i="196" s="1"/>
  <c r="AF223" i="196" a="1"/>
  <c r="AF223" i="196" s="1"/>
  <c r="P223" i="196" a="1"/>
  <c r="P223" i="196" s="1"/>
  <c r="AD223" i="196" a="1"/>
  <c r="AD223" i="196" s="1"/>
  <c r="O223" i="196" a="1"/>
  <c r="O223" i="196" s="1"/>
  <c r="N223" i="196" a="1"/>
  <c r="N223" i="196" s="1"/>
  <c r="U223" i="196" a="1"/>
  <c r="U223" i="196" s="1"/>
  <c r="S223" i="196" a="1"/>
  <c r="S223" i="196" s="1"/>
  <c r="Z223" i="196" a="1"/>
  <c r="Z223" i="196" s="1"/>
  <c r="X223" i="196" a="1"/>
  <c r="X223" i="196" s="1"/>
  <c r="AA223" i="196" a="1"/>
  <c r="AA223" i="196" s="1"/>
  <c r="Y223" i="196" a="1"/>
  <c r="Y223" i="196" s="1"/>
  <c r="T223" i="196" a="1"/>
  <c r="T223" i="196" s="1"/>
  <c r="AC223" i="196" a="1"/>
  <c r="AC223" i="196" s="1"/>
  <c r="P125" i="197"/>
  <c r="P154" i="197" s="1"/>
  <c r="P59" i="198" s="1"/>
  <c r="P99" i="198" s="1"/>
  <c r="P134" i="197"/>
  <c r="P163" i="197" s="1"/>
  <c r="P68" i="198" s="1"/>
  <c r="P109" i="198" s="1"/>
  <c r="P143" i="197"/>
  <c r="P172" i="197" s="1"/>
  <c r="P77" i="198" s="1"/>
  <c r="P119" i="198" s="1"/>
  <c r="O125" i="197"/>
  <c r="O154" i="197" s="1"/>
  <c r="O59" i="198" s="1"/>
  <c r="O99" i="198" s="1"/>
  <c r="O143" i="197"/>
  <c r="O172" i="197" s="1"/>
  <c r="O77" i="198" s="1"/>
  <c r="O119" i="198" s="1"/>
  <c r="O134" i="197"/>
  <c r="O163" i="197" s="1"/>
  <c r="O68" i="198" s="1"/>
  <c r="O109" i="198" s="1"/>
  <c r="H111" i="198" l="1"/>
  <c r="H121" i="198"/>
  <c r="H101" i="198"/>
  <c r="A4" i="194"/>
  <c r="H109" i="198"/>
  <c r="H99" i="198"/>
  <c r="H119" i="198"/>
  <c r="AL227" i="196"/>
  <c r="AL229" i="196" s="1"/>
  <c r="AL416" i="196"/>
  <c r="AL35" i="197" s="1"/>
  <c r="AL113" i="197" s="1"/>
  <c r="AB416" i="196"/>
  <c r="AB35" i="197" s="1"/>
  <c r="AB113" i="197" s="1"/>
  <c r="AB227" i="196"/>
  <c r="AB229" i="196" s="1"/>
  <c r="Q227" i="196"/>
  <c r="Q229" i="196" s="1"/>
  <c r="Q416" i="196"/>
  <c r="Q35" i="197" s="1"/>
  <c r="Q113" i="197" s="1"/>
  <c r="R416" i="196"/>
  <c r="R35" i="197" s="1"/>
  <c r="R113" i="197" s="1"/>
  <c r="R227" i="196"/>
  <c r="R229" i="196" s="1"/>
  <c r="W416" i="196"/>
  <c r="W35" i="197" s="1"/>
  <c r="W113" i="197" s="1"/>
  <c r="W227" i="196"/>
  <c r="W229" i="196" s="1"/>
  <c r="L227" i="196"/>
  <c r="L229" i="196" s="1"/>
  <c r="L416" i="196"/>
  <c r="L35" i="197" s="1"/>
  <c r="L113" i="197" s="1"/>
  <c r="AM416" i="196"/>
  <c r="AM35" i="197" s="1"/>
  <c r="AM113" i="197" s="1"/>
  <c r="AM124" i="197" s="1"/>
  <c r="AM153" i="197" s="1"/>
  <c r="AM58" i="198" s="1"/>
  <c r="AM98" i="198" s="1"/>
  <c r="AM227" i="196"/>
  <c r="AM229" i="196" s="1"/>
  <c r="AI227" i="196"/>
  <c r="AI229" i="196" s="1"/>
  <c r="AI416" i="196"/>
  <c r="AI35" i="197" s="1"/>
  <c r="AI113" i="197" s="1"/>
  <c r="AG416" i="196"/>
  <c r="AG35" i="197" s="1"/>
  <c r="AG113" i="197" s="1"/>
  <c r="AG227" i="196"/>
  <c r="AG229" i="196" s="1"/>
  <c r="K227" i="196"/>
  <c r="K229" i="196" s="1"/>
  <c r="K416" i="196"/>
  <c r="K35" i="197" s="1"/>
  <c r="K113" i="197" s="1"/>
  <c r="AK227" i="196"/>
  <c r="AK229" i="196" s="1"/>
  <c r="AK416" i="196"/>
  <c r="AK35" i="197" s="1"/>
  <c r="AK113" i="197" s="1"/>
  <c r="AK124" i="197" s="1"/>
  <c r="AK153" i="197" s="1"/>
  <c r="AK58" i="198" s="1"/>
  <c r="AK98" i="198" s="1"/>
  <c r="AO416" i="196"/>
  <c r="AO35" i="197" s="1"/>
  <c r="AO113" i="197" s="1"/>
  <c r="AO124" i="197" s="1"/>
  <c r="AO153" i="197" s="1"/>
  <c r="AO58" i="198" s="1"/>
  <c r="AO98" i="198" s="1"/>
  <c r="AO227" i="196"/>
  <c r="AO229" i="196" s="1"/>
  <c r="AJ416" i="196"/>
  <c r="AJ35" i="197" s="1"/>
  <c r="AJ113" i="197" s="1"/>
  <c r="AJ227" i="196"/>
  <c r="AJ229" i="196" s="1"/>
  <c r="H79" i="196"/>
  <c r="J83" i="196"/>
  <c r="H83" i="196" s="1"/>
  <c r="AN416" i="196"/>
  <c r="AN35" i="197" s="1"/>
  <c r="AN113" i="197" s="1"/>
  <c r="AN227" i="196"/>
  <c r="AN229" i="196" s="1"/>
  <c r="AH416" i="196"/>
  <c r="AH35" i="197" s="1"/>
  <c r="AH113" i="197" s="1"/>
  <c r="AH227" i="196"/>
  <c r="AH229" i="196" s="1"/>
  <c r="W142" i="197" l="1"/>
  <c r="W171" i="197" s="1"/>
  <c r="W76" i="198" s="1"/>
  <c r="W118" i="198" s="1"/>
  <c r="W124" i="197"/>
  <c r="W153" i="197" s="1"/>
  <c r="W58" i="198" s="1"/>
  <c r="W98" i="198" s="1"/>
  <c r="H85" i="196"/>
  <c r="H85" i="198"/>
  <c r="H128" i="198" s="1"/>
  <c r="AK425" i="196"/>
  <c r="AK238" i="196"/>
  <c r="AG133" i="197"/>
  <c r="AG162" i="197" s="1"/>
  <c r="AG67" i="198" s="1"/>
  <c r="AG108" i="198" s="1"/>
  <c r="AG142" i="197"/>
  <c r="AG171" i="197" s="1"/>
  <c r="AG76" i="198" s="1"/>
  <c r="AG118" i="198" s="1"/>
  <c r="AG124" i="197"/>
  <c r="AG153" i="197" s="1"/>
  <c r="AG58" i="198" s="1"/>
  <c r="AG98" i="198" s="1"/>
  <c r="AI425" i="196"/>
  <c r="AI238" i="196"/>
  <c r="L238" i="196"/>
  <c r="L425" i="196"/>
  <c r="R133" i="197"/>
  <c r="R162" i="197" s="1"/>
  <c r="R67" i="198" s="1"/>
  <c r="R108" i="198" s="1"/>
  <c r="R124" i="197"/>
  <c r="R153" i="197" s="1"/>
  <c r="R58" i="198" s="1"/>
  <c r="R98" i="198" s="1"/>
  <c r="R142" i="197"/>
  <c r="R171" i="197" s="1"/>
  <c r="R76" i="198" s="1"/>
  <c r="R118" i="198" s="1"/>
  <c r="AB124" i="197"/>
  <c r="AB153" i="197" s="1"/>
  <c r="AB58" i="198" s="1"/>
  <c r="AB98" i="198" s="1"/>
  <c r="AB142" i="197"/>
  <c r="AB171" i="197" s="1"/>
  <c r="AB76" i="198" s="1"/>
  <c r="AB118" i="198" s="1"/>
  <c r="AO238" i="196"/>
  <c r="AO425" i="196"/>
  <c r="K142" i="197"/>
  <c r="K171" i="197" s="1"/>
  <c r="K76" i="198" s="1"/>
  <c r="K118" i="198" s="1"/>
  <c r="K133" i="197"/>
  <c r="K162" i="197" s="1"/>
  <c r="K67" i="198" s="1"/>
  <c r="K108" i="198" s="1"/>
  <c r="K124" i="197"/>
  <c r="K153" i="197" s="1"/>
  <c r="K58" i="198" s="1"/>
  <c r="K98" i="198" s="1"/>
  <c r="AM425" i="196"/>
  <c r="AM238" i="196"/>
  <c r="W238" i="196"/>
  <c r="W425" i="196"/>
  <c r="Q124" i="197"/>
  <c r="Q153" i="197" s="1"/>
  <c r="Q58" i="198" s="1"/>
  <c r="Q98" i="198" s="1"/>
  <c r="Q142" i="197"/>
  <c r="Q171" i="197" s="1"/>
  <c r="Q76" i="198" s="1"/>
  <c r="Q118" i="198" s="1"/>
  <c r="Q133" i="197"/>
  <c r="Q162" i="197" s="1"/>
  <c r="Q67" i="198" s="1"/>
  <c r="Q108" i="198" s="1"/>
  <c r="AL124" i="197"/>
  <c r="AL153" i="197" s="1"/>
  <c r="AL58" i="198" s="1"/>
  <c r="AL98" i="198" s="1"/>
  <c r="AL142" i="197"/>
  <c r="AL171" i="197" s="1"/>
  <c r="AL76" i="198" s="1"/>
  <c r="AL118" i="198" s="1"/>
  <c r="AH142" i="197"/>
  <c r="AH171" i="197" s="1"/>
  <c r="AH76" i="198" s="1"/>
  <c r="AH118" i="198" s="1"/>
  <c r="AH133" i="197"/>
  <c r="AH162" i="197" s="1"/>
  <c r="AH67" i="198" s="1"/>
  <c r="AH108" i="198" s="1"/>
  <c r="AH124" i="197"/>
  <c r="AH153" i="197" s="1"/>
  <c r="AH58" i="198" s="1"/>
  <c r="AH98" i="198" s="1"/>
  <c r="AJ133" i="197"/>
  <c r="AJ162" i="197" s="1"/>
  <c r="AJ67" i="198" s="1"/>
  <c r="AJ108" i="198" s="1"/>
  <c r="AJ124" i="197"/>
  <c r="AJ153" i="197" s="1"/>
  <c r="AJ58" i="198" s="1"/>
  <c r="AJ98" i="198" s="1"/>
  <c r="AJ142" i="197"/>
  <c r="AJ171" i="197" s="1"/>
  <c r="AJ76" i="198" s="1"/>
  <c r="AJ118" i="198" s="1"/>
  <c r="AN238" i="196"/>
  <c r="AN425" i="196"/>
  <c r="Q294" i="196"/>
  <c r="Q296" i="196" s="1"/>
  <c r="AN294" i="196"/>
  <c r="AN296" i="196" s="1"/>
  <c r="AH294" i="196"/>
  <c r="AH296" i="196" s="1"/>
  <c r="K238" i="196"/>
  <c r="L294" i="196"/>
  <c r="L296" i="196" s="1"/>
  <c r="K294" i="196"/>
  <c r="K296" i="196" s="1"/>
  <c r="AI294" i="196"/>
  <c r="AI296" i="196" s="1"/>
  <c r="K425" i="196"/>
  <c r="W294" i="196"/>
  <c r="W296" i="196" s="1"/>
  <c r="AB294" i="196"/>
  <c r="AB296" i="196" s="1"/>
  <c r="AJ294" i="196"/>
  <c r="AJ296" i="196" s="1"/>
  <c r="AL294" i="196"/>
  <c r="AL296" i="196" s="1"/>
  <c r="AM294" i="196"/>
  <c r="AM296" i="196" s="1"/>
  <c r="AK294" i="196"/>
  <c r="AK296" i="196" s="1"/>
  <c r="R294" i="196"/>
  <c r="R296" i="196" s="1"/>
  <c r="AO294" i="196"/>
  <c r="AO296" i="196" s="1"/>
  <c r="Q238" i="196"/>
  <c r="Q425" i="196"/>
  <c r="AL425" i="196"/>
  <c r="AL238" i="196"/>
  <c r="AH425" i="196"/>
  <c r="AH238" i="196"/>
  <c r="AN142" i="197"/>
  <c r="AN171" i="197" s="1"/>
  <c r="AN76" i="198" s="1"/>
  <c r="AN118" i="198" s="1"/>
  <c r="AN124" i="197"/>
  <c r="AN153" i="197" s="1"/>
  <c r="AN58" i="198" s="1"/>
  <c r="AN98" i="198" s="1"/>
  <c r="AJ425" i="196"/>
  <c r="AJ238" i="196"/>
  <c r="AG425" i="196"/>
  <c r="AG294" i="196"/>
  <c r="AG296" i="196" s="1"/>
  <c r="AG238" i="196"/>
  <c r="AI142" i="197"/>
  <c r="AI171" i="197" s="1"/>
  <c r="AI76" i="198" s="1"/>
  <c r="AI118" i="198" s="1"/>
  <c r="AI124" i="197"/>
  <c r="AI153" i="197" s="1"/>
  <c r="AI58" i="198" s="1"/>
  <c r="AI98" i="198" s="1"/>
  <c r="L133" i="197"/>
  <c r="L162" i="197" s="1"/>
  <c r="L67" i="198" s="1"/>
  <c r="L108" i="198" s="1"/>
  <c r="L142" i="197"/>
  <c r="L171" i="197" s="1"/>
  <c r="L76" i="198" s="1"/>
  <c r="L118" i="198" s="1"/>
  <c r="L124" i="197"/>
  <c r="L153" i="197" s="1"/>
  <c r="L58" i="198" s="1"/>
  <c r="L98" i="198" s="1"/>
  <c r="R425" i="196"/>
  <c r="R238" i="196"/>
  <c r="AB425" i="196"/>
  <c r="AB238" i="196"/>
  <c r="AL251" i="196" l="1"/>
  <c r="AL270" i="196"/>
  <c r="AL405" i="196"/>
  <c r="AL414" i="196" s="1"/>
  <c r="AL33" i="197" s="1"/>
  <c r="AL111" i="197" s="1"/>
  <c r="AL275" i="196"/>
  <c r="AL406" i="196"/>
  <c r="AL415" i="196" s="1"/>
  <c r="AL34" i="197" s="1"/>
  <c r="AL112" i="197" s="1"/>
  <c r="AL273" i="196"/>
  <c r="AL274" i="196"/>
  <c r="AL269" i="196"/>
  <c r="AL252" i="196"/>
  <c r="AL404" i="196"/>
  <c r="AL413" i="196" s="1"/>
  <c r="AL32" i="197" s="1"/>
  <c r="AL110" i="197" s="1"/>
  <c r="AL250" i="196"/>
  <c r="AL268" i="196"/>
  <c r="K406" i="196"/>
  <c r="K415" i="196" s="1"/>
  <c r="K34" i="197" s="1"/>
  <c r="K112" i="197" s="1"/>
  <c r="K404" i="196"/>
  <c r="K413" i="196" s="1"/>
  <c r="K32" i="197" s="1"/>
  <c r="K110" i="197" s="1"/>
  <c r="K273" i="196"/>
  <c r="K275" i="196"/>
  <c r="K252" i="196"/>
  <c r="K268" i="196"/>
  <c r="K250" i="196"/>
  <c r="K270" i="196"/>
  <c r="K269" i="196"/>
  <c r="K251" i="196"/>
  <c r="K405" i="196"/>
  <c r="K414" i="196" s="1"/>
  <c r="K33" i="197" s="1"/>
  <c r="K111" i="197" s="1"/>
  <c r="K274" i="196"/>
  <c r="L275" i="196"/>
  <c r="L405" i="196"/>
  <c r="L414" i="196" s="1"/>
  <c r="L33" i="197" s="1"/>
  <c r="L111" i="197" s="1"/>
  <c r="L268" i="196"/>
  <c r="L269" i="196"/>
  <c r="L406" i="196"/>
  <c r="L415" i="196" s="1"/>
  <c r="L34" i="197" s="1"/>
  <c r="L112" i="197" s="1"/>
  <c r="L404" i="196"/>
  <c r="L413" i="196" s="1"/>
  <c r="L32" i="197" s="1"/>
  <c r="L110" i="197" s="1"/>
  <c r="L274" i="196"/>
  <c r="L270" i="196"/>
  <c r="L251" i="196"/>
  <c r="L273" i="196"/>
  <c r="L252" i="196"/>
  <c r="L250" i="196"/>
  <c r="AN273" i="196"/>
  <c r="AN268" i="196"/>
  <c r="AN252" i="196"/>
  <c r="AN270" i="196"/>
  <c r="AN404" i="196"/>
  <c r="AN413" i="196" s="1"/>
  <c r="AN32" i="197" s="1"/>
  <c r="AN110" i="197" s="1"/>
  <c r="AN275" i="196"/>
  <c r="AN406" i="196"/>
  <c r="AN415" i="196" s="1"/>
  <c r="AN34" i="197" s="1"/>
  <c r="AN112" i="197" s="1"/>
  <c r="AN251" i="196"/>
  <c r="AN274" i="196"/>
  <c r="AN405" i="196"/>
  <c r="AN414" i="196" s="1"/>
  <c r="AN33" i="197" s="1"/>
  <c r="AN111" i="197" s="1"/>
  <c r="AN269" i="196"/>
  <c r="AN250" i="196"/>
  <c r="AO405" i="196"/>
  <c r="AO414" i="196" s="1"/>
  <c r="AO33" i="197" s="1"/>
  <c r="AO111" i="197" s="1"/>
  <c r="AO122" i="197" s="1"/>
  <c r="AO151" i="197" s="1"/>
  <c r="AO56" i="198" s="1"/>
  <c r="AO96" i="198" s="1"/>
  <c r="AO274" i="196"/>
  <c r="AO268" i="196"/>
  <c r="AO406" i="196"/>
  <c r="AO415" i="196" s="1"/>
  <c r="AO34" i="197" s="1"/>
  <c r="AO112" i="197" s="1"/>
  <c r="AO123" i="197" s="1"/>
  <c r="AO152" i="197" s="1"/>
  <c r="AO57" i="198" s="1"/>
  <c r="AO97" i="198" s="1"/>
  <c r="AO270" i="196"/>
  <c r="AO273" i="196"/>
  <c r="AO275" i="196"/>
  <c r="AO269" i="196"/>
  <c r="AO252" i="196"/>
  <c r="AO404" i="196"/>
  <c r="AO413" i="196" s="1"/>
  <c r="AO32" i="197" s="1"/>
  <c r="AO110" i="197" s="1"/>
  <c r="AO121" i="197" s="1"/>
  <c r="AO150" i="197" s="1"/>
  <c r="AO55" i="198" s="1"/>
  <c r="AO95" i="198" s="1"/>
  <c r="AO250" i="196"/>
  <c r="AO251" i="196"/>
  <c r="AI274" i="196"/>
  <c r="AI405" i="196"/>
  <c r="AI414" i="196" s="1"/>
  <c r="AI33" i="197" s="1"/>
  <c r="AI111" i="197" s="1"/>
  <c r="AI251" i="196"/>
  <c r="AI273" i="196"/>
  <c r="AI270" i="196"/>
  <c r="AI275" i="196"/>
  <c r="AI269" i="196"/>
  <c r="AI268" i="196"/>
  <c r="AI406" i="196"/>
  <c r="AI415" i="196" s="1"/>
  <c r="AI34" i="197" s="1"/>
  <c r="AI112" i="197" s="1"/>
  <c r="AI404" i="196"/>
  <c r="AI413" i="196" s="1"/>
  <c r="AI32" i="197" s="1"/>
  <c r="AI110" i="197" s="1"/>
  <c r="AI250" i="196"/>
  <c r="AI252" i="196"/>
  <c r="T191" i="196"/>
  <c r="T197" i="196" s="1"/>
  <c r="T199" i="196" s="1"/>
  <c r="T225" i="196" s="1"/>
  <c r="S191" i="196"/>
  <c r="S197" i="196" s="1"/>
  <c r="S199" i="196" s="1"/>
  <c r="S225" i="196" s="1"/>
  <c r="R191" i="196"/>
  <c r="Y191" i="196"/>
  <c r="Y197" i="196" s="1"/>
  <c r="Y199" i="196" s="1"/>
  <c r="X191" i="196"/>
  <c r="X197" i="196" s="1"/>
  <c r="X199" i="196" s="1"/>
  <c r="AD191" i="196"/>
  <c r="AD197" i="196" s="1"/>
  <c r="AD199" i="196" s="1"/>
  <c r="AM191" i="196"/>
  <c r="N191" i="196"/>
  <c r="N197" i="196" s="1"/>
  <c r="N199" i="196" s="1"/>
  <c r="L191" i="196"/>
  <c r="K191" i="196"/>
  <c r="J191" i="196"/>
  <c r="J197" i="196" s="1"/>
  <c r="J199" i="196" s="1"/>
  <c r="Q191" i="196"/>
  <c r="AC191" i="196"/>
  <c r="AC197" i="196" s="1"/>
  <c r="AC199" i="196" s="1"/>
  <c r="U191" i="196"/>
  <c r="U197" i="196" s="1"/>
  <c r="U199" i="196" s="1"/>
  <c r="AL191" i="196"/>
  <c r="AB191" i="196"/>
  <c r="Z191" i="196"/>
  <c r="Z197" i="196" s="1"/>
  <c r="Z199" i="196" s="1"/>
  <c r="Z225" i="196" s="1"/>
  <c r="AF191" i="196"/>
  <c r="AF197" i="196" s="1"/>
  <c r="AF199" i="196" s="1"/>
  <c r="V191" i="196"/>
  <c r="V197" i="196" s="1"/>
  <c r="V199" i="196" s="1"/>
  <c r="H88" i="198"/>
  <c r="H131" i="198" s="1"/>
  <c r="P191" i="196"/>
  <c r="P197" i="196" s="1"/>
  <c r="P199" i="196" s="1"/>
  <c r="AA191" i="196"/>
  <c r="AA197" i="196" s="1"/>
  <c r="AA199" i="196" s="1"/>
  <c r="AG191" i="196"/>
  <c r="AG206" i="196" s="1"/>
  <c r="AG208" i="196" s="1"/>
  <c r="M191" i="196"/>
  <c r="M197" i="196" s="1"/>
  <c r="M199" i="196" s="1"/>
  <c r="AJ191" i="196"/>
  <c r="AI191" i="196"/>
  <c r="AH191" i="196"/>
  <c r="AO191" i="196"/>
  <c r="AN191" i="196"/>
  <c r="AE191" i="196"/>
  <c r="AE197" i="196" s="1"/>
  <c r="AE199" i="196" s="1"/>
  <c r="W191" i="196"/>
  <c r="AK191" i="196"/>
  <c r="O191" i="196"/>
  <c r="O197" i="196" s="1"/>
  <c r="O199" i="196" s="1"/>
  <c r="AB405" i="196"/>
  <c r="AB414" i="196" s="1"/>
  <c r="AB33" i="197" s="1"/>
  <c r="AB111" i="197" s="1"/>
  <c r="AB270" i="196"/>
  <c r="AB273" i="196"/>
  <c r="AB274" i="196"/>
  <c r="AB269" i="196"/>
  <c r="AB252" i="196"/>
  <c r="AB275" i="196"/>
  <c r="AB406" i="196"/>
  <c r="AB415" i="196" s="1"/>
  <c r="AB34" i="197" s="1"/>
  <c r="AB112" i="197" s="1"/>
  <c r="AB404" i="196"/>
  <c r="AB413" i="196" s="1"/>
  <c r="AB32" i="197" s="1"/>
  <c r="AB110" i="197" s="1"/>
  <c r="AB250" i="196"/>
  <c r="AB268" i="196"/>
  <c r="AB251" i="196"/>
  <c r="AJ274" i="196"/>
  <c r="AJ269" i="196"/>
  <c r="AJ405" i="196"/>
  <c r="AJ414" i="196" s="1"/>
  <c r="AJ33" i="197" s="1"/>
  <c r="AJ111" i="197" s="1"/>
  <c r="AJ275" i="196"/>
  <c r="AJ268" i="196"/>
  <c r="AJ251" i="196"/>
  <c r="AJ273" i="196"/>
  <c r="AJ406" i="196"/>
  <c r="AJ415" i="196" s="1"/>
  <c r="AJ34" i="197" s="1"/>
  <c r="AJ112" i="197" s="1"/>
  <c r="AJ252" i="196"/>
  <c r="AJ270" i="196"/>
  <c r="AJ250" i="196"/>
  <c r="AJ404" i="196"/>
  <c r="AJ413" i="196" s="1"/>
  <c r="AJ32" i="197" s="1"/>
  <c r="AJ110" i="197" s="1"/>
  <c r="AH274" i="196"/>
  <c r="AH275" i="196"/>
  <c r="AH252" i="196"/>
  <c r="AH404" i="196"/>
  <c r="AH413" i="196" s="1"/>
  <c r="AH32" i="197" s="1"/>
  <c r="AH110" i="197" s="1"/>
  <c r="AH270" i="196"/>
  <c r="AH406" i="196"/>
  <c r="AH415" i="196" s="1"/>
  <c r="AH34" i="197" s="1"/>
  <c r="AH112" i="197" s="1"/>
  <c r="AH268" i="196"/>
  <c r="AH251" i="196"/>
  <c r="AH405" i="196"/>
  <c r="AH414" i="196" s="1"/>
  <c r="AH33" i="197" s="1"/>
  <c r="AH111" i="197" s="1"/>
  <c r="AH273" i="196"/>
  <c r="AH250" i="196"/>
  <c r="AH269" i="196"/>
  <c r="W270" i="196"/>
  <c r="W406" i="196"/>
  <c r="W415" i="196" s="1"/>
  <c r="W34" i="197" s="1"/>
  <c r="W112" i="197" s="1"/>
  <c r="W275" i="196"/>
  <c r="W273" i="196"/>
  <c r="W404" i="196"/>
  <c r="W413" i="196" s="1"/>
  <c r="W32" i="197" s="1"/>
  <c r="W110" i="197" s="1"/>
  <c r="W251" i="196"/>
  <c r="W405" i="196"/>
  <c r="W414" i="196" s="1"/>
  <c r="W33" i="197" s="1"/>
  <c r="W111" i="197" s="1"/>
  <c r="W252" i="196"/>
  <c r="W250" i="196"/>
  <c r="W269" i="196"/>
  <c r="W274" i="196"/>
  <c r="W268" i="196"/>
  <c r="AK268" i="196"/>
  <c r="AK250" i="196"/>
  <c r="AK406" i="196"/>
  <c r="AK415" i="196" s="1"/>
  <c r="AK34" i="197" s="1"/>
  <c r="AK112" i="197" s="1"/>
  <c r="AK123" i="197" s="1"/>
  <c r="AK152" i="197" s="1"/>
  <c r="AK57" i="198" s="1"/>
  <c r="AK97" i="198" s="1"/>
  <c r="AK405" i="196"/>
  <c r="AK414" i="196" s="1"/>
  <c r="AK33" i="197" s="1"/>
  <c r="AK111" i="197" s="1"/>
  <c r="AK122" i="197" s="1"/>
  <c r="AK151" i="197" s="1"/>
  <c r="AK56" i="198" s="1"/>
  <c r="AK96" i="198" s="1"/>
  <c r="AK273" i="196"/>
  <c r="AK270" i="196"/>
  <c r="AK404" i="196"/>
  <c r="AK413" i="196" s="1"/>
  <c r="AK32" i="197" s="1"/>
  <c r="AK110" i="197" s="1"/>
  <c r="AK121" i="197" s="1"/>
  <c r="AK150" i="197" s="1"/>
  <c r="AK55" i="198" s="1"/>
  <c r="AK95" i="198" s="1"/>
  <c r="AK274" i="196"/>
  <c r="AK269" i="196"/>
  <c r="AK251" i="196"/>
  <c r="AK275" i="196"/>
  <c r="AK252" i="196"/>
  <c r="R268" i="196"/>
  <c r="R250" i="196"/>
  <c r="R404" i="196"/>
  <c r="R413" i="196" s="1"/>
  <c r="R32" i="197" s="1"/>
  <c r="R110" i="197" s="1"/>
  <c r="R251" i="196"/>
  <c r="R274" i="196"/>
  <c r="R252" i="196"/>
  <c r="R406" i="196"/>
  <c r="R415" i="196" s="1"/>
  <c r="R34" i="197" s="1"/>
  <c r="R112" i="197" s="1"/>
  <c r="R275" i="196"/>
  <c r="R270" i="196"/>
  <c r="R405" i="196"/>
  <c r="R414" i="196" s="1"/>
  <c r="R33" i="197" s="1"/>
  <c r="R111" i="197" s="1"/>
  <c r="R269" i="196"/>
  <c r="R273" i="196"/>
  <c r="AG406" i="196"/>
  <c r="AG270" i="196"/>
  <c r="AG275" i="196"/>
  <c r="AG280" i="196" s="1"/>
  <c r="AG285" i="196" s="1"/>
  <c r="AG363" i="196" s="1"/>
  <c r="AG365" i="196" s="1"/>
  <c r="AG367" i="196" s="1"/>
  <c r="AG369" i="196" s="1"/>
  <c r="AG394" i="196" s="1"/>
  <c r="AG405" i="196"/>
  <c r="AG273" i="196"/>
  <c r="AG278" i="196" s="1"/>
  <c r="AG283" i="196" s="1"/>
  <c r="AG251" i="196"/>
  <c r="AG274" i="196"/>
  <c r="AG279" i="196" s="1"/>
  <c r="AG284" i="196" s="1"/>
  <c r="AG252" i="196"/>
  <c r="AG404" i="196"/>
  <c r="AG250" i="196"/>
  <c r="AG269" i="196"/>
  <c r="AG268" i="196"/>
  <c r="Q274" i="196"/>
  <c r="Q275" i="196"/>
  <c r="Q273" i="196"/>
  <c r="Q270" i="196"/>
  <c r="Q250" i="196"/>
  <c r="Q404" i="196"/>
  <c r="Q413" i="196" s="1"/>
  <c r="Q32" i="197" s="1"/>
  <c r="Q110" i="197" s="1"/>
  <c r="Q252" i="196"/>
  <c r="Q405" i="196"/>
  <c r="Q414" i="196" s="1"/>
  <c r="Q33" i="197" s="1"/>
  <c r="Q111" i="197" s="1"/>
  <c r="Q269" i="196"/>
  <c r="Q251" i="196"/>
  <c r="Q268" i="196"/>
  <c r="Q406" i="196"/>
  <c r="Q415" i="196" s="1"/>
  <c r="Q34" i="197" s="1"/>
  <c r="Q112" i="197" s="1"/>
  <c r="AM406" i="196"/>
  <c r="AM415" i="196" s="1"/>
  <c r="AM34" i="197" s="1"/>
  <c r="AM112" i="197" s="1"/>
  <c r="AM123" i="197" s="1"/>
  <c r="AM152" i="197" s="1"/>
  <c r="AM57" i="198" s="1"/>
  <c r="AM97" i="198" s="1"/>
  <c r="AM275" i="196"/>
  <c r="AM273" i="196"/>
  <c r="AM404" i="196"/>
  <c r="AM413" i="196" s="1"/>
  <c r="AM32" i="197" s="1"/>
  <c r="AM110" i="197" s="1"/>
  <c r="AM121" i="197" s="1"/>
  <c r="AM150" i="197" s="1"/>
  <c r="AM55" i="198" s="1"/>
  <c r="AM95" i="198" s="1"/>
  <c r="AM269" i="196"/>
  <c r="AM252" i="196"/>
  <c r="AM250" i="196"/>
  <c r="AM270" i="196"/>
  <c r="AM405" i="196"/>
  <c r="AM414" i="196" s="1"/>
  <c r="AM33" i="197" s="1"/>
  <c r="AM111" i="197" s="1"/>
  <c r="AM122" i="197" s="1"/>
  <c r="AM151" i="197" s="1"/>
  <c r="AM56" i="198" s="1"/>
  <c r="AM96" i="198" s="1"/>
  <c r="AM274" i="196"/>
  <c r="AM268" i="196"/>
  <c r="AM251" i="196"/>
  <c r="AG331" i="196" l="1"/>
  <c r="AG333" i="196" s="1"/>
  <c r="AG335" i="196" s="1"/>
  <c r="AG337" i="196" s="1"/>
  <c r="AG393" i="196" s="1"/>
  <c r="AO102" i="198"/>
  <c r="AK102" i="198"/>
  <c r="AG413" i="196"/>
  <c r="AG32" i="197" s="1"/>
  <c r="AG110" i="197" s="1"/>
  <c r="AG299" i="196"/>
  <c r="AG415" i="196"/>
  <c r="AG34" i="197" s="1"/>
  <c r="AG112" i="197" s="1"/>
  <c r="W139" i="197"/>
  <c r="W168" i="197" s="1"/>
  <c r="W73" i="198" s="1"/>
  <c r="W115" i="198" s="1"/>
  <c r="W121" i="197"/>
  <c r="W150" i="197" s="1"/>
  <c r="W55" i="198" s="1"/>
  <c r="W95" i="198" s="1"/>
  <c r="AH122" i="197"/>
  <c r="AH151" i="197" s="1"/>
  <c r="AH56" i="198" s="1"/>
  <c r="AH96" i="198" s="1"/>
  <c r="AH131" i="197"/>
  <c r="AH160" i="197" s="1"/>
  <c r="AH65" i="198" s="1"/>
  <c r="AH106" i="198" s="1"/>
  <c r="AH140" i="197"/>
  <c r="AH169" i="197" s="1"/>
  <c r="AH74" i="198" s="1"/>
  <c r="AH116" i="198" s="1"/>
  <c r="AB121" i="197"/>
  <c r="AB150" i="197" s="1"/>
  <c r="AB55" i="198" s="1"/>
  <c r="AB95" i="198" s="1"/>
  <c r="AB139" i="197"/>
  <c r="AB168" i="197" s="1"/>
  <c r="AB73" i="198" s="1"/>
  <c r="AB115" i="198" s="1"/>
  <c r="AB122" i="197"/>
  <c r="AB151" i="197" s="1"/>
  <c r="AB56" i="198" s="1"/>
  <c r="AB96" i="198" s="1"/>
  <c r="AB140" i="197"/>
  <c r="AB169" i="197" s="1"/>
  <c r="AB74" i="198" s="1"/>
  <c r="AB116" i="198" s="1"/>
  <c r="AE225" i="196"/>
  <c r="AE416" i="196" s="1"/>
  <c r="AE35" i="197" s="1"/>
  <c r="AE113" i="197" s="1"/>
  <c r="AA225" i="196"/>
  <c r="AA416" i="196" s="1"/>
  <c r="AA35" i="197" s="1"/>
  <c r="AA113" i="197" s="1"/>
  <c r="AF225" i="196"/>
  <c r="AF416" i="196" s="1"/>
  <c r="AF35" i="197" s="1"/>
  <c r="AF113" i="197" s="1"/>
  <c r="U225" i="196"/>
  <c r="U416" i="196" s="1"/>
  <c r="U35" i="197" s="1"/>
  <c r="U113" i="197" s="1"/>
  <c r="AD225" i="196"/>
  <c r="AD416" i="196" s="1"/>
  <c r="AD35" i="197" s="1"/>
  <c r="AD113" i="197" s="1"/>
  <c r="S227" i="196"/>
  <c r="S229" i="196" s="1"/>
  <c r="S416" i="196"/>
  <c r="S35" i="197" s="1"/>
  <c r="S113" i="197" s="1"/>
  <c r="AI139" i="197"/>
  <c r="AI168" i="197" s="1"/>
  <c r="AI73" i="198" s="1"/>
  <c r="AI115" i="198" s="1"/>
  <c r="AI121" i="197"/>
  <c r="AI150" i="197" s="1"/>
  <c r="AI55" i="198" s="1"/>
  <c r="AI95" i="198" s="1"/>
  <c r="AI122" i="197"/>
  <c r="AI151" i="197" s="1"/>
  <c r="AI56" i="198" s="1"/>
  <c r="AI96" i="198" s="1"/>
  <c r="AI140" i="197"/>
  <c r="AI169" i="197" s="1"/>
  <c r="AI74" i="198" s="1"/>
  <c r="AI116" i="198" s="1"/>
  <c r="AN122" i="197"/>
  <c r="AN151" i="197" s="1"/>
  <c r="AN56" i="198" s="1"/>
  <c r="AN96" i="198" s="1"/>
  <c r="AN140" i="197"/>
  <c r="AN169" i="197" s="1"/>
  <c r="AN74" i="198" s="1"/>
  <c r="AN116" i="198" s="1"/>
  <c r="K122" i="197"/>
  <c r="K151" i="197" s="1"/>
  <c r="K56" i="198" s="1"/>
  <c r="K96" i="198" s="1"/>
  <c r="K140" i="197"/>
  <c r="K169" i="197" s="1"/>
  <c r="K74" i="198" s="1"/>
  <c r="K116" i="198" s="1"/>
  <c r="K131" i="197"/>
  <c r="K160" i="197" s="1"/>
  <c r="K65" i="198" s="1"/>
  <c r="K106" i="198" s="1"/>
  <c r="Q278" i="196"/>
  <c r="Q283" i="196" s="1"/>
  <c r="AM278" i="196"/>
  <c r="AM283" i="196" s="1"/>
  <c r="W278" i="196"/>
  <c r="W283" i="196" s="1"/>
  <c r="R278" i="196"/>
  <c r="R283" i="196" s="1"/>
  <c r="AL278" i="196"/>
  <c r="AL283" i="196" s="1"/>
  <c r="AK278" i="196"/>
  <c r="AK283" i="196" s="1"/>
  <c r="AN278" i="196"/>
  <c r="AN283" i="196" s="1"/>
  <c r="L278" i="196"/>
  <c r="L283" i="196" s="1"/>
  <c r="AH278" i="196"/>
  <c r="AH283" i="196" s="1"/>
  <c r="AJ278" i="196"/>
  <c r="AJ283" i="196" s="1"/>
  <c r="AB278" i="196"/>
  <c r="AB283" i="196" s="1"/>
  <c r="AI278" i="196"/>
  <c r="AI283" i="196" s="1"/>
  <c r="K278" i="196"/>
  <c r="K283" i="196" s="1"/>
  <c r="AO278" i="196"/>
  <c r="AO283" i="196" s="1"/>
  <c r="AL122" i="197"/>
  <c r="AL151" i="197" s="1"/>
  <c r="AL56" i="198" s="1"/>
  <c r="AL96" i="198" s="1"/>
  <c r="AL140" i="197"/>
  <c r="AL169" i="197" s="1"/>
  <c r="AL74" i="198" s="1"/>
  <c r="AL116" i="198" s="1"/>
  <c r="R131" i="197"/>
  <c r="R160" i="197" s="1"/>
  <c r="R65" i="198" s="1"/>
  <c r="R106" i="198" s="1"/>
  <c r="R140" i="197"/>
  <c r="R169" i="197" s="1"/>
  <c r="R74" i="198" s="1"/>
  <c r="R116" i="198" s="1"/>
  <c r="R122" i="197"/>
  <c r="R151" i="197" s="1"/>
  <c r="R56" i="198" s="1"/>
  <c r="R96" i="198" s="1"/>
  <c r="AH141" i="197"/>
  <c r="AH170" i="197" s="1"/>
  <c r="AH75" i="198" s="1"/>
  <c r="AH117" i="198" s="1"/>
  <c r="AH123" i="197"/>
  <c r="AH152" i="197" s="1"/>
  <c r="AH57" i="198" s="1"/>
  <c r="AH97" i="198" s="1"/>
  <c r="AH132" i="197"/>
  <c r="AH161" i="197" s="1"/>
  <c r="AH66" i="198" s="1"/>
  <c r="AH107" i="198" s="1"/>
  <c r="V225" i="196"/>
  <c r="V416" i="196" s="1"/>
  <c r="V35" i="197" s="1"/>
  <c r="V113" i="197" s="1"/>
  <c r="AN141" i="197"/>
  <c r="AN170" i="197" s="1"/>
  <c r="AN75" i="198" s="1"/>
  <c r="AN117" i="198" s="1"/>
  <c r="AN123" i="197"/>
  <c r="AN152" i="197" s="1"/>
  <c r="AN57" i="198" s="1"/>
  <c r="AN97" i="198" s="1"/>
  <c r="AN279" i="196"/>
  <c r="AN284" i="196" s="1"/>
  <c r="AK279" i="196"/>
  <c r="AK284" i="196" s="1"/>
  <c r="AL279" i="196"/>
  <c r="AL284" i="196" s="1"/>
  <c r="R279" i="196"/>
  <c r="R284" i="196" s="1"/>
  <c r="Q279" i="196"/>
  <c r="Q284" i="196" s="1"/>
  <c r="AI279" i="196"/>
  <c r="AI284" i="196" s="1"/>
  <c r="AB279" i="196"/>
  <c r="AB284" i="196" s="1"/>
  <c r="L279" i="196"/>
  <c r="L284" i="196" s="1"/>
  <c r="AH279" i="196"/>
  <c r="AH284" i="196" s="1"/>
  <c r="AM279" i="196"/>
  <c r="AM284" i="196" s="1"/>
  <c r="W279" i="196"/>
  <c r="W284" i="196" s="1"/>
  <c r="AJ279" i="196"/>
  <c r="AJ284" i="196" s="1"/>
  <c r="K279" i="196"/>
  <c r="K284" i="196" s="1"/>
  <c r="AO279" i="196"/>
  <c r="AO284" i="196" s="1"/>
  <c r="K280" i="196"/>
  <c r="K285" i="196" s="1"/>
  <c r="K363" i="196" s="1"/>
  <c r="AO280" i="196"/>
  <c r="AO285" i="196" s="1"/>
  <c r="AO363" i="196" s="1"/>
  <c r="AJ280" i="196"/>
  <c r="AJ285" i="196" s="1"/>
  <c r="AJ363" i="196" s="1"/>
  <c r="W280" i="196"/>
  <c r="W285" i="196" s="1"/>
  <c r="W363" i="196" s="1"/>
  <c r="AN280" i="196"/>
  <c r="AN285" i="196" s="1"/>
  <c r="AN363" i="196" s="1"/>
  <c r="Q280" i="196"/>
  <c r="Q285" i="196" s="1"/>
  <c r="Q363" i="196" s="1"/>
  <c r="R280" i="196"/>
  <c r="R285" i="196" s="1"/>
  <c r="R363" i="196" s="1"/>
  <c r="L280" i="196"/>
  <c r="L285" i="196" s="1"/>
  <c r="L363" i="196" s="1"/>
  <c r="AM280" i="196"/>
  <c r="AM285" i="196" s="1"/>
  <c r="AM363" i="196" s="1"/>
  <c r="AK280" i="196"/>
  <c r="AK285" i="196" s="1"/>
  <c r="AK363" i="196" s="1"/>
  <c r="AH280" i="196"/>
  <c r="AH285" i="196" s="1"/>
  <c r="AH363" i="196" s="1"/>
  <c r="AI280" i="196"/>
  <c r="AI285" i="196" s="1"/>
  <c r="AI363" i="196" s="1"/>
  <c r="AL280" i="196"/>
  <c r="AL285" i="196" s="1"/>
  <c r="AL363" i="196" s="1"/>
  <c r="AB280" i="196"/>
  <c r="AB285" i="196" s="1"/>
  <c r="AB363" i="196" s="1"/>
  <c r="AM102" i="198"/>
  <c r="Q132" i="197"/>
  <c r="Q161" i="197" s="1"/>
  <c r="Q66" i="198" s="1"/>
  <c r="Q107" i="198" s="1"/>
  <c r="Q141" i="197"/>
  <c r="Q170" i="197" s="1"/>
  <c r="Q75" i="198" s="1"/>
  <c r="Q117" i="198" s="1"/>
  <c r="Q123" i="197"/>
  <c r="Q152" i="197" s="1"/>
  <c r="Q57" i="198" s="1"/>
  <c r="Q97" i="198" s="1"/>
  <c r="Q140" i="197"/>
  <c r="Q169" i="197" s="1"/>
  <c r="Q74" i="198" s="1"/>
  <c r="Q116" i="198" s="1"/>
  <c r="Q122" i="197"/>
  <c r="Q151" i="197" s="1"/>
  <c r="Q56" i="198" s="1"/>
  <c r="Q96" i="198" s="1"/>
  <c r="Q131" i="197"/>
  <c r="Q160" i="197" s="1"/>
  <c r="Q65" i="198" s="1"/>
  <c r="Q106" i="198" s="1"/>
  <c r="AG414" i="196"/>
  <c r="AG33" i="197" s="1"/>
  <c r="AG111" i="197" s="1"/>
  <c r="AH121" i="197"/>
  <c r="AH150" i="197" s="1"/>
  <c r="AH55" i="198" s="1"/>
  <c r="AH95" i="198" s="1"/>
  <c r="AH130" i="197"/>
  <c r="AH159" i="197" s="1"/>
  <c r="AH64" i="198" s="1"/>
  <c r="AH105" i="198" s="1"/>
  <c r="AH139" i="197"/>
  <c r="AH168" i="197" s="1"/>
  <c r="AH73" i="198" s="1"/>
  <c r="AH115" i="198" s="1"/>
  <c r="AJ139" i="197"/>
  <c r="AJ168" i="197" s="1"/>
  <c r="AJ73" i="198" s="1"/>
  <c r="AJ115" i="198" s="1"/>
  <c r="AJ121" i="197"/>
  <c r="AJ150" i="197" s="1"/>
  <c r="AJ55" i="198" s="1"/>
  <c r="AJ95" i="198" s="1"/>
  <c r="AJ130" i="197"/>
  <c r="AJ159" i="197" s="1"/>
  <c r="AJ64" i="198" s="1"/>
  <c r="AJ105" i="198" s="1"/>
  <c r="AJ123" i="197"/>
  <c r="AJ152" i="197" s="1"/>
  <c r="AJ57" i="198" s="1"/>
  <c r="AJ97" i="198" s="1"/>
  <c r="AJ132" i="197"/>
  <c r="AJ161" i="197" s="1"/>
  <c r="AJ66" i="198" s="1"/>
  <c r="AJ107" i="198" s="1"/>
  <c r="AJ141" i="197"/>
  <c r="AJ170" i="197" s="1"/>
  <c r="AJ75" i="198" s="1"/>
  <c r="AJ117" i="198" s="1"/>
  <c r="AB141" i="197"/>
  <c r="AB170" i="197" s="1"/>
  <c r="AB75" i="198" s="1"/>
  <c r="AB117" i="198" s="1"/>
  <c r="AB123" i="197"/>
  <c r="AB152" i="197" s="1"/>
  <c r="AB57" i="198" s="1"/>
  <c r="AB97" i="198" s="1"/>
  <c r="O225" i="196"/>
  <c r="O416" i="196" s="1"/>
  <c r="O35" i="197" s="1"/>
  <c r="O113" i="197" s="1"/>
  <c r="P225" i="196"/>
  <c r="P416" i="196" s="1"/>
  <c r="P35" i="197" s="1"/>
  <c r="P113" i="197" s="1"/>
  <c r="Z227" i="196"/>
  <c r="Z229" i="196" s="1"/>
  <c r="Z416" i="196"/>
  <c r="Z35" i="197" s="1"/>
  <c r="Z113" i="197" s="1"/>
  <c r="AC225" i="196"/>
  <c r="AC416" i="196" s="1"/>
  <c r="AC35" i="197" s="1"/>
  <c r="AC113" i="197" s="1"/>
  <c r="X225" i="196"/>
  <c r="X416" i="196" s="1"/>
  <c r="X35" i="197" s="1"/>
  <c r="X113" i="197" s="1"/>
  <c r="T227" i="196"/>
  <c r="T229" i="196" s="1"/>
  <c r="T416" i="196"/>
  <c r="T35" i="197" s="1"/>
  <c r="T113" i="197" s="1"/>
  <c r="AI141" i="197"/>
  <c r="AI170" i="197" s="1"/>
  <c r="AI75" i="198" s="1"/>
  <c r="AI117" i="198" s="1"/>
  <c r="AI123" i="197"/>
  <c r="AI152" i="197" s="1"/>
  <c r="AI57" i="198" s="1"/>
  <c r="AI97" i="198" s="1"/>
  <c r="AN139" i="197"/>
  <c r="AN168" i="197" s="1"/>
  <c r="AN73" i="198" s="1"/>
  <c r="AN115" i="198" s="1"/>
  <c r="AN121" i="197"/>
  <c r="AN150" i="197" s="1"/>
  <c r="AN55" i="198" s="1"/>
  <c r="AN95" i="198" s="1"/>
  <c r="L130" i="197"/>
  <c r="L159" i="197" s="1"/>
  <c r="L64" i="198" s="1"/>
  <c r="L105" i="198" s="1"/>
  <c r="L139" i="197"/>
  <c r="L168" i="197" s="1"/>
  <c r="L73" i="198" s="1"/>
  <c r="L115" i="198" s="1"/>
  <c r="L121" i="197"/>
  <c r="L150" i="197" s="1"/>
  <c r="L55" i="198" s="1"/>
  <c r="L95" i="198" s="1"/>
  <c r="L122" i="197"/>
  <c r="L151" i="197" s="1"/>
  <c r="L56" i="198" s="1"/>
  <c r="L96" i="198" s="1"/>
  <c r="L131" i="197"/>
  <c r="L160" i="197" s="1"/>
  <c r="L65" i="198" s="1"/>
  <c r="L106" i="198" s="1"/>
  <c r="L140" i="197"/>
  <c r="L169" i="197" s="1"/>
  <c r="L74" i="198" s="1"/>
  <c r="L116" i="198" s="1"/>
  <c r="K139" i="197"/>
  <c r="K168" i="197" s="1"/>
  <c r="K73" i="198" s="1"/>
  <c r="K115" i="198" s="1"/>
  <c r="K121" i="197"/>
  <c r="K150" i="197" s="1"/>
  <c r="K55" i="198" s="1"/>
  <c r="K95" i="198" s="1"/>
  <c r="K130" i="197"/>
  <c r="K159" i="197" s="1"/>
  <c r="K64" i="198" s="1"/>
  <c r="K105" i="198" s="1"/>
  <c r="AL139" i="197"/>
  <c r="AL168" i="197" s="1"/>
  <c r="AL73" i="198" s="1"/>
  <c r="AL115" i="198" s="1"/>
  <c r="AL121" i="197"/>
  <c r="AL150" i="197" s="1"/>
  <c r="AL55" i="198" s="1"/>
  <c r="AL95" i="198" s="1"/>
  <c r="Q130" i="197"/>
  <c r="Q159" i="197" s="1"/>
  <c r="Q64" i="198" s="1"/>
  <c r="Q105" i="198" s="1"/>
  <c r="Q121" i="197"/>
  <c r="Q150" i="197" s="1"/>
  <c r="Q55" i="198" s="1"/>
  <c r="Q95" i="198" s="1"/>
  <c r="Q139" i="197"/>
  <c r="Q168" i="197" s="1"/>
  <c r="Q73" i="198" s="1"/>
  <c r="Q115" i="198" s="1"/>
  <c r="W123" i="197"/>
  <c r="W152" i="197" s="1"/>
  <c r="W57" i="198" s="1"/>
  <c r="W97" i="198" s="1"/>
  <c r="W141" i="197"/>
  <c r="W170" i="197" s="1"/>
  <c r="W75" i="198" s="1"/>
  <c r="W117" i="198" s="1"/>
  <c r="J225" i="196"/>
  <c r="J416" i="196" s="1"/>
  <c r="J35" i="197" s="1"/>
  <c r="J113" i="197" s="1"/>
  <c r="R141" i="197"/>
  <c r="R170" i="197" s="1"/>
  <c r="R75" i="198" s="1"/>
  <c r="R117" i="198" s="1"/>
  <c r="R132" i="197"/>
  <c r="R161" i="197" s="1"/>
  <c r="R66" i="198" s="1"/>
  <c r="R107" i="198" s="1"/>
  <c r="R123" i="197"/>
  <c r="R152" i="197" s="1"/>
  <c r="R57" i="198" s="1"/>
  <c r="R97" i="198" s="1"/>
  <c r="R121" i="197"/>
  <c r="R150" i="197" s="1"/>
  <c r="R55" i="198" s="1"/>
  <c r="R95" i="198" s="1"/>
  <c r="R130" i="197"/>
  <c r="R159" i="197" s="1"/>
  <c r="R64" i="198" s="1"/>
  <c r="R105" i="198" s="1"/>
  <c r="R139" i="197"/>
  <c r="R168" i="197" s="1"/>
  <c r="R73" i="198" s="1"/>
  <c r="R115" i="198" s="1"/>
  <c r="W140" i="197"/>
  <c r="W169" i="197" s="1"/>
  <c r="W74" i="198" s="1"/>
  <c r="W116" i="198" s="1"/>
  <c r="W122" i="197"/>
  <c r="W151" i="197" s="1"/>
  <c r="W56" i="198" s="1"/>
  <c r="W96" i="198" s="1"/>
  <c r="AJ140" i="197"/>
  <c r="AJ169" i="197" s="1"/>
  <c r="AJ74" i="198" s="1"/>
  <c r="AJ116" i="198" s="1"/>
  <c r="AJ122" i="197"/>
  <c r="AJ151" i="197" s="1"/>
  <c r="AJ56" i="198" s="1"/>
  <c r="AJ96" i="198" s="1"/>
  <c r="AJ131" i="197"/>
  <c r="AJ160" i="197" s="1"/>
  <c r="AJ65" i="198" s="1"/>
  <c r="AJ106" i="198" s="1"/>
  <c r="M225" i="196"/>
  <c r="M416" i="196" s="1"/>
  <c r="M35" i="197" s="1"/>
  <c r="M113" i="197" s="1"/>
  <c r="N225" i="196"/>
  <c r="N416" i="196" s="1"/>
  <c r="N35" i="197" s="1"/>
  <c r="N113" i="197" s="1"/>
  <c r="Y225" i="196"/>
  <c r="Y416" i="196" s="1"/>
  <c r="Y35" i="197" s="1"/>
  <c r="Y113" i="197" s="1"/>
  <c r="L132" i="197"/>
  <c r="L161" i="197" s="1"/>
  <c r="L66" i="198" s="1"/>
  <c r="L107" i="198" s="1"/>
  <c r="L141" i="197"/>
  <c r="L170" i="197" s="1"/>
  <c r="L75" i="198" s="1"/>
  <c r="L117" i="198" s="1"/>
  <c r="L123" i="197"/>
  <c r="L152" i="197" s="1"/>
  <c r="L57" i="198" s="1"/>
  <c r="L97" i="198" s="1"/>
  <c r="K141" i="197"/>
  <c r="K170" i="197" s="1"/>
  <c r="K75" i="198" s="1"/>
  <c r="K117" i="198" s="1"/>
  <c r="K132" i="197"/>
  <c r="K161" i="197" s="1"/>
  <c r="K66" i="198" s="1"/>
  <c r="K107" i="198" s="1"/>
  <c r="K123" i="197"/>
  <c r="K152" i="197" s="1"/>
  <c r="K57" i="198" s="1"/>
  <c r="K97" i="198" s="1"/>
  <c r="AL141" i="197"/>
  <c r="AL170" i="197" s="1"/>
  <c r="AL75" i="198" s="1"/>
  <c r="AL117" i="198" s="1"/>
  <c r="AL123" i="197"/>
  <c r="AL152" i="197" s="1"/>
  <c r="AL57" i="198" s="1"/>
  <c r="AL97" i="198" s="1"/>
  <c r="AH122" i="198" l="1"/>
  <c r="AH142" i="198" s="1"/>
  <c r="Q102" i="198"/>
  <c r="Q140" i="198" s="1"/>
  <c r="Q122" i="198"/>
  <c r="Q142" i="198" s="1"/>
  <c r="M227" i="196"/>
  <c r="M229" i="196" s="1"/>
  <c r="M425" i="196" s="1"/>
  <c r="K112" i="198"/>
  <c r="J227" i="196"/>
  <c r="J229" i="196" s="1"/>
  <c r="J238" i="196" s="1"/>
  <c r="AA227" i="196"/>
  <c r="AA229" i="196" s="1"/>
  <c r="AA425" i="196" s="1"/>
  <c r="Y227" i="196"/>
  <c r="Y229" i="196" s="1"/>
  <c r="T294" i="196" s="1"/>
  <c r="T296" i="196" s="1"/>
  <c r="U227" i="196"/>
  <c r="U229" i="196" s="1"/>
  <c r="Z294" i="196" s="1"/>
  <c r="Z296" i="196" s="1"/>
  <c r="X227" i="196"/>
  <c r="X229" i="196" s="1"/>
  <c r="X425" i="196" s="1"/>
  <c r="Q112" i="198"/>
  <c r="Q141" i="198" s="1"/>
  <c r="AH102" i="198"/>
  <c r="AH140" i="198" s="1"/>
  <c r="K331" i="196"/>
  <c r="AN331" i="196"/>
  <c r="V227" i="196"/>
  <c r="V229" i="196" s="1"/>
  <c r="V238" i="196" s="1"/>
  <c r="R112" i="198"/>
  <c r="R141" i="198" s="1"/>
  <c r="AN122" i="198"/>
  <c r="AN142" i="198" s="1"/>
  <c r="O227" i="196"/>
  <c r="O229" i="196" s="1"/>
  <c r="O238" i="196" s="1"/>
  <c r="AJ122" i="198"/>
  <c r="AJ142" i="198" s="1"/>
  <c r="AJ331" i="196"/>
  <c r="L331" i="196"/>
  <c r="R331" i="196"/>
  <c r="AM299" i="196"/>
  <c r="AM305" i="196" s="1"/>
  <c r="AM392" i="196" s="1"/>
  <c r="AM396" i="196" s="1"/>
  <c r="N124" i="197"/>
  <c r="N153" i="197" s="1"/>
  <c r="N58" i="198" s="1"/>
  <c r="N98" i="198" s="1"/>
  <c r="N142" i="197"/>
  <c r="N171" i="197" s="1"/>
  <c r="N76" i="198" s="1"/>
  <c r="N118" i="198" s="1"/>
  <c r="N133" i="197"/>
  <c r="N162" i="197" s="1"/>
  <c r="N67" i="198" s="1"/>
  <c r="N108" i="198" s="1"/>
  <c r="AO299" i="196"/>
  <c r="AO305" i="196" s="1"/>
  <c r="AO392" i="196" s="1"/>
  <c r="AO396" i="196" s="1"/>
  <c r="AJ299" i="196"/>
  <c r="AJ305" i="196" s="1"/>
  <c r="AJ392" i="196" s="1"/>
  <c r="AJ396" i="196" s="1"/>
  <c r="AK299" i="196"/>
  <c r="AK305" i="196" s="1"/>
  <c r="AK392" i="196" s="1"/>
  <c r="AK396" i="196" s="1"/>
  <c r="S294" i="196"/>
  <c r="S296" i="196" s="1"/>
  <c r="S425" i="196"/>
  <c r="S238" i="196"/>
  <c r="AG123" i="197"/>
  <c r="AG152" i="197" s="1"/>
  <c r="AG57" i="198" s="1"/>
  <c r="AG97" i="198" s="1"/>
  <c r="AG132" i="197"/>
  <c r="AG161" i="197" s="1"/>
  <c r="AG66" i="198" s="1"/>
  <c r="AG107" i="198" s="1"/>
  <c r="AG141" i="197"/>
  <c r="AG170" i="197" s="1"/>
  <c r="AG75" i="198" s="1"/>
  <c r="AG117" i="198" s="1"/>
  <c r="N227" i="196"/>
  <c r="N229" i="196" s="1"/>
  <c r="R122" i="198"/>
  <c r="R142" i="198" s="1"/>
  <c r="K102" i="198"/>
  <c r="K140" i="198" s="1"/>
  <c r="AN102" i="198"/>
  <c r="AN140" i="198" s="1"/>
  <c r="T133" i="197"/>
  <c r="T162" i="197" s="1"/>
  <c r="T67" i="198" s="1"/>
  <c r="T108" i="198" s="1"/>
  <c r="T142" i="197"/>
  <c r="T171" i="197" s="1"/>
  <c r="T76" i="198" s="1"/>
  <c r="T118" i="198" s="1"/>
  <c r="T124" i="197"/>
  <c r="T153" i="197" s="1"/>
  <c r="T58" i="198" s="1"/>
  <c r="T98" i="198" s="1"/>
  <c r="AC142" i="197"/>
  <c r="AC171" i="197" s="1"/>
  <c r="AC76" i="198" s="1"/>
  <c r="AC118" i="198" s="1"/>
  <c r="AC124" i="197"/>
  <c r="AC153" i="197" s="1"/>
  <c r="AC58" i="198" s="1"/>
  <c r="AC98" i="198" s="1"/>
  <c r="P142" i="197"/>
  <c r="P171" i="197" s="1"/>
  <c r="P76" i="198" s="1"/>
  <c r="P118" i="198" s="1"/>
  <c r="P124" i="197"/>
  <c r="P153" i="197" s="1"/>
  <c r="P58" i="198" s="1"/>
  <c r="P98" i="198" s="1"/>
  <c r="P133" i="197"/>
  <c r="P162" i="197" s="1"/>
  <c r="P67" i="198" s="1"/>
  <c r="P108" i="198" s="1"/>
  <c r="L365" i="196"/>
  <c r="L367" i="196" s="1"/>
  <c r="L369" i="196" s="1"/>
  <c r="L394" i="196" s="1"/>
  <c r="AM365" i="196"/>
  <c r="AM367" i="196" s="1"/>
  <c r="AM369" i="196" s="1"/>
  <c r="AM394" i="196" s="1"/>
  <c r="AH365" i="196"/>
  <c r="AH367" i="196" s="1"/>
  <c r="AH369" i="196" s="1"/>
  <c r="AH394" i="196" s="1"/>
  <c r="AB365" i="196"/>
  <c r="AB367" i="196" s="1"/>
  <c r="AB369" i="196" s="1"/>
  <c r="AB394" i="196" s="1"/>
  <c r="AK365" i="196"/>
  <c r="AK367" i="196" s="1"/>
  <c r="AK369" i="196" s="1"/>
  <c r="AK394" i="196" s="1"/>
  <c r="R365" i="196"/>
  <c r="R367" i="196" s="1"/>
  <c r="R369" i="196" s="1"/>
  <c r="R394" i="196" s="1"/>
  <c r="AO365" i="196"/>
  <c r="AO367" i="196" s="1"/>
  <c r="AO369" i="196" s="1"/>
  <c r="AO394" i="196" s="1"/>
  <c r="AJ365" i="196"/>
  <c r="AJ367" i="196" s="1"/>
  <c r="AJ369" i="196" s="1"/>
  <c r="AJ394" i="196" s="1"/>
  <c r="AL365" i="196"/>
  <c r="AL367" i="196" s="1"/>
  <c r="AL369" i="196" s="1"/>
  <c r="AL394" i="196" s="1"/>
  <c r="AN365" i="196"/>
  <c r="AN367" i="196" s="1"/>
  <c r="AN369" i="196" s="1"/>
  <c r="AN394" i="196" s="1"/>
  <c r="AI365" i="196"/>
  <c r="AI367" i="196" s="1"/>
  <c r="AI369" i="196" s="1"/>
  <c r="AI394" i="196" s="1"/>
  <c r="Q365" i="196"/>
  <c r="Q367" i="196" s="1"/>
  <c r="Q369" i="196" s="1"/>
  <c r="Q394" i="196" s="1"/>
  <c r="K365" i="196"/>
  <c r="K367" i="196" s="1"/>
  <c r="K369" i="196" s="1"/>
  <c r="K394" i="196" s="1"/>
  <c r="W365" i="196"/>
  <c r="W367" i="196" s="1"/>
  <c r="W369" i="196" s="1"/>
  <c r="W394" i="196" s="1"/>
  <c r="W331" i="196"/>
  <c r="AB331" i="196"/>
  <c r="AL331" i="196"/>
  <c r="K299" i="196"/>
  <c r="AH299" i="196"/>
  <c r="AH305" i="196" s="1"/>
  <c r="AH392" i="196" s="1"/>
  <c r="AH396" i="196" s="1"/>
  <c r="AL299" i="196"/>
  <c r="AL305" i="196" s="1"/>
  <c r="AL392" i="196" s="1"/>
  <c r="AL396" i="196" s="1"/>
  <c r="Q299" i="196"/>
  <c r="Q305" i="196" s="1"/>
  <c r="Q392" i="196" s="1"/>
  <c r="Q396" i="196" s="1"/>
  <c r="AI102" i="198"/>
  <c r="AI140" i="198" s="1"/>
  <c r="AD142" i="197"/>
  <c r="AD171" i="197" s="1"/>
  <c r="AD76" i="198" s="1"/>
  <c r="AD118" i="198" s="1"/>
  <c r="AD124" i="197"/>
  <c r="AD153" i="197" s="1"/>
  <c r="AD58" i="198" s="1"/>
  <c r="AD98" i="198" s="1"/>
  <c r="AF142" i="197"/>
  <c r="AF171" i="197" s="1"/>
  <c r="AF76" i="198" s="1"/>
  <c r="AF118" i="198" s="1"/>
  <c r="AF124" i="197"/>
  <c r="AF153" i="197" s="1"/>
  <c r="AF58" i="198" s="1"/>
  <c r="AF98" i="198" s="1"/>
  <c r="AE124" i="197"/>
  <c r="AE153" i="197" s="1"/>
  <c r="AE58" i="198" s="1"/>
  <c r="AE98" i="198" s="1"/>
  <c r="AE142" i="197"/>
  <c r="AE171" i="197" s="1"/>
  <c r="AE76" i="198" s="1"/>
  <c r="AE118" i="198" s="1"/>
  <c r="AB122" i="198"/>
  <c r="AB142" i="198" s="1"/>
  <c r="AG305" i="196"/>
  <c r="AG392" i="196" s="1"/>
  <c r="AG301" i="196"/>
  <c r="AG303" i="196" s="1"/>
  <c r="L112" i="198"/>
  <c r="L141" i="198" s="1"/>
  <c r="Z238" i="196"/>
  <c r="Z425" i="196"/>
  <c r="Y124" i="197"/>
  <c r="Y153" i="197" s="1"/>
  <c r="Y58" i="198" s="1"/>
  <c r="Y98" i="198" s="1"/>
  <c r="Y142" i="197"/>
  <c r="Y171" i="197" s="1"/>
  <c r="Y76" i="198" s="1"/>
  <c r="Y118" i="198" s="1"/>
  <c r="M142" i="197"/>
  <c r="M171" i="197" s="1"/>
  <c r="M76" i="198" s="1"/>
  <c r="M118" i="198" s="1"/>
  <c r="M133" i="197"/>
  <c r="M162" i="197" s="1"/>
  <c r="M67" i="198" s="1"/>
  <c r="M108" i="198" s="1"/>
  <c r="M124" i="197"/>
  <c r="M153" i="197" s="1"/>
  <c r="M58" i="198" s="1"/>
  <c r="M98" i="198" s="1"/>
  <c r="AL102" i="198"/>
  <c r="AL140" i="198" s="1"/>
  <c r="K122" i="198"/>
  <c r="K142" i="198" s="1"/>
  <c r="L102" i="198"/>
  <c r="L140" i="198" s="1"/>
  <c r="T425" i="196"/>
  <c r="T238" i="196"/>
  <c r="Y294" i="196"/>
  <c r="Y296" i="196" s="1"/>
  <c r="AC227" i="196"/>
  <c r="AC229" i="196" s="1"/>
  <c r="P227" i="196"/>
  <c r="P229" i="196" s="1"/>
  <c r="AJ112" i="198"/>
  <c r="AJ141" i="198" s="1"/>
  <c r="AH112" i="198"/>
  <c r="AH141" i="198" s="1"/>
  <c r="AO331" i="196"/>
  <c r="AM331" i="196"/>
  <c r="AI331" i="196"/>
  <c r="AK331" i="196"/>
  <c r="V124" i="197"/>
  <c r="V153" i="197" s="1"/>
  <c r="V58" i="198" s="1"/>
  <c r="V98" i="198" s="1"/>
  <c r="V142" i="197"/>
  <c r="V171" i="197" s="1"/>
  <c r="V76" i="198" s="1"/>
  <c r="V118" i="198" s="1"/>
  <c r="V133" i="197"/>
  <c r="V162" i="197" s="1"/>
  <c r="V67" i="198" s="1"/>
  <c r="V108" i="198" s="1"/>
  <c r="AI299" i="196"/>
  <c r="AI305" i="196" s="1"/>
  <c r="AI392" i="196" s="1"/>
  <c r="AI396" i="196" s="1"/>
  <c r="L299" i="196"/>
  <c r="L305" i="196" s="1"/>
  <c r="L392" i="196" s="1"/>
  <c r="L396" i="196" s="1"/>
  <c r="R299" i="196"/>
  <c r="R305" i="196" s="1"/>
  <c r="R392" i="196" s="1"/>
  <c r="R396" i="196" s="1"/>
  <c r="AI122" i="198"/>
  <c r="AI142" i="198" s="1"/>
  <c r="AD227" i="196"/>
  <c r="AD229" i="196" s="1"/>
  <c r="AF227" i="196"/>
  <c r="AF229" i="196" s="1"/>
  <c r="AE227" i="196"/>
  <c r="AE229" i="196" s="1"/>
  <c r="AB102" i="198"/>
  <c r="AB140" i="198" s="1"/>
  <c r="W102" i="198"/>
  <c r="AG121" i="197"/>
  <c r="AG150" i="197" s="1"/>
  <c r="AG55" i="198" s="1"/>
  <c r="AG95" i="198" s="1"/>
  <c r="AG130" i="197"/>
  <c r="AG159" i="197" s="1"/>
  <c r="AG64" i="198" s="1"/>
  <c r="AG105" i="198" s="1"/>
  <c r="AG139" i="197"/>
  <c r="AG168" i="197" s="1"/>
  <c r="AG73" i="198" s="1"/>
  <c r="AG115" i="198" s="1"/>
  <c r="AG140" i="197"/>
  <c r="AG169" i="197" s="1"/>
  <c r="AG74" i="198" s="1"/>
  <c r="AG116" i="198" s="1"/>
  <c r="AG131" i="197"/>
  <c r="AG160" i="197" s="1"/>
  <c r="AG65" i="198" s="1"/>
  <c r="AG106" i="198" s="1"/>
  <c r="AG122" i="197"/>
  <c r="AG151" i="197" s="1"/>
  <c r="AG56" i="198" s="1"/>
  <c r="AG96" i="198" s="1"/>
  <c r="R102" i="198"/>
  <c r="R140" i="198" s="1"/>
  <c r="J142" i="197"/>
  <c r="J171" i="197" s="1"/>
  <c r="J76" i="198" s="1"/>
  <c r="J118" i="198" s="1"/>
  <c r="J133" i="197"/>
  <c r="J162" i="197" s="1"/>
  <c r="J67" i="198" s="1"/>
  <c r="J108" i="198" s="1"/>
  <c r="J124" i="197"/>
  <c r="J153" i="197" s="1"/>
  <c r="J58" i="198" s="1"/>
  <c r="J98" i="198" s="1"/>
  <c r="AL122" i="198"/>
  <c r="AL142" i="198" s="1"/>
  <c r="L122" i="198"/>
  <c r="L142" i="198" s="1"/>
  <c r="X142" i="197"/>
  <c r="X171" i="197" s="1"/>
  <c r="X76" i="198" s="1"/>
  <c r="X118" i="198" s="1"/>
  <c r="X124" i="197"/>
  <c r="X153" i="197" s="1"/>
  <c r="X58" i="198" s="1"/>
  <c r="X98" i="198" s="1"/>
  <c r="Z142" i="197"/>
  <c r="Z171" i="197" s="1"/>
  <c r="Z76" i="198" s="1"/>
  <c r="Z118" i="198" s="1"/>
  <c r="Z124" i="197"/>
  <c r="Z153" i="197" s="1"/>
  <c r="Z58" i="198" s="1"/>
  <c r="Z98" i="198" s="1"/>
  <c r="O142" i="197"/>
  <c r="O171" i="197" s="1"/>
  <c r="O76" i="198" s="1"/>
  <c r="O118" i="198" s="1"/>
  <c r="O124" i="197"/>
  <c r="O153" i="197" s="1"/>
  <c r="O58" i="198" s="1"/>
  <c r="O98" i="198" s="1"/>
  <c r="O133" i="197"/>
  <c r="O162" i="197" s="1"/>
  <c r="O67" i="198" s="1"/>
  <c r="O108" i="198" s="1"/>
  <c r="AJ102" i="198"/>
  <c r="AJ140" i="198" s="1"/>
  <c r="AH331" i="196"/>
  <c r="Q331" i="196"/>
  <c r="AB299" i="196"/>
  <c r="AB305" i="196" s="1"/>
  <c r="AB392" i="196" s="1"/>
  <c r="AB396" i="196" s="1"/>
  <c r="AN299" i="196"/>
  <c r="AN305" i="196" s="1"/>
  <c r="AN392" i="196" s="1"/>
  <c r="AN396" i="196" s="1"/>
  <c r="W299" i="196"/>
  <c r="W305" i="196" s="1"/>
  <c r="W392" i="196" s="1"/>
  <c r="W396" i="196" s="1"/>
  <c r="S142" i="197"/>
  <c r="S171" i="197" s="1"/>
  <c r="S76" i="198" s="1"/>
  <c r="S118" i="198" s="1"/>
  <c r="S133" i="197"/>
  <c r="S162" i="197" s="1"/>
  <c r="S67" i="198" s="1"/>
  <c r="S108" i="198" s="1"/>
  <c r="S124" i="197"/>
  <c r="S153" i="197" s="1"/>
  <c r="S58" i="198" s="1"/>
  <c r="S98" i="198" s="1"/>
  <c r="U133" i="197"/>
  <c r="U162" i="197" s="1"/>
  <c r="U67" i="198" s="1"/>
  <c r="U108" i="198" s="1"/>
  <c r="U124" i="197"/>
  <c r="U153" i="197" s="1"/>
  <c r="U58" i="198" s="1"/>
  <c r="U98" i="198" s="1"/>
  <c r="U142" i="197"/>
  <c r="U171" i="197" s="1"/>
  <c r="U76" i="198" s="1"/>
  <c r="U118" i="198" s="1"/>
  <c r="AA124" i="197"/>
  <c r="AA153" i="197" s="1"/>
  <c r="AA58" i="198" s="1"/>
  <c r="AA98" i="198" s="1"/>
  <c r="AA142" i="197"/>
  <c r="AA171" i="197" s="1"/>
  <c r="AA76" i="198" s="1"/>
  <c r="AA118" i="198" s="1"/>
  <c r="W122" i="198"/>
  <c r="Y238" i="196" l="1"/>
  <c r="Y274" i="196" s="1"/>
  <c r="Y425" i="196"/>
  <c r="M238" i="196"/>
  <c r="M251" i="196" s="1"/>
  <c r="M294" i="196"/>
  <c r="M296" i="196" s="1"/>
  <c r="U294" i="196"/>
  <c r="U296" i="196" s="1"/>
  <c r="U425" i="196"/>
  <c r="U238" i="196"/>
  <c r="U404" i="196" s="1"/>
  <c r="U413" i="196" s="1"/>
  <c r="U32" i="197" s="1"/>
  <c r="U110" i="197" s="1"/>
  <c r="X294" i="196"/>
  <c r="X296" i="196" s="1"/>
  <c r="O425" i="196"/>
  <c r="J294" i="196"/>
  <c r="J296" i="196" s="1"/>
  <c r="V425" i="196"/>
  <c r="O294" i="196"/>
  <c r="O296" i="196" s="1"/>
  <c r="X238" i="196"/>
  <c r="X404" i="196" s="1"/>
  <c r="X413" i="196" s="1"/>
  <c r="X32" i="197" s="1"/>
  <c r="X110" i="197" s="1"/>
  <c r="J425" i="196"/>
  <c r="V294" i="196"/>
  <c r="V296" i="196" s="1"/>
  <c r="AA238" i="196"/>
  <c r="AA274" i="196" s="1"/>
  <c r="AK333" i="196"/>
  <c r="AK335" i="196" s="1"/>
  <c r="AK337" i="196" s="1"/>
  <c r="AK393" i="196" s="1"/>
  <c r="K333" i="196"/>
  <c r="K335" i="196" s="1"/>
  <c r="K337" i="196" s="1"/>
  <c r="K393" i="196" s="1"/>
  <c r="AA294" i="196"/>
  <c r="AA296" i="196" s="1"/>
  <c r="AG122" i="198"/>
  <c r="AG142" i="198" s="1"/>
  <c r="AI333" i="196"/>
  <c r="AI335" i="196" s="1"/>
  <c r="AI337" i="196" s="1"/>
  <c r="AI393" i="196" s="1"/>
  <c r="Q333" i="196"/>
  <c r="Q335" i="196" s="1"/>
  <c r="Q337" i="196" s="1"/>
  <c r="Q393" i="196" s="1"/>
  <c r="R333" i="196"/>
  <c r="R335" i="196" s="1"/>
  <c r="R337" i="196" s="1"/>
  <c r="R393" i="196" s="1"/>
  <c r="AJ333" i="196"/>
  <c r="AJ335" i="196" s="1"/>
  <c r="AJ337" i="196" s="1"/>
  <c r="AJ393" i="196" s="1"/>
  <c r="H98" i="198"/>
  <c r="AD238" i="196"/>
  <c r="AD425" i="196"/>
  <c r="AD294" i="196"/>
  <c r="AD296" i="196" s="1"/>
  <c r="O252" i="196"/>
  <c r="O250" i="196"/>
  <c r="O406" i="196"/>
  <c r="O415" i="196" s="1"/>
  <c r="O34" i="197" s="1"/>
  <c r="O112" i="197" s="1"/>
  <c r="O273" i="196"/>
  <c r="O278" i="196" s="1"/>
  <c r="O283" i="196" s="1"/>
  <c r="O405" i="196"/>
  <c r="O414" i="196" s="1"/>
  <c r="O33" i="197" s="1"/>
  <c r="O111" i="197" s="1"/>
  <c r="O275" i="196"/>
  <c r="O280" i="196" s="1"/>
  <c r="O285" i="196" s="1"/>
  <c r="O363" i="196" s="1"/>
  <c r="O365" i="196" s="1"/>
  <c r="O367" i="196" s="1"/>
  <c r="O369" i="196" s="1"/>
  <c r="O394" i="196" s="1"/>
  <c r="O269" i="196"/>
  <c r="O274" i="196"/>
  <c r="O279" i="196" s="1"/>
  <c r="O284" i="196" s="1"/>
  <c r="O268" i="196"/>
  <c r="O251" i="196"/>
  <c r="O270" i="196"/>
  <c r="O404" i="196"/>
  <c r="O413" i="196" s="1"/>
  <c r="O32" i="197" s="1"/>
  <c r="O110" i="197" s="1"/>
  <c r="Z252" i="196"/>
  <c r="Z404" i="196"/>
  <c r="Z413" i="196" s="1"/>
  <c r="Z32" i="197" s="1"/>
  <c r="Z110" i="197" s="1"/>
  <c r="Z274" i="196"/>
  <c r="Z268" i="196"/>
  <c r="Z269" i="196"/>
  <c r="Z406" i="196"/>
  <c r="Z415" i="196" s="1"/>
  <c r="Z34" i="197" s="1"/>
  <c r="Z112" i="197" s="1"/>
  <c r="Z251" i="196"/>
  <c r="Z273" i="196"/>
  <c r="Z270" i="196"/>
  <c r="Z405" i="196"/>
  <c r="Z414" i="196" s="1"/>
  <c r="Z33" i="197" s="1"/>
  <c r="Z111" i="197" s="1"/>
  <c r="Z250" i="196"/>
  <c r="Z275" i="196"/>
  <c r="J405" i="196"/>
  <c r="J414" i="196" s="1"/>
  <c r="J33" i="197" s="1"/>
  <c r="J111" i="197" s="1"/>
  <c r="J406" i="196"/>
  <c r="J415" i="196" s="1"/>
  <c r="J34" i="197" s="1"/>
  <c r="J112" i="197" s="1"/>
  <c r="J273" i="196"/>
  <c r="J278" i="196" s="1"/>
  <c r="J283" i="196" s="1"/>
  <c r="J404" i="196"/>
  <c r="J413" i="196" s="1"/>
  <c r="J32" i="197" s="1"/>
  <c r="J110" i="197" s="1"/>
  <c r="J251" i="196"/>
  <c r="J250" i="196"/>
  <c r="J270" i="196"/>
  <c r="J269" i="196"/>
  <c r="J252" i="196"/>
  <c r="J275" i="196"/>
  <c r="J280" i="196" s="1"/>
  <c r="J285" i="196" s="1"/>
  <c r="J363" i="196" s="1"/>
  <c r="J365" i="196" s="1"/>
  <c r="J367" i="196" s="1"/>
  <c r="J369" i="196" s="1"/>
  <c r="J394" i="196" s="1"/>
  <c r="J274" i="196"/>
  <c r="J279" i="196" s="1"/>
  <c r="J284" i="196" s="1"/>
  <c r="J268" i="196"/>
  <c r="N294" i="196"/>
  <c r="N296" i="196" s="1"/>
  <c r="N425" i="196"/>
  <c r="N238" i="196"/>
  <c r="V268" i="196"/>
  <c r="V251" i="196"/>
  <c r="V273" i="196"/>
  <c r="V270" i="196"/>
  <c r="V405" i="196"/>
  <c r="V414" i="196" s="1"/>
  <c r="V33" i="197" s="1"/>
  <c r="V111" i="197" s="1"/>
  <c r="V275" i="196"/>
  <c r="V269" i="196"/>
  <c r="V252" i="196"/>
  <c r="V250" i="196"/>
  <c r="V274" i="196"/>
  <c r="V406" i="196"/>
  <c r="V415" i="196" s="1"/>
  <c r="V34" i="197" s="1"/>
  <c r="V112" i="197" s="1"/>
  <c r="V404" i="196"/>
  <c r="V413" i="196" s="1"/>
  <c r="V32" i="197" s="1"/>
  <c r="V110" i="197" s="1"/>
  <c r="AO333" i="196"/>
  <c r="AO335" i="196" s="1"/>
  <c r="AO337" i="196" s="1"/>
  <c r="AO393" i="196" s="1"/>
  <c r="AL333" i="196"/>
  <c r="AL335" i="196" s="1"/>
  <c r="AL337" i="196" s="1"/>
  <c r="AL393" i="196" s="1"/>
  <c r="AH333" i="196"/>
  <c r="AH335" i="196" s="1"/>
  <c r="AH337" i="196" s="1"/>
  <c r="AH393" i="196" s="1"/>
  <c r="W333" i="196"/>
  <c r="W335" i="196" s="1"/>
  <c r="W337" i="196" s="1"/>
  <c r="W393" i="196" s="1"/>
  <c r="AN333" i="196"/>
  <c r="AN335" i="196" s="1"/>
  <c r="AN337" i="196" s="1"/>
  <c r="AN393" i="196" s="1"/>
  <c r="H118" i="198"/>
  <c r="AG112" i="198"/>
  <c r="AG141" i="198" s="1"/>
  <c r="AE425" i="196"/>
  <c r="AE294" i="196"/>
  <c r="AE296" i="196" s="1"/>
  <c r="AE238" i="196"/>
  <c r="P425" i="196"/>
  <c r="P294" i="196"/>
  <c r="P296" i="196" s="1"/>
  <c r="P238" i="196"/>
  <c r="T250" i="196"/>
  <c r="T270" i="196"/>
  <c r="T252" i="196"/>
  <c r="T404" i="196"/>
  <c r="T413" i="196" s="1"/>
  <c r="T32" i="197" s="1"/>
  <c r="T110" i="197" s="1"/>
  <c r="T405" i="196"/>
  <c r="T414" i="196" s="1"/>
  <c r="T33" i="197" s="1"/>
  <c r="T111" i="197" s="1"/>
  <c r="T269" i="196"/>
  <c r="T251" i="196"/>
  <c r="T274" i="196"/>
  <c r="T406" i="196"/>
  <c r="T415" i="196" s="1"/>
  <c r="T34" i="197" s="1"/>
  <c r="T112" i="197" s="1"/>
  <c r="T275" i="196"/>
  <c r="T273" i="196"/>
  <c r="T268" i="196"/>
  <c r="S274" i="196"/>
  <c r="S405" i="196"/>
  <c r="S414" i="196" s="1"/>
  <c r="S33" i="197" s="1"/>
  <c r="S111" i="197" s="1"/>
  <c r="S406" i="196"/>
  <c r="S415" i="196" s="1"/>
  <c r="S34" i="197" s="1"/>
  <c r="S112" i="197" s="1"/>
  <c r="S270" i="196"/>
  <c r="S251" i="196"/>
  <c r="S269" i="196"/>
  <c r="S268" i="196"/>
  <c r="S250" i="196"/>
  <c r="S404" i="196"/>
  <c r="S413" i="196" s="1"/>
  <c r="S32" i="197" s="1"/>
  <c r="S110" i="197" s="1"/>
  <c r="S275" i="196"/>
  <c r="S273" i="196"/>
  <c r="S252" i="196"/>
  <c r="L333" i="196"/>
  <c r="L335" i="196" s="1"/>
  <c r="L337" i="196" s="1"/>
  <c r="L393" i="196" s="1"/>
  <c r="H108" i="198"/>
  <c r="H231" i="196"/>
  <c r="AM333" i="196"/>
  <c r="AM335" i="196" s="1"/>
  <c r="AM337" i="196" s="1"/>
  <c r="AM393" i="196" s="1"/>
  <c r="AB333" i="196"/>
  <c r="AB335" i="196" s="1"/>
  <c r="AB337" i="196" s="1"/>
  <c r="AB393" i="196" s="1"/>
  <c r="AG102" i="198"/>
  <c r="AG140" i="198" s="1"/>
  <c r="AF238" i="196"/>
  <c r="AF294" i="196"/>
  <c r="AF296" i="196" s="1"/>
  <c r="AF425" i="196"/>
  <c r="AC238" i="196"/>
  <c r="AC294" i="196"/>
  <c r="AC296" i="196" s="1"/>
  <c r="AC425" i="196"/>
  <c r="Q301" i="196"/>
  <c r="Q303" i="196" s="1"/>
  <c r="L301" i="196"/>
  <c r="L303" i="196" s="1"/>
  <c r="AL301" i="196"/>
  <c r="AL303" i="196" s="1"/>
  <c r="AO301" i="196"/>
  <c r="AO303" i="196" s="1"/>
  <c r="AH301" i="196"/>
  <c r="AH303" i="196" s="1"/>
  <c r="AN301" i="196"/>
  <c r="AN303" i="196" s="1"/>
  <c r="AK301" i="196"/>
  <c r="AK303" i="196" s="1"/>
  <c r="K301" i="196"/>
  <c r="K303" i="196" s="1"/>
  <c r="W301" i="196"/>
  <c r="W303" i="196" s="1"/>
  <c r="AB301" i="196"/>
  <c r="AB303" i="196" s="1"/>
  <c r="AI301" i="196"/>
  <c r="AI303" i="196" s="1"/>
  <c r="K305" i="196"/>
  <c r="K392" i="196" s="1"/>
  <c r="K396" i="196" s="1"/>
  <c r="AM301" i="196"/>
  <c r="AM303" i="196" s="1"/>
  <c r="R301" i="196"/>
  <c r="R303" i="196" s="1"/>
  <c r="AJ301" i="196"/>
  <c r="AJ303" i="196" s="1"/>
  <c r="Y252" i="196" l="1"/>
  <c r="Y269" i="196"/>
  <c r="Y250" i="196"/>
  <c r="M405" i="196"/>
  <c r="M414" i="196" s="1"/>
  <c r="M33" i="197" s="1"/>
  <c r="M111" i="197" s="1"/>
  <c r="M122" i="197" s="1"/>
  <c r="M151" i="197" s="1"/>
  <c r="M56" i="198" s="1"/>
  <c r="M96" i="198" s="1"/>
  <c r="M250" i="196"/>
  <c r="Y404" i="196"/>
  <c r="Y413" i="196" s="1"/>
  <c r="Y32" i="197" s="1"/>
  <c r="Y110" i="197" s="1"/>
  <c r="Y139" i="197" s="1"/>
  <c r="Y168" i="197" s="1"/>
  <c r="Y73" i="198" s="1"/>
  <c r="Y115" i="198" s="1"/>
  <c r="Y275" i="196"/>
  <c r="Y280" i="196" s="1"/>
  <c r="Y285" i="196" s="1"/>
  <c r="Y363" i="196" s="1"/>
  <c r="Y405" i="196"/>
  <c r="Y414" i="196" s="1"/>
  <c r="Y33" i="197" s="1"/>
  <c r="Y111" i="197" s="1"/>
  <c r="Y140" i="197" s="1"/>
  <c r="Y169" i="197" s="1"/>
  <c r="Y74" i="198" s="1"/>
  <c r="Y116" i="198" s="1"/>
  <c r="Y273" i="196"/>
  <c r="Y278" i="196" s="1"/>
  <c r="Y283" i="196" s="1"/>
  <c r="Y268" i="196"/>
  <c r="Y270" i="196"/>
  <c r="Y406" i="196"/>
  <c r="Y415" i="196" s="1"/>
  <c r="Y34" i="197" s="1"/>
  <c r="Y112" i="197" s="1"/>
  <c r="Y141" i="197" s="1"/>
  <c r="Y170" i="197" s="1"/>
  <c r="Y75" i="198" s="1"/>
  <c r="Y117" i="198" s="1"/>
  <c r="Y251" i="196"/>
  <c r="M406" i="196"/>
  <c r="M415" i="196" s="1"/>
  <c r="M34" i="197" s="1"/>
  <c r="M112" i="197" s="1"/>
  <c r="M132" i="197" s="1"/>
  <c r="M161" i="197" s="1"/>
  <c r="M66" i="198" s="1"/>
  <c r="M107" i="198" s="1"/>
  <c r="M270" i="196"/>
  <c r="M269" i="196"/>
  <c r="M275" i="196"/>
  <c r="M280" i="196" s="1"/>
  <c r="M285" i="196" s="1"/>
  <c r="M363" i="196" s="1"/>
  <c r="M365" i="196" s="1"/>
  <c r="M367" i="196" s="1"/>
  <c r="M369" i="196" s="1"/>
  <c r="M394" i="196" s="1"/>
  <c r="M268" i="196"/>
  <c r="M404" i="196"/>
  <c r="M413" i="196" s="1"/>
  <c r="M32" i="197" s="1"/>
  <c r="M110" i="197" s="1"/>
  <c r="M130" i="197" s="1"/>
  <c r="M159" i="197" s="1"/>
  <c r="M64" i="198" s="1"/>
  <c r="M105" i="198" s="1"/>
  <c r="M252" i="196"/>
  <c r="M273" i="196"/>
  <c r="M278" i="196" s="1"/>
  <c r="M283" i="196" s="1"/>
  <c r="M274" i="196"/>
  <c r="M279" i="196" s="1"/>
  <c r="M284" i="196" s="1"/>
  <c r="U251" i="196"/>
  <c r="U252" i="196"/>
  <c r="AA405" i="196"/>
  <c r="AA414" i="196" s="1"/>
  <c r="AA33" i="197" s="1"/>
  <c r="AA111" i="197" s="1"/>
  <c r="AA140" i="197" s="1"/>
  <c r="AA169" i="197" s="1"/>
  <c r="AA74" i="198" s="1"/>
  <c r="AA116" i="198" s="1"/>
  <c r="U268" i="196"/>
  <c r="U274" i="196"/>
  <c r="U279" i="196" s="1"/>
  <c r="U284" i="196" s="1"/>
  <c r="U270" i="196"/>
  <c r="U250" i="196"/>
  <c r="U405" i="196"/>
  <c r="U414" i="196" s="1"/>
  <c r="U33" i="197" s="1"/>
  <c r="U111" i="197" s="1"/>
  <c r="U122" i="197" s="1"/>
  <c r="U151" i="197" s="1"/>
  <c r="U56" i="198" s="1"/>
  <c r="U96" i="198" s="1"/>
  <c r="U406" i="196"/>
  <c r="U415" i="196" s="1"/>
  <c r="U34" i="197" s="1"/>
  <c r="U112" i="197" s="1"/>
  <c r="U123" i="197" s="1"/>
  <c r="U152" i="197" s="1"/>
  <c r="U57" i="198" s="1"/>
  <c r="U97" i="198" s="1"/>
  <c r="U275" i="196"/>
  <c r="U280" i="196" s="1"/>
  <c r="U285" i="196" s="1"/>
  <c r="U363" i="196" s="1"/>
  <c r="U273" i="196"/>
  <c r="Z278" i="196" s="1"/>
  <c r="Z283" i="196" s="1"/>
  <c r="U269" i="196"/>
  <c r="X250" i="196"/>
  <c r="X406" i="196"/>
  <c r="X415" i="196" s="1"/>
  <c r="X34" i="197" s="1"/>
  <c r="X112" i="197" s="1"/>
  <c r="X123" i="197" s="1"/>
  <c r="X152" i="197" s="1"/>
  <c r="X57" i="198" s="1"/>
  <c r="X97" i="198" s="1"/>
  <c r="X268" i="196"/>
  <c r="X270" i="196"/>
  <c r="X275" i="196"/>
  <c r="S280" i="196" s="1"/>
  <c r="S285" i="196" s="1"/>
  <c r="S363" i="196" s="1"/>
  <c r="X252" i="196"/>
  <c r="AA269" i="196"/>
  <c r="AA268" i="196"/>
  <c r="X274" i="196"/>
  <c r="X279" i="196" s="1"/>
  <c r="X284" i="196" s="1"/>
  <c r="X251" i="196"/>
  <c r="X269" i="196"/>
  <c r="X405" i="196"/>
  <c r="X414" i="196" s="1"/>
  <c r="X33" i="197" s="1"/>
  <c r="X111" i="197" s="1"/>
  <c r="X140" i="197" s="1"/>
  <c r="X169" i="197" s="1"/>
  <c r="X74" i="198" s="1"/>
  <c r="X116" i="198" s="1"/>
  <c r="X273" i="196"/>
  <c r="S278" i="196" s="1"/>
  <c r="S283" i="196" s="1"/>
  <c r="AA252" i="196"/>
  <c r="AA251" i="196"/>
  <c r="AA404" i="196"/>
  <c r="AA413" i="196" s="1"/>
  <c r="AA32" i="197" s="1"/>
  <c r="AA110" i="197" s="1"/>
  <c r="AA139" i="197" s="1"/>
  <c r="AA168" i="197" s="1"/>
  <c r="AA73" i="198" s="1"/>
  <c r="AA115" i="198" s="1"/>
  <c r="AA275" i="196"/>
  <c r="V280" i="196" s="1"/>
  <c r="V285" i="196" s="1"/>
  <c r="V363" i="196" s="1"/>
  <c r="AA273" i="196"/>
  <c r="V278" i="196" s="1"/>
  <c r="V283" i="196" s="1"/>
  <c r="AA270" i="196"/>
  <c r="AA250" i="196"/>
  <c r="AA406" i="196"/>
  <c r="AA415" i="196" s="1"/>
  <c r="AA34" i="197" s="1"/>
  <c r="AA112" i="197" s="1"/>
  <c r="AA123" i="197" s="1"/>
  <c r="AA152" i="197" s="1"/>
  <c r="AA57" i="198" s="1"/>
  <c r="AA97" i="198" s="1"/>
  <c r="O331" i="196"/>
  <c r="O333" i="196" s="1"/>
  <c r="O335" i="196" s="1"/>
  <c r="O337" i="196" s="1"/>
  <c r="O393" i="196" s="1"/>
  <c r="H425" i="196"/>
  <c r="S131" i="197"/>
  <c r="S160" i="197" s="1"/>
  <c r="S65" i="198" s="1"/>
  <c r="S106" i="198" s="1"/>
  <c r="S140" i="197"/>
  <c r="S169" i="197" s="1"/>
  <c r="S74" i="198" s="1"/>
  <c r="S116" i="198" s="1"/>
  <c r="S122" i="197"/>
  <c r="S151" i="197" s="1"/>
  <c r="S56" i="198" s="1"/>
  <c r="S96" i="198" s="1"/>
  <c r="T132" i="197"/>
  <c r="T161" i="197" s="1"/>
  <c r="T66" i="198" s="1"/>
  <c r="T107" i="198" s="1"/>
  <c r="T141" i="197"/>
  <c r="T170" i="197" s="1"/>
  <c r="T75" i="198" s="1"/>
  <c r="T117" i="198" s="1"/>
  <c r="T123" i="197"/>
  <c r="T152" i="197" s="1"/>
  <c r="T57" i="198" s="1"/>
  <c r="T97" i="198" s="1"/>
  <c r="T140" i="197"/>
  <c r="T169" i="197" s="1"/>
  <c r="T74" i="198" s="1"/>
  <c r="T116" i="198" s="1"/>
  <c r="T131" i="197"/>
  <c r="T160" i="197" s="1"/>
  <c r="T65" i="198" s="1"/>
  <c r="T106" i="198" s="1"/>
  <c r="T122" i="197"/>
  <c r="T151" i="197" s="1"/>
  <c r="T56" i="198" s="1"/>
  <c r="T96" i="198" s="1"/>
  <c r="V122" i="197"/>
  <c r="V151" i="197" s="1"/>
  <c r="V56" i="198" s="1"/>
  <c r="V96" i="198" s="1"/>
  <c r="V131" i="197"/>
  <c r="V160" i="197" s="1"/>
  <c r="V65" i="198" s="1"/>
  <c r="V106" i="198" s="1"/>
  <c r="V140" i="197"/>
  <c r="V169" i="197" s="1"/>
  <c r="V74" i="198" s="1"/>
  <c r="V116" i="198" s="1"/>
  <c r="N274" i="196"/>
  <c r="N279" i="196" s="1"/>
  <c r="N284" i="196" s="1"/>
  <c r="N252" i="196"/>
  <c r="N404" i="196"/>
  <c r="N413" i="196" s="1"/>
  <c r="N32" i="197" s="1"/>
  <c r="N110" i="197" s="1"/>
  <c r="N250" i="196"/>
  <c r="N406" i="196"/>
  <c r="N415" i="196" s="1"/>
  <c r="N34" i="197" s="1"/>
  <c r="N112" i="197" s="1"/>
  <c r="N273" i="196"/>
  <c r="N278" i="196" s="1"/>
  <c r="N283" i="196" s="1"/>
  <c r="N268" i="196"/>
  <c r="N269" i="196"/>
  <c r="N405" i="196"/>
  <c r="N414" i="196" s="1"/>
  <c r="N33" i="197" s="1"/>
  <c r="N111" i="197" s="1"/>
  <c r="N275" i="196"/>
  <c r="N280" i="196" s="1"/>
  <c r="N285" i="196" s="1"/>
  <c r="N363" i="196" s="1"/>
  <c r="N365" i="196" s="1"/>
  <c r="N367" i="196" s="1"/>
  <c r="N369" i="196" s="1"/>
  <c r="N394" i="196" s="1"/>
  <c r="N251" i="196"/>
  <c r="N270" i="196"/>
  <c r="J123" i="197"/>
  <c r="J152" i="197" s="1"/>
  <c r="J57" i="198" s="1"/>
  <c r="J97" i="198" s="1"/>
  <c r="J132" i="197"/>
  <c r="J161" i="197" s="1"/>
  <c r="J66" i="198" s="1"/>
  <c r="J107" i="198" s="1"/>
  <c r="J141" i="197"/>
  <c r="J170" i="197" s="1"/>
  <c r="J75" i="198" s="1"/>
  <c r="J117" i="198" s="1"/>
  <c r="Z122" i="197"/>
  <c r="Z151" i="197" s="1"/>
  <c r="Z56" i="198" s="1"/>
  <c r="Z96" i="198" s="1"/>
  <c r="Z140" i="197"/>
  <c r="Z169" i="197" s="1"/>
  <c r="Z74" i="198" s="1"/>
  <c r="Z116" i="198" s="1"/>
  <c r="Z141" i="197"/>
  <c r="Z170" i="197" s="1"/>
  <c r="Z75" i="198" s="1"/>
  <c r="Z117" i="198" s="1"/>
  <c r="Z123" i="197"/>
  <c r="Z152" i="197" s="1"/>
  <c r="Z57" i="198" s="1"/>
  <c r="Z97" i="198" s="1"/>
  <c r="Z121" i="197"/>
  <c r="Z150" i="197" s="1"/>
  <c r="Z55" i="198" s="1"/>
  <c r="Z95" i="198" s="1"/>
  <c r="Z139" i="197"/>
  <c r="Z168" i="197" s="1"/>
  <c r="Z73" i="198" s="1"/>
  <c r="Z115" i="198" s="1"/>
  <c r="U139" i="197"/>
  <c r="U168" i="197" s="1"/>
  <c r="U73" i="198" s="1"/>
  <c r="U115" i="198" s="1"/>
  <c r="U130" i="197"/>
  <c r="U159" i="197" s="1"/>
  <c r="U64" i="198" s="1"/>
  <c r="U105" i="198" s="1"/>
  <c r="U121" i="197"/>
  <c r="U150" i="197" s="1"/>
  <c r="U55" i="198" s="1"/>
  <c r="U95" i="198" s="1"/>
  <c r="S139" i="197"/>
  <c r="S168" i="197" s="1"/>
  <c r="S73" i="198" s="1"/>
  <c r="S115" i="198" s="1"/>
  <c r="S130" i="197"/>
  <c r="S159" i="197" s="1"/>
  <c r="S64" i="198" s="1"/>
  <c r="S105" i="198" s="1"/>
  <c r="S121" i="197"/>
  <c r="S150" i="197" s="1"/>
  <c r="S55" i="198" s="1"/>
  <c r="S95" i="198" s="1"/>
  <c r="Y279" i="196"/>
  <c r="Y284" i="196" s="1"/>
  <c r="T279" i="196"/>
  <c r="T284" i="196" s="1"/>
  <c r="T130" i="197"/>
  <c r="T159" i="197" s="1"/>
  <c r="T64" i="198" s="1"/>
  <c r="T105" i="198" s="1"/>
  <c r="T121" i="197"/>
  <c r="T150" i="197" s="1"/>
  <c r="T55" i="198" s="1"/>
  <c r="T95" i="198" s="1"/>
  <c r="T139" i="197"/>
  <c r="T168" i="197" s="1"/>
  <c r="T73" i="198" s="1"/>
  <c r="T115" i="198" s="1"/>
  <c r="P406" i="196"/>
  <c r="P415" i="196" s="1"/>
  <c r="P34" i="197" s="1"/>
  <c r="P112" i="197" s="1"/>
  <c r="P274" i="196"/>
  <c r="P279" i="196" s="1"/>
  <c r="P284" i="196" s="1"/>
  <c r="P404" i="196"/>
  <c r="P413" i="196" s="1"/>
  <c r="P32" i="197" s="1"/>
  <c r="P110" i="197" s="1"/>
  <c r="P268" i="196"/>
  <c r="P250" i="196"/>
  <c r="P270" i="196"/>
  <c r="P251" i="196"/>
  <c r="P405" i="196"/>
  <c r="P414" i="196" s="1"/>
  <c r="P33" i="197" s="1"/>
  <c r="P111" i="197" s="1"/>
  <c r="P273" i="196"/>
  <c r="P278" i="196" s="1"/>
  <c r="P283" i="196" s="1"/>
  <c r="P269" i="196"/>
  <c r="P252" i="196"/>
  <c r="P275" i="196"/>
  <c r="P280" i="196" s="1"/>
  <c r="P285" i="196" s="1"/>
  <c r="P363" i="196" s="1"/>
  <c r="P365" i="196" s="1"/>
  <c r="P367" i="196" s="1"/>
  <c r="P369" i="196" s="1"/>
  <c r="P394" i="196" s="1"/>
  <c r="V121" i="197"/>
  <c r="V150" i="197" s="1"/>
  <c r="V55" i="198" s="1"/>
  <c r="V95" i="198" s="1"/>
  <c r="V139" i="197"/>
  <c r="V168" i="197" s="1"/>
  <c r="V73" i="198" s="1"/>
  <c r="V115" i="198" s="1"/>
  <c r="V130" i="197"/>
  <c r="V159" i="197" s="1"/>
  <c r="V64" i="198" s="1"/>
  <c r="V105" i="198" s="1"/>
  <c r="J131" i="197"/>
  <c r="J160" i="197" s="1"/>
  <c r="J65" i="198" s="1"/>
  <c r="J106" i="198" s="1"/>
  <c r="J122" i="197"/>
  <c r="J151" i="197" s="1"/>
  <c r="J56" i="198" s="1"/>
  <c r="J96" i="198" s="1"/>
  <c r="J140" i="197"/>
  <c r="J169" i="197" s="1"/>
  <c r="J74" i="198" s="1"/>
  <c r="J116" i="198" s="1"/>
  <c r="O140" i="197"/>
  <c r="O169" i="197" s="1"/>
  <c r="O74" i="198" s="1"/>
  <c r="O116" i="198" s="1"/>
  <c r="O122" i="197"/>
  <c r="O151" i="197" s="1"/>
  <c r="O56" i="198" s="1"/>
  <c r="O96" i="198" s="1"/>
  <c r="O131" i="197"/>
  <c r="O160" i="197" s="1"/>
  <c r="O65" i="198" s="1"/>
  <c r="O106" i="198" s="1"/>
  <c r="X139" i="197"/>
  <c r="X168" i="197" s="1"/>
  <c r="X73" i="198" s="1"/>
  <c r="X115" i="198" s="1"/>
  <c r="X121" i="197"/>
  <c r="X150" i="197" s="1"/>
  <c r="X55" i="198" s="1"/>
  <c r="X95" i="198" s="1"/>
  <c r="V132" i="197"/>
  <c r="V161" i="197" s="1"/>
  <c r="V66" i="198" s="1"/>
  <c r="V107" i="198" s="1"/>
  <c r="V141" i="197"/>
  <c r="V170" i="197" s="1"/>
  <c r="V75" i="198" s="1"/>
  <c r="V117" i="198" s="1"/>
  <c r="V123" i="197"/>
  <c r="V152" i="197" s="1"/>
  <c r="V57" i="198" s="1"/>
  <c r="V97" i="198" s="1"/>
  <c r="J139" i="197"/>
  <c r="J168" i="197" s="1"/>
  <c r="J121" i="197"/>
  <c r="J150" i="197" s="1"/>
  <c r="J130" i="197"/>
  <c r="J159" i="197" s="1"/>
  <c r="O139" i="197"/>
  <c r="O168" i="197" s="1"/>
  <c r="O73" i="198" s="1"/>
  <c r="O115" i="198" s="1"/>
  <c r="O130" i="197"/>
  <c r="O159" i="197" s="1"/>
  <c r="O64" i="198" s="1"/>
  <c r="O105" i="198" s="1"/>
  <c r="O121" i="197"/>
  <c r="O150" i="197" s="1"/>
  <c r="O55" i="198" s="1"/>
  <c r="O95" i="198" s="1"/>
  <c r="O299" i="196"/>
  <c r="Y121" i="197"/>
  <c r="Y150" i="197" s="1"/>
  <c r="Y55" i="198" s="1"/>
  <c r="Y95" i="198" s="1"/>
  <c r="AC268" i="196"/>
  <c r="AC404" i="196"/>
  <c r="AC413" i="196" s="1"/>
  <c r="AC32" i="197" s="1"/>
  <c r="AC110" i="197" s="1"/>
  <c r="AC274" i="196"/>
  <c r="AC279" i="196" s="1"/>
  <c r="AC284" i="196" s="1"/>
  <c r="AC250" i="196"/>
  <c r="AC270" i="196"/>
  <c r="AC273" i="196"/>
  <c r="AC278" i="196" s="1"/>
  <c r="AC283" i="196" s="1"/>
  <c r="AC251" i="196"/>
  <c r="AC269" i="196"/>
  <c r="AC405" i="196"/>
  <c r="AC414" i="196" s="1"/>
  <c r="AC33" i="197" s="1"/>
  <c r="AC111" i="197" s="1"/>
  <c r="AC275" i="196"/>
  <c r="AC280" i="196" s="1"/>
  <c r="AC285" i="196" s="1"/>
  <c r="AC363" i="196" s="1"/>
  <c r="AC365" i="196" s="1"/>
  <c r="AC367" i="196" s="1"/>
  <c r="AC369" i="196" s="1"/>
  <c r="AC394" i="196" s="1"/>
  <c r="AC406" i="196"/>
  <c r="AC415" i="196" s="1"/>
  <c r="AC34" i="197" s="1"/>
  <c r="AC112" i="197" s="1"/>
  <c r="AC252" i="196"/>
  <c r="AF274" i="196"/>
  <c r="AF279" i="196" s="1"/>
  <c r="AF284" i="196" s="1"/>
  <c r="AF269" i="196"/>
  <c r="AF404" i="196"/>
  <c r="AF413" i="196" s="1"/>
  <c r="AF32" i="197" s="1"/>
  <c r="AF110" i="197" s="1"/>
  <c r="AF275" i="196"/>
  <c r="AF280" i="196" s="1"/>
  <c r="AF285" i="196" s="1"/>
  <c r="AF363" i="196" s="1"/>
  <c r="AF365" i="196" s="1"/>
  <c r="AF367" i="196" s="1"/>
  <c r="AF369" i="196" s="1"/>
  <c r="AF394" i="196" s="1"/>
  <c r="AF405" i="196"/>
  <c r="AF414" i="196" s="1"/>
  <c r="AF33" i="197" s="1"/>
  <c r="AF111" i="197" s="1"/>
  <c r="AF251" i="196"/>
  <c r="AF406" i="196"/>
  <c r="AF415" i="196" s="1"/>
  <c r="AF34" i="197" s="1"/>
  <c r="AF112" i="197" s="1"/>
  <c r="AF250" i="196"/>
  <c r="AF268" i="196"/>
  <c r="AF252" i="196"/>
  <c r="AF273" i="196"/>
  <c r="AF278" i="196" s="1"/>
  <c r="AF283" i="196" s="1"/>
  <c r="AF270" i="196"/>
  <c r="S123" i="197"/>
  <c r="S152" i="197" s="1"/>
  <c r="S57" i="198" s="1"/>
  <c r="S97" i="198" s="1"/>
  <c r="S141" i="197"/>
  <c r="S170" i="197" s="1"/>
  <c r="S75" i="198" s="1"/>
  <c r="S117" i="198" s="1"/>
  <c r="S132" i="197"/>
  <c r="S161" i="197" s="1"/>
  <c r="S66" i="198" s="1"/>
  <c r="S107" i="198" s="1"/>
  <c r="AE251" i="196"/>
  <c r="AE405" i="196"/>
  <c r="AE414" i="196" s="1"/>
  <c r="AE33" i="197" s="1"/>
  <c r="AE111" i="197" s="1"/>
  <c r="AE404" i="196"/>
  <c r="AE413" i="196" s="1"/>
  <c r="AE32" i="197" s="1"/>
  <c r="AE110" i="197" s="1"/>
  <c r="AE274" i="196"/>
  <c r="AE279" i="196" s="1"/>
  <c r="AE284" i="196" s="1"/>
  <c r="AE250" i="196"/>
  <c r="AE252" i="196"/>
  <c r="AE268" i="196"/>
  <c r="AE406" i="196"/>
  <c r="AE415" i="196" s="1"/>
  <c r="AE34" i="197" s="1"/>
  <c r="AE112" i="197" s="1"/>
  <c r="AE273" i="196"/>
  <c r="AE278" i="196" s="1"/>
  <c r="AE283" i="196" s="1"/>
  <c r="AE270" i="196"/>
  <c r="AE275" i="196"/>
  <c r="AE280" i="196" s="1"/>
  <c r="AE285" i="196" s="1"/>
  <c r="AE363" i="196" s="1"/>
  <c r="AE365" i="196" s="1"/>
  <c r="AE367" i="196" s="1"/>
  <c r="AE369" i="196" s="1"/>
  <c r="AE394" i="196" s="1"/>
  <c r="AE269" i="196"/>
  <c r="AA279" i="196"/>
  <c r="AA284" i="196" s="1"/>
  <c r="V279" i="196"/>
  <c r="V284" i="196" s="1"/>
  <c r="J331" i="196"/>
  <c r="J333" i="196" s="1"/>
  <c r="J335" i="196" s="1"/>
  <c r="J337" i="196" s="1"/>
  <c r="J393" i="196" s="1"/>
  <c r="J299" i="196"/>
  <c r="O141" i="197"/>
  <c r="O170" i="197" s="1"/>
  <c r="O75" i="198" s="1"/>
  <c r="O117" i="198" s="1"/>
  <c r="O132" i="197"/>
  <c r="O161" i="197" s="1"/>
  <c r="O66" i="198" s="1"/>
  <c r="O107" i="198" s="1"/>
  <c r="O123" i="197"/>
  <c r="O152" i="197" s="1"/>
  <c r="O57" i="198" s="1"/>
  <c r="O97" i="198" s="1"/>
  <c r="AD275" i="196"/>
  <c r="AD280" i="196" s="1"/>
  <c r="AD285" i="196" s="1"/>
  <c r="AD363" i="196" s="1"/>
  <c r="AD365" i="196" s="1"/>
  <c r="AD367" i="196" s="1"/>
  <c r="AD369" i="196" s="1"/>
  <c r="AD394" i="196" s="1"/>
  <c r="AD270" i="196"/>
  <c r="AD405" i="196"/>
  <c r="AD414" i="196" s="1"/>
  <c r="AD33" i="197" s="1"/>
  <c r="AD111" i="197" s="1"/>
  <c r="AD404" i="196"/>
  <c r="AD413" i="196" s="1"/>
  <c r="AD32" i="197" s="1"/>
  <c r="AD110" i="197" s="1"/>
  <c r="AD273" i="196"/>
  <c r="AD278" i="196" s="1"/>
  <c r="AD283" i="196" s="1"/>
  <c r="AD250" i="196"/>
  <c r="AD269" i="196"/>
  <c r="AD252" i="196"/>
  <c r="AD274" i="196"/>
  <c r="AD279" i="196" s="1"/>
  <c r="AD284" i="196" s="1"/>
  <c r="AD406" i="196"/>
  <c r="AD415" i="196" s="1"/>
  <c r="AD34" i="197" s="1"/>
  <c r="AD112" i="197" s="1"/>
  <c r="AD251" i="196"/>
  <c r="AD268" i="196"/>
  <c r="T280" i="196" l="1"/>
  <c r="T285" i="196" s="1"/>
  <c r="T363" i="196" s="1"/>
  <c r="T365" i="196" s="1"/>
  <c r="T367" i="196" s="1"/>
  <c r="T369" i="196" s="1"/>
  <c r="T394" i="196" s="1"/>
  <c r="M131" i="197"/>
  <c r="M160" i="197" s="1"/>
  <c r="M65" i="198" s="1"/>
  <c r="M106" i="198" s="1"/>
  <c r="M140" i="197"/>
  <c r="M169" i="197" s="1"/>
  <c r="M74" i="198" s="1"/>
  <c r="M116" i="198" s="1"/>
  <c r="Y122" i="197"/>
  <c r="Y151" i="197" s="1"/>
  <c r="Y56" i="198" s="1"/>
  <c r="Y96" i="198" s="1"/>
  <c r="M139" i="197"/>
  <c r="M168" i="197" s="1"/>
  <c r="M73" i="198" s="1"/>
  <c r="M115" i="198" s="1"/>
  <c r="Y123" i="197"/>
  <c r="Y152" i="197" s="1"/>
  <c r="Y57" i="198" s="1"/>
  <c r="Y97" i="198" s="1"/>
  <c r="M141" i="197"/>
  <c r="M170" i="197" s="1"/>
  <c r="M75" i="198" s="1"/>
  <c r="M117" i="198" s="1"/>
  <c r="T278" i="196"/>
  <c r="T283" i="196" s="1"/>
  <c r="M123" i="197"/>
  <c r="M152" i="197" s="1"/>
  <c r="M57" i="198" s="1"/>
  <c r="M97" i="198" s="1"/>
  <c r="X141" i="197"/>
  <c r="X170" i="197" s="1"/>
  <c r="X75" i="198" s="1"/>
  <c r="X117" i="198" s="1"/>
  <c r="X122" i="198" s="1"/>
  <c r="X142" i="198" s="1"/>
  <c r="M331" i="196"/>
  <c r="M333" i="196" s="1"/>
  <c r="M335" i="196" s="1"/>
  <c r="M337" i="196" s="1"/>
  <c r="M393" i="196" s="1"/>
  <c r="M299" i="196"/>
  <c r="M301" i="196" s="1"/>
  <c r="M303" i="196" s="1"/>
  <c r="U278" i="196"/>
  <c r="U283" i="196" s="1"/>
  <c r="U299" i="196" s="1"/>
  <c r="M121" i="197"/>
  <c r="M150" i="197" s="1"/>
  <c r="M55" i="198" s="1"/>
  <c r="M95" i="198" s="1"/>
  <c r="AA122" i="197"/>
  <c r="AA151" i="197" s="1"/>
  <c r="AA56" i="198" s="1"/>
  <c r="AA96" i="198" s="1"/>
  <c r="U140" i="197"/>
  <c r="U169" i="197" s="1"/>
  <c r="U74" i="198" s="1"/>
  <c r="U116" i="198" s="1"/>
  <c r="U131" i="197"/>
  <c r="U160" i="197" s="1"/>
  <c r="U65" i="198" s="1"/>
  <c r="U106" i="198" s="1"/>
  <c r="U141" i="197"/>
  <c r="U170" i="197" s="1"/>
  <c r="U75" i="198" s="1"/>
  <c r="U117" i="198" s="1"/>
  <c r="Z279" i="196"/>
  <c r="Z284" i="196" s="1"/>
  <c r="X280" i="196"/>
  <c r="X285" i="196" s="1"/>
  <c r="X363" i="196" s="1"/>
  <c r="S365" i="196" s="1"/>
  <c r="S367" i="196" s="1"/>
  <c r="S369" i="196" s="1"/>
  <c r="S394" i="196" s="1"/>
  <c r="U132" i="197"/>
  <c r="U161" i="197" s="1"/>
  <c r="U66" i="198" s="1"/>
  <c r="U107" i="198" s="1"/>
  <c r="S279" i="196"/>
  <c r="S284" i="196" s="1"/>
  <c r="S299" i="196" s="1"/>
  <c r="S305" i="196" s="1"/>
  <c r="S392" i="196" s="1"/>
  <c r="Z280" i="196"/>
  <c r="Z285" i="196" s="1"/>
  <c r="Z363" i="196" s="1"/>
  <c r="U365" i="196" s="1"/>
  <c r="U367" i="196" s="1"/>
  <c r="U369" i="196" s="1"/>
  <c r="U394" i="196" s="1"/>
  <c r="X122" i="197"/>
  <c r="X151" i="197" s="1"/>
  <c r="X56" i="198" s="1"/>
  <c r="X96" i="198" s="1"/>
  <c r="X102" i="198" s="1"/>
  <c r="X140" i="198" s="1"/>
  <c r="AD331" i="196"/>
  <c r="AD333" i="196" s="1"/>
  <c r="AD335" i="196" s="1"/>
  <c r="AD337" i="196" s="1"/>
  <c r="AD393" i="196" s="1"/>
  <c r="AA141" i="197"/>
  <c r="AA170" i="197" s="1"/>
  <c r="AA75" i="198" s="1"/>
  <c r="AA117" i="198" s="1"/>
  <c r="AA122" i="198" s="1"/>
  <c r="AA142" i="198" s="1"/>
  <c r="AA278" i="196"/>
  <c r="AA283" i="196" s="1"/>
  <c r="X278" i="196"/>
  <c r="X283" i="196" s="1"/>
  <c r="AA121" i="197"/>
  <c r="AA150" i="197" s="1"/>
  <c r="AA55" i="198" s="1"/>
  <c r="AA95" i="198" s="1"/>
  <c r="M112" i="198"/>
  <c r="M141" i="198" s="1"/>
  <c r="AA280" i="196"/>
  <c r="AA285" i="196" s="1"/>
  <c r="AA363" i="196" s="1"/>
  <c r="AA365" i="196" s="1"/>
  <c r="AA367" i="196" s="1"/>
  <c r="AA369" i="196" s="1"/>
  <c r="AA394" i="196" s="1"/>
  <c r="T102" i="198"/>
  <c r="T140" i="198" s="1"/>
  <c r="T122" i="198"/>
  <c r="T142" i="198" s="1"/>
  <c r="T112" i="198"/>
  <c r="T141" i="198" s="1"/>
  <c r="P331" i="196"/>
  <c r="P333" i="196" s="1"/>
  <c r="P335" i="196" s="1"/>
  <c r="P337" i="196" s="1"/>
  <c r="P393" i="196" s="1"/>
  <c r="R259" i="196" a="1"/>
  <c r="R259" i="196" s="1"/>
  <c r="R264" i="196" s="1"/>
  <c r="R400" i="196" s="1"/>
  <c r="V331" i="196"/>
  <c r="AF331" i="196"/>
  <c r="AF333" i="196" s="1"/>
  <c r="AF335" i="196" s="1"/>
  <c r="AF337" i="196" s="1"/>
  <c r="AF393" i="196" s="1"/>
  <c r="Z122" i="198"/>
  <c r="Z142" i="198" s="1"/>
  <c r="AJ260" i="196" a="1"/>
  <c r="AJ260" i="196" s="1"/>
  <c r="AJ265" i="196" s="1"/>
  <c r="AJ401" i="196" s="1"/>
  <c r="L258" i="196" a="1"/>
  <c r="L258" i="196" s="1"/>
  <c r="L263" i="196" s="1"/>
  <c r="L399" i="196" s="1"/>
  <c r="M258" i="196" a="1"/>
  <c r="M258" i="196" s="1"/>
  <c r="M263" i="196" s="1"/>
  <c r="M322" i="196" s="1"/>
  <c r="M324" i="196" s="1"/>
  <c r="M326" i="196" s="1"/>
  <c r="M328" i="196" s="1"/>
  <c r="O122" i="198"/>
  <c r="O142" i="198" s="1"/>
  <c r="K258" i="196" a="1"/>
  <c r="K258" i="196" s="1"/>
  <c r="K263" i="196" s="1"/>
  <c r="K399" i="196" s="1"/>
  <c r="AB260" i="196" a="1"/>
  <c r="AB260" i="196" s="1"/>
  <c r="AB265" i="196" s="1"/>
  <c r="AB401" i="196" s="1"/>
  <c r="AH259" i="196" a="1"/>
  <c r="AH259" i="196" s="1"/>
  <c r="AH264" i="196" s="1"/>
  <c r="AH400" i="196" s="1"/>
  <c r="S122" i="198"/>
  <c r="S142" i="198" s="1"/>
  <c r="AD139" i="197"/>
  <c r="AD168" i="197" s="1"/>
  <c r="AD73" i="198" s="1"/>
  <c r="AD115" i="198" s="1"/>
  <c r="AD121" i="197"/>
  <c r="AD150" i="197" s="1"/>
  <c r="AD55" i="198" s="1"/>
  <c r="AD95" i="198" s="1"/>
  <c r="AE139" i="197"/>
  <c r="AE168" i="197" s="1"/>
  <c r="AE73" i="198" s="1"/>
  <c r="AE115" i="198" s="1"/>
  <c r="AE121" i="197"/>
  <c r="AE150" i="197" s="1"/>
  <c r="AE55" i="198" s="1"/>
  <c r="AE95" i="198" s="1"/>
  <c r="AC140" i="197"/>
  <c r="AC169" i="197" s="1"/>
  <c r="AC74" i="198" s="1"/>
  <c r="AC116" i="198" s="1"/>
  <c r="AC122" i="197"/>
  <c r="AC151" i="197" s="1"/>
  <c r="AC56" i="198" s="1"/>
  <c r="AC96" i="198" s="1"/>
  <c r="O112" i="198"/>
  <c r="O141" i="198" s="1"/>
  <c r="J73" i="198"/>
  <c r="J115" i="198" s="1"/>
  <c r="AC259" i="196" a="1"/>
  <c r="AC259" i="196" s="1"/>
  <c r="AC264" i="196" s="1"/>
  <c r="O259" i="196" a="1"/>
  <c r="O259" i="196" s="1"/>
  <c r="O264" i="196" s="1"/>
  <c r="S259" i="196" a="1"/>
  <c r="S259" i="196" s="1"/>
  <c r="S264" i="196" s="1"/>
  <c r="U259" i="196" a="1"/>
  <c r="U259" i="196" s="1"/>
  <c r="U264" i="196" s="1"/>
  <c r="AB259" i="196" a="1"/>
  <c r="AB259" i="196" s="1"/>
  <c r="AB264" i="196" s="1"/>
  <c r="AB400" i="196" s="1"/>
  <c r="W259" i="196" a="1"/>
  <c r="W259" i="196" s="1"/>
  <c r="W264" i="196" s="1"/>
  <c r="W400" i="196" s="1"/>
  <c r="Q259" i="196" a="1"/>
  <c r="Q259" i="196" s="1"/>
  <c r="Q264" i="196" s="1"/>
  <c r="Q400" i="196" s="1"/>
  <c r="AN259" i="196" a="1"/>
  <c r="AN259" i="196" s="1"/>
  <c r="AN264" i="196" s="1"/>
  <c r="AN400" i="196" s="1"/>
  <c r="U260" i="196" a="1"/>
  <c r="U260" i="196" s="1"/>
  <c r="U265" i="196" s="1"/>
  <c r="T260" i="196" a="1"/>
  <c r="T260" i="196" s="1"/>
  <c r="T265" i="196" s="1"/>
  <c r="V260" i="196" a="1"/>
  <c r="V260" i="196" s="1"/>
  <c r="V265" i="196" s="1"/>
  <c r="P260" i="196" a="1"/>
  <c r="P260" i="196" s="1"/>
  <c r="P265" i="196" s="1"/>
  <c r="W260" i="196" a="1"/>
  <c r="W260" i="196" s="1"/>
  <c r="W265" i="196" s="1"/>
  <c r="W401" i="196" s="1"/>
  <c r="AO260" i="196" a="1"/>
  <c r="AO260" i="196" s="1"/>
  <c r="AO265" i="196" s="1"/>
  <c r="AO401" i="196" s="1"/>
  <c r="R260" i="196" a="1"/>
  <c r="R260" i="196" s="1"/>
  <c r="R265" i="196" s="1"/>
  <c r="R401" i="196" s="1"/>
  <c r="Q260" i="196" a="1"/>
  <c r="Q260" i="196" s="1"/>
  <c r="Q265" i="196" s="1"/>
  <c r="Q401" i="196" s="1"/>
  <c r="V112" i="198"/>
  <c r="V141" i="198" s="1"/>
  <c r="P121" i="197"/>
  <c r="P150" i="197" s="1"/>
  <c r="P55" i="198" s="1"/>
  <c r="P95" i="198" s="1"/>
  <c r="P130" i="197"/>
  <c r="P159" i="197" s="1"/>
  <c r="P64" i="198" s="1"/>
  <c r="P105" i="198" s="1"/>
  <c r="P139" i="197"/>
  <c r="P168" i="197" s="1"/>
  <c r="P73" i="198" s="1"/>
  <c r="P115" i="198" s="1"/>
  <c r="AE258" i="196" a="1"/>
  <c r="AE258" i="196" s="1"/>
  <c r="AE263" i="196" s="1"/>
  <c r="T258" i="196" a="1"/>
  <c r="T258" i="196" s="1"/>
  <c r="T263" i="196" s="1"/>
  <c r="AG258" i="196" a="1"/>
  <c r="AG258" i="196" s="1"/>
  <c r="AG263" i="196" s="1"/>
  <c r="S258" i="196" a="1"/>
  <c r="S258" i="196" s="1"/>
  <c r="S263" i="196" s="1"/>
  <c r="AJ258" i="196" a="1"/>
  <c r="AJ258" i="196" s="1"/>
  <c r="AJ263" i="196" s="1"/>
  <c r="AH258" i="196" a="1"/>
  <c r="AH258" i="196" s="1"/>
  <c r="AH263" i="196" s="1"/>
  <c r="Z102" i="198"/>
  <c r="Z140" i="198" s="1"/>
  <c r="AA258" i="196" a="1"/>
  <c r="AA258" i="196" s="1"/>
  <c r="AA263" i="196" s="1"/>
  <c r="AD258" i="196" a="1"/>
  <c r="AD258" i="196" s="1"/>
  <c r="AD263" i="196" s="1"/>
  <c r="N258" i="196" a="1"/>
  <c r="N258" i="196" s="1"/>
  <c r="N263" i="196" s="1"/>
  <c r="AC258" i="196" a="1"/>
  <c r="AC258" i="196" s="1"/>
  <c r="AC263" i="196" s="1"/>
  <c r="AB258" i="196" a="1"/>
  <c r="AB258" i="196" s="1"/>
  <c r="AB263" i="196" s="1"/>
  <c r="AL258" i="196" a="1"/>
  <c r="AL258" i="196" s="1"/>
  <c r="AL263" i="196" s="1"/>
  <c r="Q258" i="196" a="1"/>
  <c r="Q258" i="196" s="1"/>
  <c r="Q263" i="196" s="1"/>
  <c r="R258" i="196" a="1"/>
  <c r="R258" i="196" s="1"/>
  <c r="R263" i="196" s="1"/>
  <c r="N139" i="197"/>
  <c r="N168" i="197" s="1"/>
  <c r="N73" i="198" s="1"/>
  <c r="N115" i="198" s="1"/>
  <c r="N130" i="197"/>
  <c r="N159" i="197" s="1"/>
  <c r="N64" i="198" s="1"/>
  <c r="N105" i="198" s="1"/>
  <c r="N121" i="197"/>
  <c r="N150" i="197" s="1"/>
  <c r="N55" i="198" s="1"/>
  <c r="N95" i="198" s="1"/>
  <c r="AD140" i="197"/>
  <c r="AD169" i="197" s="1"/>
  <c r="AD74" i="198" s="1"/>
  <c r="AD116" i="198" s="1"/>
  <c r="AD122" i="197"/>
  <c r="AD151" i="197" s="1"/>
  <c r="AD56" i="198" s="1"/>
  <c r="AD96" i="198" s="1"/>
  <c r="AF122" i="197"/>
  <c r="AF151" i="197" s="1"/>
  <c r="AF56" i="198" s="1"/>
  <c r="AF96" i="198" s="1"/>
  <c r="AF140" i="197"/>
  <c r="AF169" i="197" s="1"/>
  <c r="AF74" i="198" s="1"/>
  <c r="AF116" i="198" s="1"/>
  <c r="U331" i="196"/>
  <c r="Z259" i="196" a="1"/>
  <c r="Z259" i="196" s="1"/>
  <c r="Z264" i="196" s="1"/>
  <c r="AE259" i="196" a="1"/>
  <c r="AE259" i="196" s="1"/>
  <c r="AE264" i="196" s="1"/>
  <c r="V259" i="196" a="1"/>
  <c r="V259" i="196" s="1"/>
  <c r="V264" i="196" s="1"/>
  <c r="AM259" i="196" a="1"/>
  <c r="AM259" i="196" s="1"/>
  <c r="AM264" i="196" s="1"/>
  <c r="AM400" i="196" s="1"/>
  <c r="AO259" i="196" a="1"/>
  <c r="AO259" i="196" s="1"/>
  <c r="AO264" i="196" s="1"/>
  <c r="AO400" i="196" s="1"/>
  <c r="AK259" i="196" a="1"/>
  <c r="AK259" i="196" s="1"/>
  <c r="AK264" i="196" s="1"/>
  <c r="AK400" i="196" s="1"/>
  <c r="K259" i="196" a="1"/>
  <c r="K259" i="196" s="1"/>
  <c r="K264" i="196" s="1"/>
  <c r="K400" i="196" s="1"/>
  <c r="AD260" i="196" a="1"/>
  <c r="AD260" i="196" s="1"/>
  <c r="AD265" i="196" s="1"/>
  <c r="AE260" i="196" a="1"/>
  <c r="AE260" i="196" s="1"/>
  <c r="AE265" i="196" s="1"/>
  <c r="AG260" i="196" a="1"/>
  <c r="AG260" i="196" s="1"/>
  <c r="AG265" i="196" s="1"/>
  <c r="O260" i="196" a="1"/>
  <c r="O260" i="196" s="1"/>
  <c r="O265" i="196" s="1"/>
  <c r="AM260" i="196" a="1"/>
  <c r="AM260" i="196" s="1"/>
  <c r="AM265" i="196" s="1"/>
  <c r="AM401" i="196" s="1"/>
  <c r="AI260" i="196" a="1"/>
  <c r="AI260" i="196" s="1"/>
  <c r="AI265" i="196" s="1"/>
  <c r="AI401" i="196" s="1"/>
  <c r="AN260" i="196" a="1"/>
  <c r="AN260" i="196" s="1"/>
  <c r="AN265" i="196" s="1"/>
  <c r="AN401" i="196" s="1"/>
  <c r="V122" i="198"/>
  <c r="V142" i="198" s="1"/>
  <c r="AD123" i="197"/>
  <c r="AD152" i="197" s="1"/>
  <c r="AD57" i="198" s="1"/>
  <c r="AD97" i="198" s="1"/>
  <c r="AD141" i="197"/>
  <c r="AD170" i="197" s="1"/>
  <c r="AD75" i="198" s="1"/>
  <c r="AD117" i="198" s="1"/>
  <c r="AE299" i="196"/>
  <c r="AC123" i="197"/>
  <c r="AC152" i="197" s="1"/>
  <c r="AC57" i="198" s="1"/>
  <c r="AC97" i="198" s="1"/>
  <c r="AC141" i="197"/>
  <c r="AC170" i="197" s="1"/>
  <c r="AC75" i="198" s="1"/>
  <c r="AC117" i="198" s="1"/>
  <c r="AC331" i="196"/>
  <c r="AC333" i="196" s="1"/>
  <c r="AC335" i="196" s="1"/>
  <c r="AC337" i="196" s="1"/>
  <c r="AC393" i="196" s="1"/>
  <c r="O301" i="196"/>
  <c r="O303" i="196" s="1"/>
  <c r="O305" i="196"/>
  <c r="O392" i="196" s="1"/>
  <c r="J64" i="198"/>
  <c r="J105" i="198" s="1"/>
  <c r="AG259" i="196" a="1"/>
  <c r="AG259" i="196" s="1"/>
  <c r="AG264" i="196" s="1"/>
  <c r="AA259" i="196" a="1"/>
  <c r="AA259" i="196" s="1"/>
  <c r="AA264" i="196" s="1"/>
  <c r="T259" i="196" a="1"/>
  <c r="T259" i="196" s="1"/>
  <c r="T264" i="196" s="1"/>
  <c r="Y259" i="196" a="1"/>
  <c r="Y259" i="196" s="1"/>
  <c r="Y264" i="196" s="1"/>
  <c r="J259" i="196" a="1"/>
  <c r="J259" i="196" s="1"/>
  <c r="J264" i="196" s="1"/>
  <c r="L259" i="196" a="1"/>
  <c r="L259" i="196" s="1"/>
  <c r="L264" i="196" s="1"/>
  <c r="L400" i="196" s="1"/>
  <c r="AI259" i="196" a="1"/>
  <c r="AI259" i="196" s="1"/>
  <c r="AI264" i="196" s="1"/>
  <c r="AI400" i="196" s="1"/>
  <c r="AJ259" i="196" a="1"/>
  <c r="AJ259" i="196" s="1"/>
  <c r="AJ264" i="196" s="1"/>
  <c r="AJ400" i="196" s="1"/>
  <c r="AF260" i="196" a="1"/>
  <c r="AF260" i="196" s="1"/>
  <c r="AF265" i="196" s="1"/>
  <c r="Y260" i="196" a="1"/>
  <c r="Y260" i="196" s="1"/>
  <c r="Y265" i="196" s="1"/>
  <c r="S260" i="196" a="1"/>
  <c r="S260" i="196" s="1"/>
  <c r="S265" i="196" s="1"/>
  <c r="L260" i="196" a="1"/>
  <c r="L260" i="196" s="1"/>
  <c r="L265" i="196" s="1"/>
  <c r="L401" i="196" s="1"/>
  <c r="AL260" i="196" a="1"/>
  <c r="AL260" i="196" s="1"/>
  <c r="AL265" i="196" s="1"/>
  <c r="AL401" i="196" s="1"/>
  <c r="J260" i="196" a="1"/>
  <c r="J260" i="196" s="1"/>
  <c r="J265" i="196" s="1"/>
  <c r="M260" i="196" a="1"/>
  <c r="M260" i="196" s="1"/>
  <c r="M265" i="196" s="1"/>
  <c r="V102" i="198"/>
  <c r="V140" i="198" s="1"/>
  <c r="P299" i="196"/>
  <c r="P132" i="197"/>
  <c r="P161" i="197" s="1"/>
  <c r="P66" i="198" s="1"/>
  <c r="P107" i="198" s="1"/>
  <c r="P123" i="197"/>
  <c r="P152" i="197" s="1"/>
  <c r="P57" i="198" s="1"/>
  <c r="P97" i="198" s="1"/>
  <c r="P141" i="197"/>
  <c r="P170" i="197" s="1"/>
  <c r="P75" i="198" s="1"/>
  <c r="P117" i="198" s="1"/>
  <c r="T331" i="196"/>
  <c r="S102" i="198"/>
  <c r="S140" i="198" s="1"/>
  <c r="M259" i="196" a="1"/>
  <c r="M259" i="196" s="1"/>
  <c r="M264" i="196" s="1"/>
  <c r="Y258" i="196" a="1"/>
  <c r="Y258" i="196" s="1"/>
  <c r="Y263" i="196" s="1"/>
  <c r="P258" i="196" a="1"/>
  <c r="P258" i="196" s="1"/>
  <c r="P263" i="196" s="1"/>
  <c r="AF258" i="196" a="1"/>
  <c r="AF258" i="196" s="1"/>
  <c r="AF263" i="196" s="1"/>
  <c r="O258" i="196" a="1"/>
  <c r="O258" i="196" s="1"/>
  <c r="O263" i="196" s="1"/>
  <c r="AN258" i="196" a="1"/>
  <c r="AN258" i="196" s="1"/>
  <c r="AN263" i="196" s="1"/>
  <c r="AI258" i="196" a="1"/>
  <c r="AI258" i="196" s="1"/>
  <c r="AI263" i="196" s="1"/>
  <c r="J258" i="196" a="1"/>
  <c r="J258" i="196" s="1"/>
  <c r="J263" i="196" s="1"/>
  <c r="AO258" i="196" a="1"/>
  <c r="AO258" i="196" s="1"/>
  <c r="AO263" i="196" s="1"/>
  <c r="N299" i="196"/>
  <c r="N260" i="196" a="1"/>
  <c r="N260" i="196" s="1"/>
  <c r="N265" i="196" s="1"/>
  <c r="AE122" i="197"/>
  <c r="AE151" i="197" s="1"/>
  <c r="AE56" i="198" s="1"/>
  <c r="AE96" i="198" s="1"/>
  <c r="AE140" i="197"/>
  <c r="AE169" i="197" s="1"/>
  <c r="AE74" i="198" s="1"/>
  <c r="AE116" i="198" s="1"/>
  <c r="P259" i="196" a="1"/>
  <c r="P259" i="196" s="1"/>
  <c r="P264" i="196" s="1"/>
  <c r="AD299" i="196"/>
  <c r="J301" i="196"/>
  <c r="J303" i="196" s="1"/>
  <c r="J305" i="196"/>
  <c r="J392" i="196" s="1"/>
  <c r="AE141" i="197"/>
  <c r="AE170" i="197" s="1"/>
  <c r="AE75" i="198" s="1"/>
  <c r="AE117" i="198" s="1"/>
  <c r="AE123" i="197"/>
  <c r="AE152" i="197" s="1"/>
  <c r="AE57" i="198" s="1"/>
  <c r="AE97" i="198" s="1"/>
  <c r="AE331" i="196"/>
  <c r="AE333" i="196" s="1"/>
  <c r="AE335" i="196" s="1"/>
  <c r="AE337" i="196" s="1"/>
  <c r="AE393" i="196" s="1"/>
  <c r="AF299" i="196"/>
  <c r="AF141" i="197"/>
  <c r="AF170" i="197" s="1"/>
  <c r="AF75" i="198" s="1"/>
  <c r="AF117" i="198" s="1"/>
  <c r="AF123" i="197"/>
  <c r="AF152" i="197" s="1"/>
  <c r="AF57" i="198" s="1"/>
  <c r="AF97" i="198" s="1"/>
  <c r="AF121" i="197"/>
  <c r="AF150" i="197" s="1"/>
  <c r="AF55" i="198" s="1"/>
  <c r="AF95" i="198" s="1"/>
  <c r="AF139" i="197"/>
  <c r="AF168" i="197" s="1"/>
  <c r="AF73" i="198" s="1"/>
  <c r="AF115" i="198" s="1"/>
  <c r="V299" i="196"/>
  <c r="AC299" i="196"/>
  <c r="AC139" i="197"/>
  <c r="AC168" i="197" s="1"/>
  <c r="AC73" i="198" s="1"/>
  <c r="AC115" i="198" s="1"/>
  <c r="AC121" i="197"/>
  <c r="AC150" i="197" s="1"/>
  <c r="AC55" i="198" s="1"/>
  <c r="AC95" i="198" s="1"/>
  <c r="Y122" i="198"/>
  <c r="Y142" i="198" s="1"/>
  <c r="O102" i="198"/>
  <c r="O140" i="198" s="1"/>
  <c r="J55" i="198"/>
  <c r="Y299" i="196"/>
  <c r="Y305" i="196" s="1"/>
  <c r="Y392" i="196" s="1"/>
  <c r="AD259" i="196" a="1"/>
  <c r="AD259" i="196" s="1"/>
  <c r="AD264" i="196" s="1"/>
  <c r="AF259" i="196" a="1"/>
  <c r="AF259" i="196" s="1"/>
  <c r="AF264" i="196" s="1"/>
  <c r="X259" i="196" a="1"/>
  <c r="X259" i="196" s="1"/>
  <c r="X264" i="196" s="1"/>
  <c r="N259" i="196" a="1"/>
  <c r="N259" i="196" s="1"/>
  <c r="N264" i="196" s="1"/>
  <c r="AL259" i="196" a="1"/>
  <c r="AL259" i="196" s="1"/>
  <c r="AL264" i="196" s="1"/>
  <c r="AL400" i="196" s="1"/>
  <c r="AC260" i="196" a="1"/>
  <c r="AC260" i="196" s="1"/>
  <c r="AC265" i="196" s="1"/>
  <c r="X260" i="196" a="1"/>
  <c r="X260" i="196" s="1"/>
  <c r="X265" i="196" s="1"/>
  <c r="Z260" i="196" a="1"/>
  <c r="Z260" i="196" s="1"/>
  <c r="Z265" i="196" s="1"/>
  <c r="AA260" i="196" a="1"/>
  <c r="AA260" i="196" s="1"/>
  <c r="AA265" i="196" s="1"/>
  <c r="K260" i="196" a="1"/>
  <c r="K260" i="196" s="1"/>
  <c r="K265" i="196" s="1"/>
  <c r="K401" i="196" s="1"/>
  <c r="AK260" i="196" a="1"/>
  <c r="AK260" i="196" s="1"/>
  <c r="AK265" i="196" s="1"/>
  <c r="AK401" i="196" s="1"/>
  <c r="AH260" i="196" a="1"/>
  <c r="AH260" i="196" s="1"/>
  <c r="AH265" i="196" s="1"/>
  <c r="AH401" i="196" s="1"/>
  <c r="P140" i="197"/>
  <c r="P169" i="197" s="1"/>
  <c r="P74" i="198" s="1"/>
  <c r="P116" i="198" s="1"/>
  <c r="P122" i="197"/>
  <c r="P151" i="197" s="1"/>
  <c r="P56" i="198" s="1"/>
  <c r="P96" i="198" s="1"/>
  <c r="P131" i="197"/>
  <c r="P160" i="197" s="1"/>
  <c r="P65" i="198" s="1"/>
  <c r="P106" i="198" s="1"/>
  <c r="Y331" i="196"/>
  <c r="S112" i="198"/>
  <c r="S141" i="198" s="1"/>
  <c r="U102" i="198"/>
  <c r="U140" i="198" s="1"/>
  <c r="Z258" i="196" a="1"/>
  <c r="Z258" i="196" s="1"/>
  <c r="Z263" i="196" s="1"/>
  <c r="U258" i="196" a="1"/>
  <c r="U258" i="196" s="1"/>
  <c r="U263" i="196" s="1"/>
  <c r="X258" i="196" a="1"/>
  <c r="X258" i="196" s="1"/>
  <c r="X263" i="196" s="1"/>
  <c r="V258" i="196" a="1"/>
  <c r="V258" i="196" s="1"/>
  <c r="V263" i="196" s="1"/>
  <c r="AK258" i="196" a="1"/>
  <c r="AK258" i="196" s="1"/>
  <c r="AK263" i="196" s="1"/>
  <c r="AM258" i="196" a="1"/>
  <c r="AM258" i="196" s="1"/>
  <c r="AM263" i="196" s="1"/>
  <c r="W258" i="196" a="1"/>
  <c r="W258" i="196" s="1"/>
  <c r="W263" i="196" s="1"/>
  <c r="N131" i="197"/>
  <c r="N160" i="197" s="1"/>
  <c r="N65" i="198" s="1"/>
  <c r="N106" i="198" s="1"/>
  <c r="N140" i="197"/>
  <c r="N169" i="197" s="1"/>
  <c r="N74" i="198" s="1"/>
  <c r="N116" i="198" s="1"/>
  <c r="N122" i="197"/>
  <c r="N151" i="197" s="1"/>
  <c r="N56" i="198" s="1"/>
  <c r="N96" i="198" s="1"/>
  <c r="N123" i="197"/>
  <c r="N152" i="197" s="1"/>
  <c r="N57" i="198" s="1"/>
  <c r="N97" i="198" s="1"/>
  <c r="N132" i="197"/>
  <c r="N161" i="197" s="1"/>
  <c r="N66" i="198" s="1"/>
  <c r="N107" i="198" s="1"/>
  <c r="N141" i="197"/>
  <c r="N170" i="197" s="1"/>
  <c r="N75" i="198" s="1"/>
  <c r="N117" i="198" s="1"/>
  <c r="N331" i="196"/>
  <c r="N333" i="196" s="1"/>
  <c r="N335" i="196" s="1"/>
  <c r="N337" i="196" s="1"/>
  <c r="N393" i="196" s="1"/>
  <c r="Y365" i="196" l="1"/>
  <c r="Y367" i="196" s="1"/>
  <c r="Y369" i="196" s="1"/>
  <c r="Y394" i="196" s="1"/>
  <c r="T299" i="196"/>
  <c r="Y301" i="196" s="1"/>
  <c r="Y303" i="196" s="1"/>
  <c r="M122" i="198"/>
  <c r="M142" i="198" s="1"/>
  <c r="Y102" i="198"/>
  <c r="Y140" i="198" s="1"/>
  <c r="M305" i="196"/>
  <c r="M392" i="196" s="1"/>
  <c r="M102" i="198"/>
  <c r="M140" i="198" s="1"/>
  <c r="Z365" i="196"/>
  <c r="Z367" i="196" s="1"/>
  <c r="Z369" i="196" s="1"/>
  <c r="Z394" i="196" s="1"/>
  <c r="AA102" i="198"/>
  <c r="AA140" i="198" s="1"/>
  <c r="S331" i="196"/>
  <c r="X365" i="196"/>
  <c r="X367" i="196" s="1"/>
  <c r="X369" i="196" s="1"/>
  <c r="X394" i="196" s="1"/>
  <c r="U122" i="198"/>
  <c r="U142" i="198" s="1"/>
  <c r="X331" i="196"/>
  <c r="X299" i="196"/>
  <c r="X305" i="196" s="1"/>
  <c r="X392" i="196" s="1"/>
  <c r="U112" i="198"/>
  <c r="U141" i="198" s="1"/>
  <c r="H106" i="198"/>
  <c r="Z331" i="196"/>
  <c r="U333" i="196" s="1"/>
  <c r="U335" i="196" s="1"/>
  <c r="U337" i="196" s="1"/>
  <c r="U393" i="196" s="1"/>
  <c r="Z299" i="196"/>
  <c r="Z305" i="196" s="1"/>
  <c r="Z392" i="196" s="1"/>
  <c r="AA331" i="196"/>
  <c r="V333" i="196" s="1"/>
  <c r="V335" i="196" s="1"/>
  <c r="V337" i="196" s="1"/>
  <c r="H97" i="198"/>
  <c r="V365" i="196"/>
  <c r="V367" i="196" s="1"/>
  <c r="V369" i="196" s="1"/>
  <c r="V394" i="196" s="1"/>
  <c r="AA299" i="196"/>
  <c r="AA305" i="196" s="1"/>
  <c r="AA392" i="196" s="1"/>
  <c r="H107" i="198"/>
  <c r="H96" i="198"/>
  <c r="L322" i="196"/>
  <c r="L324" i="196" s="1"/>
  <c r="H117" i="198"/>
  <c r="H116" i="198"/>
  <c r="AC102" i="198"/>
  <c r="AC140" i="198" s="1"/>
  <c r="K322" i="196"/>
  <c r="K324" i="196" s="1"/>
  <c r="N112" i="198"/>
  <c r="N141" i="198" s="1"/>
  <c r="Z322" i="196"/>
  <c r="Z324" i="196" s="1"/>
  <c r="Z354" i="196"/>
  <c r="Z356" i="196" s="1"/>
  <c r="AC374" i="196"/>
  <c r="AC376" i="196" s="1"/>
  <c r="AC387" i="196" s="1"/>
  <c r="AC342" i="196"/>
  <c r="P341" i="196"/>
  <c r="AI354" i="196"/>
  <c r="AI356" i="196" s="1"/>
  <c r="AI322" i="196"/>
  <c r="AI324" i="196" s="1"/>
  <c r="AI399" i="196"/>
  <c r="AI423" i="196" s="1"/>
  <c r="AI427" i="196" s="1"/>
  <c r="M341" i="196"/>
  <c r="AD354" i="196"/>
  <c r="AD356" i="196" s="1"/>
  <c r="AD358" i="196" s="1"/>
  <c r="AD360" i="196" s="1"/>
  <c r="AD322" i="196"/>
  <c r="AD324" i="196" s="1"/>
  <c r="AD326" i="196" s="1"/>
  <c r="AD328" i="196" s="1"/>
  <c r="V322" i="196"/>
  <c r="V324" i="196" s="1"/>
  <c r="V354" i="196"/>
  <c r="V356" i="196" s="1"/>
  <c r="W354" i="196"/>
  <c r="W356" i="196" s="1"/>
  <c r="W322" i="196"/>
  <c r="W324" i="196" s="1"/>
  <c r="W399" i="196"/>
  <c r="W423" i="196" s="1"/>
  <c r="W427" i="196" s="1"/>
  <c r="X354" i="196"/>
  <c r="X356" i="196" s="1"/>
  <c r="X322" i="196"/>
  <c r="X324" i="196" s="1"/>
  <c r="N341" i="196"/>
  <c r="AO322" i="196"/>
  <c r="AO324" i="196" s="1"/>
  <c r="AO354" i="196"/>
  <c r="AO356" i="196" s="1"/>
  <c r="AO399" i="196"/>
  <c r="AO423" i="196" s="1"/>
  <c r="AO427" i="196" s="1"/>
  <c r="O322" i="196"/>
  <c r="O324" i="196" s="1"/>
  <c r="O326" i="196" s="1"/>
  <c r="O328" i="196" s="1"/>
  <c r="O354" i="196"/>
  <c r="O356" i="196" s="1"/>
  <c r="O358" i="196" s="1"/>
  <c r="O360" i="196" s="1"/>
  <c r="O308" i="196"/>
  <c r="T333" i="196"/>
  <c r="T335" i="196" s="1"/>
  <c r="T337" i="196" s="1"/>
  <c r="T393" i="196" s="1"/>
  <c r="Y333" i="196"/>
  <c r="Y335" i="196" s="1"/>
  <c r="Y337" i="196" s="1"/>
  <c r="Y393" i="196" s="1"/>
  <c r="P305" i="196"/>
  <c r="P392" i="196" s="1"/>
  <c r="P301" i="196"/>
  <c r="P303" i="196" s="1"/>
  <c r="J342" i="196"/>
  <c r="J310" i="196"/>
  <c r="J374" i="196"/>
  <c r="J376" i="196" s="1"/>
  <c r="Y310" i="196"/>
  <c r="H105" i="198"/>
  <c r="J112" i="198"/>
  <c r="J141" i="198" s="1"/>
  <c r="O374" i="196"/>
  <c r="O376" i="196" s="1"/>
  <c r="O387" i="196" s="1"/>
  <c r="O310" i="196"/>
  <c r="O342" i="196"/>
  <c r="M354" i="196"/>
  <c r="M356" i="196" s="1"/>
  <c r="M358" i="196" s="1"/>
  <c r="M360" i="196" s="1"/>
  <c r="R354" i="196"/>
  <c r="R356" i="196" s="1"/>
  <c r="R322" i="196"/>
  <c r="R324" i="196" s="1"/>
  <c r="R399" i="196"/>
  <c r="R423" i="196" s="1"/>
  <c r="R427" i="196" s="1"/>
  <c r="AC354" i="196"/>
  <c r="AC356" i="196" s="1"/>
  <c r="AC358" i="196" s="1"/>
  <c r="AC360" i="196" s="1"/>
  <c r="AC322" i="196"/>
  <c r="AC324" i="196" s="1"/>
  <c r="AC326" i="196" s="1"/>
  <c r="AC328" i="196" s="1"/>
  <c r="AJ322" i="196"/>
  <c r="AJ324" i="196" s="1"/>
  <c r="AJ354" i="196"/>
  <c r="AJ356" i="196" s="1"/>
  <c r="AJ399" i="196"/>
  <c r="AJ423" i="196" s="1"/>
  <c r="AJ427" i="196" s="1"/>
  <c r="AE354" i="196"/>
  <c r="AE356" i="196" s="1"/>
  <c r="AE358" i="196" s="1"/>
  <c r="AE360" i="196" s="1"/>
  <c r="AE322" i="196"/>
  <c r="AE324" i="196" s="1"/>
  <c r="AE326" i="196" s="1"/>
  <c r="AE328" i="196" s="1"/>
  <c r="P112" i="198"/>
  <c r="P141" i="198" s="1"/>
  <c r="S309" i="196"/>
  <c r="J86" i="106" a="1"/>
  <c r="AE102" i="198"/>
  <c r="AE140" i="198" s="1"/>
  <c r="AD102" i="198"/>
  <c r="AD140" i="198" s="1"/>
  <c r="K354" i="196"/>
  <c r="K356" i="196" s="1"/>
  <c r="H178" i="197" a="1"/>
  <c r="H178" i="197" s="1"/>
  <c r="AC122" i="198"/>
  <c r="AC142" i="198" s="1"/>
  <c r="AF102" i="198"/>
  <c r="AF140" i="198" s="1"/>
  <c r="AM322" i="196"/>
  <c r="AM324" i="196" s="1"/>
  <c r="AM354" i="196"/>
  <c r="AM356" i="196" s="1"/>
  <c r="AM399" i="196"/>
  <c r="AM423" i="196" s="1"/>
  <c r="AM427" i="196" s="1"/>
  <c r="U354" i="196"/>
  <c r="U356" i="196" s="1"/>
  <c r="U322" i="196"/>
  <c r="U324" i="196" s="1"/>
  <c r="AC301" i="196"/>
  <c r="AC303" i="196" s="1"/>
  <c r="AC305" i="196"/>
  <c r="AC392" i="196" s="1"/>
  <c r="AD305" i="196"/>
  <c r="AD392" i="196" s="1"/>
  <c r="AD301" i="196"/>
  <c r="AD303" i="196" s="1"/>
  <c r="J308" i="196"/>
  <c r="J354" i="196"/>
  <c r="J356" i="196" s="1"/>
  <c r="J358" i="196" s="1"/>
  <c r="J360" i="196" s="1"/>
  <c r="J322" i="196"/>
  <c r="J324" i="196" s="1"/>
  <c r="J326" i="196" s="1"/>
  <c r="J328" i="196" s="1"/>
  <c r="AF354" i="196"/>
  <c r="AF356" i="196" s="1"/>
  <c r="AF358" i="196" s="1"/>
  <c r="AF360" i="196" s="1"/>
  <c r="AF322" i="196"/>
  <c r="AF324" i="196" s="1"/>
  <c r="AF326" i="196" s="1"/>
  <c r="AF328" i="196" s="1"/>
  <c r="U305" i="196"/>
  <c r="U392" i="196" s="1"/>
  <c r="AF342" i="196"/>
  <c r="AF374" i="196"/>
  <c r="AF376" i="196" s="1"/>
  <c r="AF387" i="196" s="1"/>
  <c r="J309" i="196"/>
  <c r="J341" i="196"/>
  <c r="AG309" i="196"/>
  <c r="AG341" i="196"/>
  <c r="J52" i="106" a="1"/>
  <c r="AE305" i="196"/>
  <c r="AE392" i="196" s="1"/>
  <c r="AE301" i="196"/>
  <c r="AE303" i="196" s="1"/>
  <c r="AG374" i="196"/>
  <c r="AG376" i="196" s="1"/>
  <c r="AG387" i="196" s="1"/>
  <c r="AG310" i="196"/>
  <c r="AG342" i="196"/>
  <c r="AE341" i="196"/>
  <c r="N102" i="198"/>
  <c r="N140" i="198" s="1"/>
  <c r="Q322" i="196"/>
  <c r="Q324" i="196" s="1"/>
  <c r="Q354" i="196"/>
  <c r="Q356" i="196" s="1"/>
  <c r="Q399" i="196"/>
  <c r="Q423" i="196" s="1"/>
  <c r="Q427" i="196" s="1"/>
  <c r="N322" i="196"/>
  <c r="N324" i="196" s="1"/>
  <c r="N326" i="196" s="1"/>
  <c r="N328" i="196" s="1"/>
  <c r="N354" i="196"/>
  <c r="N356" i="196" s="1"/>
  <c r="N358" i="196" s="1"/>
  <c r="N360" i="196" s="1"/>
  <c r="S354" i="196"/>
  <c r="S356" i="196" s="1"/>
  <c r="S322" i="196"/>
  <c r="S324" i="196" s="1"/>
  <c r="S308" i="196"/>
  <c r="P102" i="198"/>
  <c r="P140" i="198" s="1"/>
  <c r="T374" i="196"/>
  <c r="T376" i="196" s="1"/>
  <c r="T387" i="196" s="1"/>
  <c r="O309" i="196"/>
  <c r="O341" i="196"/>
  <c r="J122" i="198"/>
  <c r="J142" i="198" s="1"/>
  <c r="H115" i="198"/>
  <c r="AE122" i="198"/>
  <c r="AE142" i="198" s="1"/>
  <c r="AD122" i="198"/>
  <c r="AD142" i="198" s="1"/>
  <c r="L423" i="196"/>
  <c r="L427" i="196" s="1"/>
  <c r="AG322" i="196"/>
  <c r="AG324" i="196" s="1"/>
  <c r="AG326" i="196" s="1"/>
  <c r="AG328" i="196" s="1"/>
  <c r="AG354" i="196"/>
  <c r="AG356" i="196" s="1"/>
  <c r="AG358" i="196" s="1"/>
  <c r="AG360" i="196" s="1"/>
  <c r="AG308" i="196"/>
  <c r="U374" i="196"/>
  <c r="U376" i="196" s="1"/>
  <c r="U387" i="196" s="1"/>
  <c r="AC309" i="196"/>
  <c r="AC341" i="196"/>
  <c r="K423" i="196"/>
  <c r="K427" i="196" s="1"/>
  <c r="AK322" i="196"/>
  <c r="AK324" i="196" s="1"/>
  <c r="AK354" i="196"/>
  <c r="AK356" i="196" s="1"/>
  <c r="AK399" i="196"/>
  <c r="AK423" i="196" s="1"/>
  <c r="AK427" i="196" s="1"/>
  <c r="AF341" i="196"/>
  <c r="J95" i="198"/>
  <c r="V305" i="196"/>
  <c r="V392" i="196" s="1"/>
  <c r="N374" i="196"/>
  <c r="N376" i="196" s="1"/>
  <c r="N387" i="196" s="1"/>
  <c r="N342" i="196"/>
  <c r="P354" i="196"/>
  <c r="P356" i="196" s="1"/>
  <c r="P358" i="196" s="1"/>
  <c r="P360" i="196" s="1"/>
  <c r="P322" i="196"/>
  <c r="P324" i="196" s="1"/>
  <c r="P326" i="196" s="1"/>
  <c r="P328" i="196" s="1"/>
  <c r="Y309" i="196"/>
  <c r="AE342" i="196"/>
  <c r="AE374" i="196"/>
  <c r="AE376" i="196" s="1"/>
  <c r="AE387" i="196" s="1"/>
  <c r="AL322" i="196"/>
  <c r="AL324" i="196" s="1"/>
  <c r="AL354" i="196"/>
  <c r="AL356" i="196" s="1"/>
  <c r="AL399" i="196"/>
  <c r="AL423" i="196" s="1"/>
  <c r="AL427" i="196" s="1"/>
  <c r="AA374" i="196"/>
  <c r="AA376" i="196" s="1"/>
  <c r="AA387" i="196" s="1"/>
  <c r="AD341" i="196"/>
  <c r="J18" i="106" a="1"/>
  <c r="AF122" i="198"/>
  <c r="AF142" i="198" s="1"/>
  <c r="AF305" i="196"/>
  <c r="AF392" i="196" s="1"/>
  <c r="AF301" i="196"/>
  <c r="AF303" i="196" s="1"/>
  <c r="N305" i="196"/>
  <c r="N392" i="196" s="1"/>
  <c r="N301" i="196"/>
  <c r="N303" i="196" s="1"/>
  <c r="AN322" i="196"/>
  <c r="AN324" i="196" s="1"/>
  <c r="AN354" i="196"/>
  <c r="AN356" i="196" s="1"/>
  <c r="AN399" i="196"/>
  <c r="AN423" i="196" s="1"/>
  <c r="AN427" i="196" s="1"/>
  <c r="Y354" i="196"/>
  <c r="Y356" i="196" s="1"/>
  <c r="Y322" i="196"/>
  <c r="Y324" i="196" s="1"/>
  <c r="Y308" i="196"/>
  <c r="M374" i="196"/>
  <c r="M376" i="196" s="1"/>
  <c r="M387" i="196" s="1"/>
  <c r="M342" i="196"/>
  <c r="S374" i="196"/>
  <c r="S376" i="196" s="1"/>
  <c r="S387" i="196" s="1"/>
  <c r="S310" i="196"/>
  <c r="T301" i="196"/>
  <c r="T303" i="196" s="1"/>
  <c r="AD374" i="196"/>
  <c r="AD376" i="196" s="1"/>
  <c r="AD387" i="196" s="1"/>
  <c r="AD342" i="196"/>
  <c r="N122" i="198"/>
  <c r="N142" i="198" s="1"/>
  <c r="AB322" i="196"/>
  <c r="AB324" i="196" s="1"/>
  <c r="AB354" i="196"/>
  <c r="AB356" i="196" s="1"/>
  <c r="AB399" i="196"/>
  <c r="AB423" i="196" s="1"/>
  <c r="AB427" i="196" s="1"/>
  <c r="AA322" i="196"/>
  <c r="AA324" i="196" s="1"/>
  <c r="AA354" i="196"/>
  <c r="AA356" i="196" s="1"/>
  <c r="AH354" i="196"/>
  <c r="AH356" i="196" s="1"/>
  <c r="AH322" i="196"/>
  <c r="AH324" i="196" s="1"/>
  <c r="AH399" i="196"/>
  <c r="AH423" i="196" s="1"/>
  <c r="AH427" i="196" s="1"/>
  <c r="T354" i="196"/>
  <c r="T356" i="196" s="1"/>
  <c r="T322" i="196"/>
  <c r="T324" i="196" s="1"/>
  <c r="P122" i="198"/>
  <c r="P142" i="198" s="1"/>
  <c r="P342" i="196"/>
  <c r="P374" i="196"/>
  <c r="P376" i="196" s="1"/>
  <c r="P387" i="196" s="1"/>
  <c r="L354" i="196"/>
  <c r="L356" i="196" s="1"/>
  <c r="Y374" i="196" l="1"/>
  <c r="Y376" i="196" s="1"/>
  <c r="Y387" i="196" s="1"/>
  <c r="T305" i="196"/>
  <c r="T392" i="196" s="1"/>
  <c r="M308" i="196"/>
  <c r="M310" i="196"/>
  <c r="M309" i="196"/>
  <c r="X310" i="196"/>
  <c r="X374" i="196"/>
  <c r="X376" i="196" s="1"/>
  <c r="X387" i="196" s="1"/>
  <c r="Z374" i="196"/>
  <c r="Z376" i="196" s="1"/>
  <c r="Z387" i="196" s="1"/>
  <c r="X333" i="196"/>
  <c r="X335" i="196" s="1"/>
  <c r="X337" i="196" s="1"/>
  <c r="X393" i="196" s="1"/>
  <c r="S333" i="196"/>
  <c r="S335" i="196" s="1"/>
  <c r="S337" i="196" s="1"/>
  <c r="S393" i="196" s="1"/>
  <c r="S301" i="196"/>
  <c r="S303" i="196" s="1"/>
  <c r="X309" i="196"/>
  <c r="X301" i="196"/>
  <c r="X303" i="196" s="1"/>
  <c r="X308" i="196"/>
  <c r="AA310" i="196"/>
  <c r="Z333" i="196"/>
  <c r="Z335" i="196" s="1"/>
  <c r="Z337" i="196" s="1"/>
  <c r="Z393" i="196" s="1"/>
  <c r="Z309" i="196"/>
  <c r="U301" i="196"/>
  <c r="U303" i="196" s="1"/>
  <c r="Z310" i="196"/>
  <c r="Z308" i="196"/>
  <c r="Z301" i="196"/>
  <c r="Z303" i="196" s="1"/>
  <c r="AA309" i="196"/>
  <c r="AA333" i="196"/>
  <c r="AA335" i="196" s="1"/>
  <c r="AA337" i="196" s="1"/>
  <c r="AA393" i="196" s="1"/>
  <c r="AA301" i="196"/>
  <c r="AA303" i="196" s="1"/>
  <c r="V393" i="196"/>
  <c r="V341" i="196"/>
  <c r="V301" i="196"/>
  <c r="V303" i="196" s="1"/>
  <c r="AA308" i="196"/>
  <c r="V374" i="196"/>
  <c r="V376" i="196" s="1"/>
  <c r="V387" i="196" s="1"/>
  <c r="J344" i="196"/>
  <c r="J386" i="196" s="1"/>
  <c r="V342" i="196"/>
  <c r="O344" i="196"/>
  <c r="O386" i="196" s="1"/>
  <c r="AD310" i="196"/>
  <c r="T341" i="196"/>
  <c r="H112" i="198"/>
  <c r="T342" i="196"/>
  <c r="AD309" i="196"/>
  <c r="AC344" i="196"/>
  <c r="AC386" i="196" s="1"/>
  <c r="P310" i="196"/>
  <c r="P308" i="196"/>
  <c r="W326" i="196"/>
  <c r="W328" i="196" s="1"/>
  <c r="H122" i="198"/>
  <c r="U342" i="196"/>
  <c r="U309" i="196"/>
  <c r="AH326" i="196"/>
  <c r="AH328" i="196" s="1"/>
  <c r="Y312" i="196"/>
  <c r="Y385" i="196" s="1"/>
  <c r="Y341" i="196"/>
  <c r="U341" i="196"/>
  <c r="AE310" i="196"/>
  <c r="U310" i="196"/>
  <c r="AB326" i="196"/>
  <c r="AB328" i="196" s="1"/>
  <c r="L326" i="196"/>
  <c r="L328" i="196" s="1"/>
  <c r="AG312" i="196"/>
  <c r="AG385" i="196" s="1"/>
  <c r="AE309" i="196"/>
  <c r="AG344" i="196"/>
  <c r="AG386" i="196" s="1"/>
  <c r="Y342" i="196"/>
  <c r="AM326" i="196"/>
  <c r="AM328" i="196" s="1"/>
  <c r="AJ326" i="196"/>
  <c r="AJ328" i="196" s="1"/>
  <c r="J102" i="198"/>
  <c r="J140" i="198" s="1"/>
  <c r="J18" i="107" s="1" a="1"/>
  <c r="H95" i="198"/>
  <c r="J86" i="107" a="1"/>
  <c r="X326" i="196"/>
  <c r="X328" i="196" s="1"/>
  <c r="S326" i="196"/>
  <c r="S328" i="196" s="1"/>
  <c r="AE344" i="196"/>
  <c r="AE386" i="196" s="1"/>
  <c r="U326" i="196"/>
  <c r="U328" i="196" s="1"/>
  <c r="Z326" i="196"/>
  <c r="Z328" i="196" s="1"/>
  <c r="Q326" i="196"/>
  <c r="Q328" i="196" s="1"/>
  <c r="K326" i="196"/>
  <c r="K328" i="196" s="1"/>
  <c r="AI326" i="196"/>
  <c r="AI328" i="196" s="1"/>
  <c r="AL326" i="196"/>
  <c r="AL328" i="196" s="1"/>
  <c r="AD344" i="196"/>
  <c r="AD386" i="196" s="1"/>
  <c r="N310" i="196"/>
  <c r="AF309" i="196"/>
  <c r="S358" i="196"/>
  <c r="S360" i="196" s="1"/>
  <c r="X358" i="196"/>
  <c r="X360" i="196" s="1"/>
  <c r="AF344" i="196"/>
  <c r="AF386" i="196" s="1"/>
  <c r="AF308" i="196"/>
  <c r="U308" i="196"/>
  <c r="AO358" i="196"/>
  <c r="AO360" i="196" s="1"/>
  <c r="AB358" i="196"/>
  <c r="AB360" i="196" s="1"/>
  <c r="AH358" i="196"/>
  <c r="AH360" i="196" s="1"/>
  <c r="AK358" i="196"/>
  <c r="AK360" i="196" s="1"/>
  <c r="K358" i="196"/>
  <c r="K360" i="196" s="1"/>
  <c r="AJ358" i="196"/>
  <c r="AJ360" i="196" s="1"/>
  <c r="W358" i="196"/>
  <c r="W360" i="196" s="1"/>
  <c r="AL358" i="196"/>
  <c r="AL360" i="196" s="1"/>
  <c r="Q358" i="196"/>
  <c r="Q360" i="196" s="1"/>
  <c r="AM358" i="196"/>
  <c r="AM360" i="196" s="1"/>
  <c r="AI358" i="196"/>
  <c r="AI360" i="196" s="1"/>
  <c r="R358" i="196"/>
  <c r="R360" i="196" s="1"/>
  <c r="AN358" i="196"/>
  <c r="AN360" i="196" s="1"/>
  <c r="L358" i="196"/>
  <c r="L360" i="196" s="1"/>
  <c r="V310" i="196"/>
  <c r="V309" i="196"/>
  <c r="J387" i="196"/>
  <c r="V308" i="196"/>
  <c r="M344" i="196"/>
  <c r="M386" i="196" s="1"/>
  <c r="P344" i="196"/>
  <c r="P386" i="196" s="1"/>
  <c r="AK326" i="196"/>
  <c r="AK328" i="196" s="1"/>
  <c r="AN326" i="196"/>
  <c r="AN328" i="196" s="1"/>
  <c r="T326" i="196"/>
  <c r="T328" i="196" s="1"/>
  <c r="Y326" i="196"/>
  <c r="Y328" i="196" s="1"/>
  <c r="AO326" i="196"/>
  <c r="AO328" i="196" s="1"/>
  <c r="R326" i="196"/>
  <c r="R328" i="196" s="1"/>
  <c r="T358" i="196"/>
  <c r="T360" i="196" s="1"/>
  <c r="Y358" i="196"/>
  <c r="Y360" i="196" s="1"/>
  <c r="K36" i="106"/>
  <c r="K20" i="106"/>
  <c r="P38" i="106"/>
  <c r="M32" i="106"/>
  <c r="L26" i="106"/>
  <c r="P19" i="106"/>
  <c r="N45" i="106"/>
  <c r="O32" i="106"/>
  <c r="L41" i="106"/>
  <c r="N31" i="106"/>
  <c r="K48" i="106"/>
  <c r="M46" i="106"/>
  <c r="J36" i="106"/>
  <c r="M42" i="106"/>
  <c r="L36" i="106"/>
  <c r="P29" i="106"/>
  <c r="O23" i="106"/>
  <c r="O26" i="106"/>
  <c r="K21" i="106"/>
  <c r="N40" i="106"/>
  <c r="L33" i="106"/>
  <c r="K27" i="106"/>
  <c r="O20" i="106"/>
  <c r="K46" i="106"/>
  <c r="K49" i="106"/>
  <c r="O34" i="106"/>
  <c r="L37" i="106"/>
  <c r="O38" i="106"/>
  <c r="J19" i="106"/>
  <c r="N39" i="106"/>
  <c r="N33" i="106"/>
  <c r="M27" i="106"/>
  <c r="J21" i="106"/>
  <c r="O46" i="106"/>
  <c r="J45" i="106"/>
  <c r="N44" i="106"/>
  <c r="J44" i="106"/>
  <c r="J26" i="106"/>
  <c r="J18" i="106"/>
  <c r="P42" i="106"/>
  <c r="N43" i="106"/>
  <c r="M37" i="106"/>
  <c r="J31" i="106"/>
  <c r="P24" i="106"/>
  <c r="M18" i="106"/>
  <c r="N47" i="106"/>
  <c r="J48" i="106"/>
  <c r="M26" i="106"/>
  <c r="M39" i="106"/>
  <c r="P43" i="106"/>
  <c r="O37" i="106"/>
  <c r="L31" i="106"/>
  <c r="K25" i="106"/>
  <c r="O18" i="106"/>
  <c r="J40" i="106"/>
  <c r="P31" i="106"/>
  <c r="L38" i="106"/>
  <c r="J34" i="106"/>
  <c r="O21" i="106"/>
  <c r="N30" i="106"/>
  <c r="P22" i="106"/>
  <c r="K44" i="106"/>
  <c r="M24" i="106"/>
  <c r="O43" i="106"/>
  <c r="N35" i="106"/>
  <c r="M35" i="106"/>
  <c r="J43" i="106"/>
  <c r="N18" i="106"/>
  <c r="P37" i="106"/>
  <c r="L22" i="106"/>
  <c r="K42" i="106"/>
  <c r="K23" i="106"/>
  <c r="J38" i="106"/>
  <c r="M30" i="106"/>
  <c r="L39" i="106"/>
  <c r="O44" i="106"/>
  <c r="K30" i="106"/>
  <c r="N48" i="106"/>
  <c r="P49" i="106"/>
  <c r="P36" i="106"/>
  <c r="O47" i="106"/>
  <c r="K37" i="106"/>
  <c r="P25" i="106"/>
  <c r="M29" i="106"/>
  <c r="J23" i="106"/>
  <c r="M48" i="106"/>
  <c r="L42" i="106"/>
  <c r="M44" i="106"/>
  <c r="L30" i="106"/>
  <c r="K35" i="106"/>
  <c r="L21" i="106"/>
  <c r="L32" i="106"/>
  <c r="K29" i="106"/>
  <c r="K39" i="106"/>
  <c r="J33" i="106"/>
  <c r="N26" i="106"/>
  <c r="M20" i="106"/>
  <c r="P45" i="106"/>
  <c r="M21" i="106"/>
  <c r="O33" i="106"/>
  <c r="J30" i="106"/>
  <c r="P23" i="106"/>
  <c r="L49" i="106"/>
  <c r="K43" i="106"/>
  <c r="O36" i="106"/>
  <c r="K31" i="106"/>
  <c r="K19" i="106"/>
  <c r="P26" i="106"/>
  <c r="J42" i="106"/>
  <c r="O25" i="106"/>
  <c r="K45" i="106"/>
  <c r="K24" i="106"/>
  <c r="N49" i="106"/>
  <c r="M43" i="106"/>
  <c r="J37" i="106"/>
  <c r="O39" i="106"/>
  <c r="L19" i="106"/>
  <c r="N25" i="106"/>
  <c r="J29" i="106"/>
  <c r="P18" i="106"/>
  <c r="M38" i="106"/>
  <c r="K34" i="106"/>
  <c r="O27" i="106"/>
  <c r="N21" i="106"/>
  <c r="J47" i="106"/>
  <c r="P40" i="106"/>
  <c r="K22" i="106"/>
  <c r="N41" i="106"/>
  <c r="M22" i="106"/>
  <c r="M47" i="106"/>
  <c r="M34" i="106"/>
  <c r="L28" i="106"/>
  <c r="P21" i="106"/>
  <c r="L47" i="106"/>
  <c r="K41" i="106"/>
  <c r="J28" i="106"/>
  <c r="M25" i="106"/>
  <c r="P41" i="106"/>
  <c r="M31" i="106"/>
  <c r="O19" i="106"/>
  <c r="M45" i="106"/>
  <c r="J39" i="106"/>
  <c r="P32" i="106"/>
  <c r="P48" i="106"/>
  <c r="L25" i="106"/>
  <c r="K38" i="106"/>
  <c r="N38" i="106"/>
  <c r="O40" i="106"/>
  <c r="O24" i="106"/>
  <c r="O29" i="106"/>
  <c r="L23" i="106"/>
  <c r="J49" i="106"/>
  <c r="N42" i="106"/>
  <c r="M36" i="106"/>
  <c r="L45" i="106"/>
  <c r="L29" i="106"/>
  <c r="J46" i="106"/>
  <c r="P39" i="106"/>
  <c r="M33" i="106"/>
  <c r="L27" i="106"/>
  <c r="J27" i="106"/>
  <c r="P47" i="106"/>
  <c r="P28" i="106"/>
  <c r="J22" i="106"/>
  <c r="P20" i="106"/>
  <c r="N46" i="106"/>
  <c r="K40" i="106"/>
  <c r="N27" i="106"/>
  <c r="M19" i="106"/>
  <c r="N23" i="106"/>
  <c r="L18" i="106"/>
  <c r="N37" i="106"/>
  <c r="P35" i="106"/>
  <c r="M23" i="106"/>
  <c r="J25" i="106"/>
  <c r="L44" i="106"/>
  <c r="O31" i="106"/>
  <c r="O28" i="106"/>
  <c r="O35" i="106"/>
  <c r="P30" i="106"/>
  <c r="J32" i="106"/>
  <c r="O45" i="106"/>
  <c r="K33" i="106"/>
  <c r="O42" i="106"/>
  <c r="J24" i="106"/>
  <c r="O22" i="106"/>
  <c r="P33" i="106"/>
  <c r="L24" i="106"/>
  <c r="K18" i="106"/>
  <c r="N20" i="106"/>
  <c r="N24" i="106"/>
  <c r="N29" i="106"/>
  <c r="K32" i="106"/>
  <c r="L20" i="106"/>
  <c r="L46" i="106"/>
  <c r="N36" i="106"/>
  <c r="N22" i="106"/>
  <c r="O30" i="106"/>
  <c r="L48" i="106"/>
  <c r="O41" i="106"/>
  <c r="J35" i="106"/>
  <c r="L35" i="106"/>
  <c r="L43" i="106"/>
  <c r="P34" i="106"/>
  <c r="L34" i="106"/>
  <c r="N19" i="106"/>
  <c r="J41" i="106"/>
  <c r="N28" i="106"/>
  <c r="O49" i="106"/>
  <c r="P27" i="106"/>
  <c r="K28" i="106"/>
  <c r="N34" i="106"/>
  <c r="M41" i="106"/>
  <c r="M40" i="106"/>
  <c r="J20" i="106"/>
  <c r="K26" i="106"/>
  <c r="N32" i="106"/>
  <c r="P44" i="106"/>
  <c r="P46" i="106"/>
  <c r="M49" i="106"/>
  <c r="O48" i="106"/>
  <c r="M28" i="106"/>
  <c r="L40" i="106"/>
  <c r="K47" i="106"/>
  <c r="K70" i="106"/>
  <c r="O55" i="106"/>
  <c r="L54" i="106"/>
  <c r="L57" i="106"/>
  <c r="N78" i="106"/>
  <c r="J68" i="106"/>
  <c r="O75" i="106"/>
  <c r="L79" i="106"/>
  <c r="M78" i="106"/>
  <c r="M81" i="106"/>
  <c r="J80" i="106"/>
  <c r="M69" i="106"/>
  <c r="P58" i="106"/>
  <c r="L66" i="106"/>
  <c r="J69" i="106"/>
  <c r="O78" i="106"/>
  <c r="L77" i="106"/>
  <c r="L80" i="106"/>
  <c r="O69" i="106"/>
  <c r="K59" i="106"/>
  <c r="O52" i="106"/>
  <c r="K78" i="106"/>
  <c r="N69" i="106"/>
  <c r="K68" i="106"/>
  <c r="K71" i="106"/>
  <c r="N60" i="106"/>
  <c r="P81" i="106"/>
  <c r="K75" i="106"/>
  <c r="K54" i="106"/>
  <c r="M60" i="106"/>
  <c r="J59" i="106"/>
  <c r="J62" i="106"/>
  <c r="L83" i="106"/>
  <c r="O72" i="106"/>
  <c r="O65" i="106"/>
  <c r="M72" i="106"/>
  <c r="K83" i="106"/>
  <c r="O81" i="106"/>
  <c r="P52" i="106"/>
  <c r="K74" i="106"/>
  <c r="N63" i="106"/>
  <c r="M75" i="106"/>
  <c r="N81" i="106"/>
  <c r="J74" i="106"/>
  <c r="N72" i="106"/>
  <c r="N75" i="106"/>
  <c r="J65" i="106"/>
  <c r="M54" i="106"/>
  <c r="J66" i="106"/>
  <c r="J61" i="106"/>
  <c r="P64" i="106"/>
  <c r="M63" i="106"/>
  <c r="M66" i="106"/>
  <c r="P55" i="106"/>
  <c r="K77" i="106"/>
  <c r="N56" i="106"/>
  <c r="J77" i="106"/>
  <c r="K65" i="106"/>
  <c r="O63" i="106"/>
  <c r="L62" i="106"/>
  <c r="M77" i="106"/>
  <c r="P66" i="106"/>
  <c r="P59" i="106"/>
  <c r="J56" i="106"/>
  <c r="K53" i="106"/>
  <c r="L68" i="106"/>
  <c r="J52" i="106"/>
  <c r="P54" i="106"/>
  <c r="K79" i="106"/>
  <c r="J58" i="106"/>
  <c r="J79" i="106"/>
  <c r="K76" i="106"/>
  <c r="M59" i="106"/>
  <c r="O66" i="106"/>
  <c r="M68" i="106"/>
  <c r="P60" i="106"/>
  <c r="N71" i="106"/>
  <c r="O60" i="106"/>
  <c r="P57" i="106"/>
  <c r="J73" i="106"/>
  <c r="O58" i="106"/>
  <c r="J82" i="106"/>
  <c r="M74" i="106"/>
  <c r="L53" i="106"/>
  <c r="L74" i="106"/>
  <c r="M71" i="106"/>
  <c r="O54" i="106"/>
  <c r="M64" i="106"/>
  <c r="N82" i="106"/>
  <c r="K81" i="106"/>
  <c r="O79" i="106"/>
  <c r="K69" i="106"/>
  <c r="P53" i="106"/>
  <c r="M70" i="106"/>
  <c r="N73" i="106"/>
  <c r="M73" i="106"/>
  <c r="J72" i="106"/>
  <c r="N70" i="106"/>
  <c r="J60" i="106"/>
  <c r="N76" i="106"/>
  <c r="K80" i="106"/>
  <c r="L63" i="106"/>
  <c r="L69" i="106"/>
  <c r="L72" i="106"/>
  <c r="P70" i="106"/>
  <c r="L60" i="106"/>
  <c r="P76" i="106"/>
  <c r="P56" i="106"/>
  <c r="J53" i="106"/>
  <c r="K60" i="106"/>
  <c r="K63" i="106"/>
  <c r="O61" i="106"/>
  <c r="J83" i="106"/>
  <c r="O67" i="106"/>
  <c r="N66" i="106"/>
  <c r="K62" i="106"/>
  <c r="P82" i="106"/>
  <c r="J54" i="106"/>
  <c r="N52" i="106"/>
  <c r="P73" i="106"/>
  <c r="N58" i="106"/>
  <c r="K57" i="106"/>
  <c r="L71" i="106"/>
  <c r="O73" i="106"/>
  <c r="O76" i="106"/>
  <c r="L75" i="106"/>
  <c r="O64" i="106"/>
  <c r="L81" i="106"/>
  <c r="N79" i="106"/>
  <c r="M80" i="106"/>
  <c r="N64" i="106"/>
  <c r="N67" i="106"/>
  <c r="K66" i="106"/>
  <c r="N55" i="106"/>
  <c r="K72" i="106"/>
  <c r="M57" i="106"/>
  <c r="L55" i="106"/>
  <c r="M55" i="106"/>
  <c r="M58" i="106"/>
  <c r="J57" i="106"/>
  <c r="L78" i="106"/>
  <c r="J63" i="106"/>
  <c r="P79" i="106"/>
  <c r="N74" i="106"/>
  <c r="O71" i="106"/>
  <c r="L70" i="106"/>
  <c r="J55" i="106"/>
  <c r="M52" i="106"/>
  <c r="M65" i="106"/>
  <c r="N62" i="106"/>
  <c r="K61" i="106"/>
  <c r="O77" i="106"/>
  <c r="K67" i="106"/>
  <c r="P74" i="106"/>
  <c r="L64" i="106"/>
  <c r="P62" i="106"/>
  <c r="M61" i="106"/>
  <c r="J78" i="106"/>
  <c r="O70" i="106"/>
  <c r="K55" i="106"/>
  <c r="O53" i="106"/>
  <c r="P68" i="106"/>
  <c r="L58" i="106"/>
  <c r="N65" i="106"/>
  <c r="P77" i="106"/>
  <c r="M76" i="106"/>
  <c r="J75" i="106"/>
  <c r="J81" i="106"/>
  <c r="J71" i="106"/>
  <c r="O68" i="106"/>
  <c r="L67" i="106"/>
  <c r="M82" i="106"/>
  <c r="P71" i="106"/>
  <c r="K73" i="106"/>
  <c r="L76" i="106"/>
  <c r="J64" i="106"/>
  <c r="O82" i="106"/>
  <c r="M67" i="106"/>
  <c r="M56" i="106"/>
  <c r="L52" i="106"/>
  <c r="L61" i="106"/>
  <c r="O59" i="106"/>
  <c r="O74" i="106"/>
  <c r="P65" i="106"/>
  <c r="N61" i="106"/>
  <c r="P83" i="106"/>
  <c r="N59" i="106"/>
  <c r="K58" i="106"/>
  <c r="O56" i="106"/>
  <c r="L73" i="106"/>
  <c r="O62" i="106"/>
  <c r="K52" i="106"/>
  <c r="O83" i="106"/>
  <c r="L82" i="106"/>
  <c r="P80" i="106"/>
  <c r="M79" i="106"/>
  <c r="K64" i="106"/>
  <c r="N53" i="106"/>
  <c r="P61" i="106"/>
  <c r="K56" i="106"/>
  <c r="N54" i="106"/>
  <c r="P78" i="106"/>
  <c r="O57" i="106"/>
  <c r="L56" i="106"/>
  <c r="M53" i="106"/>
  <c r="N68" i="106"/>
  <c r="N57" i="106"/>
  <c r="N77" i="106"/>
  <c r="J70" i="106"/>
  <c r="O80" i="106"/>
  <c r="P69" i="106"/>
  <c r="J67" i="106"/>
  <c r="K82" i="106"/>
  <c r="P75" i="106"/>
  <c r="L59" i="106"/>
  <c r="N83" i="106"/>
  <c r="M62" i="106"/>
  <c r="M83" i="106"/>
  <c r="N80" i="106"/>
  <c r="P63" i="106"/>
  <c r="P67" i="106"/>
  <c r="P72" i="106"/>
  <c r="L65" i="106"/>
  <c r="J76" i="106"/>
  <c r="J312" i="196"/>
  <c r="J385" i="196" s="1"/>
  <c r="U358" i="196"/>
  <c r="U360" i="196" s="1"/>
  <c r="Z358" i="196"/>
  <c r="Z360" i="196" s="1"/>
  <c r="AC308" i="196"/>
  <c r="J52" i="107" a="1"/>
  <c r="N344" i="196"/>
  <c r="N386" i="196" s="1"/>
  <c r="V358" i="196"/>
  <c r="V360" i="196" s="1"/>
  <c r="AA358" i="196"/>
  <c r="AA360" i="196" s="1"/>
  <c r="P309" i="196"/>
  <c r="S312" i="196"/>
  <c r="S385" i="196" s="1"/>
  <c r="N308" i="196"/>
  <c r="AF310" i="196"/>
  <c r="N309" i="196"/>
  <c r="AA326" i="196"/>
  <c r="AA328" i="196" s="1"/>
  <c r="V326" i="196"/>
  <c r="V328" i="196" s="1"/>
  <c r="AC310" i="196"/>
  <c r="A4" i="197"/>
  <c r="J58" i="55"/>
  <c r="J95" i="106"/>
  <c r="O88" i="106"/>
  <c r="P111" i="106"/>
  <c r="O106" i="106"/>
  <c r="L99" i="106"/>
  <c r="K94" i="106"/>
  <c r="M91" i="106"/>
  <c r="N106" i="106"/>
  <c r="M110" i="106"/>
  <c r="M99" i="106"/>
  <c r="L94" i="106"/>
  <c r="P86" i="106"/>
  <c r="N113" i="106"/>
  <c r="L96" i="106"/>
  <c r="K110" i="106"/>
  <c r="N103" i="106"/>
  <c r="O92" i="106"/>
  <c r="L104" i="106"/>
  <c r="P96" i="106"/>
  <c r="O91" i="106"/>
  <c r="K117" i="106"/>
  <c r="J93" i="106"/>
  <c r="M89" i="106"/>
  <c r="J91" i="106"/>
  <c r="J113" i="106"/>
  <c r="P107" i="106"/>
  <c r="M100" i="106"/>
  <c r="L95" i="106"/>
  <c r="O101" i="106"/>
  <c r="N100" i="106"/>
  <c r="P98" i="106"/>
  <c r="N95" i="106"/>
  <c r="K107" i="106"/>
  <c r="K112" i="106"/>
  <c r="L105" i="106"/>
  <c r="L86" i="106"/>
  <c r="O110" i="106"/>
  <c r="N105" i="106"/>
  <c r="K98" i="106"/>
  <c r="P106" i="106"/>
  <c r="J116" i="106"/>
  <c r="O104" i="106"/>
  <c r="M117" i="106"/>
  <c r="L112" i="106"/>
  <c r="P104" i="106"/>
  <c r="O99" i="106"/>
  <c r="K106" i="106"/>
  <c r="P91" i="106"/>
  <c r="J86" i="106"/>
  <c r="L109" i="106"/>
  <c r="L108" i="106"/>
  <c r="K103" i="106"/>
  <c r="O95" i="106"/>
  <c r="N90" i="106"/>
  <c r="J97" i="106"/>
  <c r="O98" i="106"/>
  <c r="L111" i="106"/>
  <c r="N97" i="106"/>
  <c r="P116" i="106"/>
  <c r="M98" i="106"/>
  <c r="P105" i="106"/>
  <c r="N108" i="106"/>
  <c r="M103" i="106"/>
  <c r="J96" i="106"/>
  <c r="P90" i="106"/>
  <c r="J101" i="106"/>
  <c r="M87" i="106"/>
  <c r="P93" i="106"/>
  <c r="J87" i="106"/>
  <c r="J90" i="106"/>
  <c r="M115" i="106"/>
  <c r="L110" i="106"/>
  <c r="P102" i="106"/>
  <c r="N110" i="106"/>
  <c r="N116" i="106"/>
  <c r="K104" i="106"/>
  <c r="P97" i="106"/>
  <c r="N93" i="106"/>
  <c r="M88" i="106"/>
  <c r="P112" i="106"/>
  <c r="O107" i="106"/>
  <c r="P95" i="106"/>
  <c r="J103" i="106"/>
  <c r="K96" i="106"/>
  <c r="N104" i="106"/>
  <c r="K97" i="106"/>
  <c r="J92" i="106"/>
  <c r="M116" i="106"/>
  <c r="L92" i="106"/>
  <c r="P101" i="106"/>
  <c r="N107" i="106"/>
  <c r="O100" i="106"/>
  <c r="L91" i="106"/>
  <c r="L117" i="106"/>
  <c r="M106" i="106"/>
  <c r="M107" i="106"/>
  <c r="L102" i="106"/>
  <c r="P94" i="106"/>
  <c r="O89" i="106"/>
  <c r="M97" i="106"/>
  <c r="O116" i="106"/>
  <c r="P109" i="106"/>
  <c r="J109" i="106"/>
  <c r="N101" i="106"/>
  <c r="M96" i="106"/>
  <c r="J89" i="106"/>
  <c r="O97" i="106"/>
  <c r="M95" i="106"/>
  <c r="P89" i="106"/>
  <c r="M114" i="106"/>
  <c r="P99" i="106"/>
  <c r="M92" i="106"/>
  <c r="L87" i="106"/>
  <c r="O111" i="106"/>
  <c r="N88" i="106"/>
  <c r="N94" i="106"/>
  <c r="L89" i="106"/>
  <c r="P113" i="106"/>
  <c r="K99" i="106"/>
  <c r="J94" i="106"/>
  <c r="N86" i="106"/>
  <c r="J112" i="106"/>
  <c r="P87" i="106"/>
  <c r="J102" i="106"/>
  <c r="J99" i="106"/>
  <c r="K88" i="106"/>
  <c r="M113" i="106"/>
  <c r="J106" i="106"/>
  <c r="P100" i="106"/>
  <c r="M93" i="106"/>
  <c r="K102" i="106"/>
  <c r="N92" i="106"/>
  <c r="J115" i="106"/>
  <c r="L90" i="106"/>
  <c r="J117" i="106"/>
  <c r="N109" i="106"/>
  <c r="M104" i="106"/>
  <c r="P110" i="106"/>
  <c r="N114" i="106"/>
  <c r="K108" i="106"/>
  <c r="L97" i="106"/>
  <c r="K95" i="106"/>
  <c r="O87" i="106"/>
  <c r="K113" i="106"/>
  <c r="J108" i="106"/>
  <c r="O115" i="106"/>
  <c r="M111" i="106"/>
  <c r="O112" i="106"/>
  <c r="J107" i="106"/>
  <c r="L107" i="106"/>
  <c r="P117" i="106"/>
  <c r="N111" i="106"/>
  <c r="J98" i="106"/>
  <c r="P92" i="106"/>
  <c r="M86" i="106"/>
  <c r="K114" i="106"/>
  <c r="K91" i="106"/>
  <c r="N87" i="106"/>
  <c r="J111" i="106"/>
  <c r="L98" i="106"/>
  <c r="K93" i="106"/>
  <c r="N117" i="106"/>
  <c r="M112" i="106"/>
  <c r="L88" i="106"/>
  <c r="J104" i="106"/>
  <c r="M90" i="106"/>
  <c r="N115" i="106"/>
  <c r="K89" i="106"/>
  <c r="P115" i="106"/>
  <c r="M108" i="106"/>
  <c r="L103" i="106"/>
  <c r="O109" i="106"/>
  <c r="M94" i="106"/>
  <c r="K92" i="106"/>
  <c r="O90" i="106"/>
  <c r="K115" i="106"/>
  <c r="J110" i="106"/>
  <c r="N102" i="106"/>
  <c r="K86" i="106"/>
  <c r="N99" i="106"/>
  <c r="L93" i="106"/>
  <c r="O102" i="106"/>
  <c r="K90" i="106"/>
  <c r="J105" i="106"/>
  <c r="N91" i="106"/>
  <c r="O113" i="106"/>
  <c r="O93" i="106"/>
  <c r="M102" i="106"/>
  <c r="N98" i="106"/>
  <c r="P103" i="106"/>
  <c r="N89" i="106"/>
  <c r="K87" i="106"/>
  <c r="L114" i="106"/>
  <c r="M105" i="106"/>
  <c r="K105" i="106"/>
  <c r="K101" i="106"/>
  <c r="O103" i="106"/>
  <c r="O94" i="106"/>
  <c r="P88" i="106"/>
  <c r="N112" i="106"/>
  <c r="M101" i="106"/>
  <c r="L116" i="106"/>
  <c r="O86" i="106"/>
  <c r="M109" i="106"/>
  <c r="J114" i="106"/>
  <c r="O96" i="106"/>
  <c r="K109" i="106"/>
  <c r="L101" i="106"/>
  <c r="J100" i="106"/>
  <c r="O108" i="106"/>
  <c r="L113" i="106"/>
  <c r="L115" i="106"/>
  <c r="P114" i="106"/>
  <c r="O105" i="106"/>
  <c r="L106" i="106"/>
  <c r="J88" i="106"/>
  <c r="K111" i="106"/>
  <c r="O114" i="106"/>
  <c r="K100" i="106"/>
  <c r="P108" i="106"/>
  <c r="K116" i="106"/>
  <c r="L100" i="106"/>
  <c r="O117" i="106"/>
  <c r="N96" i="106"/>
  <c r="AE308" i="196"/>
  <c r="O312" i="196"/>
  <c r="O385" i="196" s="1"/>
  <c r="AD308" i="196"/>
  <c r="T309" i="196" l="1"/>
  <c r="T310" i="196"/>
  <c r="T308" i="196"/>
  <c r="X341" i="196"/>
  <c r="M312" i="196"/>
  <c r="M385" i="196" s="1"/>
  <c r="M389" i="196" s="1"/>
  <c r="M396" i="196" s="1"/>
  <c r="X342" i="196"/>
  <c r="S341" i="196"/>
  <c r="S342" i="196"/>
  <c r="X312" i="196"/>
  <c r="X385" i="196" s="1"/>
  <c r="V344" i="196"/>
  <c r="V386" i="196" s="1"/>
  <c r="Z312" i="196"/>
  <c r="Z385" i="196" s="1"/>
  <c r="Z342" i="196"/>
  <c r="Z341" i="196"/>
  <c r="AA312" i="196"/>
  <c r="AA385" i="196" s="1"/>
  <c r="AA341" i="196"/>
  <c r="H429" i="196"/>
  <c r="AA342" i="196"/>
  <c r="O389" i="196"/>
  <c r="O396" i="196" s="1"/>
  <c r="O399" i="196" s="1"/>
  <c r="AD312" i="196"/>
  <c r="AD385" i="196" s="1"/>
  <c r="AD389" i="196" s="1"/>
  <c r="AD396" i="196" s="1"/>
  <c r="AD401" i="196" s="1"/>
  <c r="T344" i="196"/>
  <c r="T386" i="196" s="1"/>
  <c r="AE312" i="196"/>
  <c r="AE385" i="196" s="1"/>
  <c r="AE389" i="196" s="1"/>
  <c r="AE396" i="196" s="1"/>
  <c r="AE401" i="196" s="1"/>
  <c r="P312" i="196"/>
  <c r="P385" i="196" s="1"/>
  <c r="P389" i="196" s="1"/>
  <c r="P396" i="196" s="1"/>
  <c r="U312" i="196"/>
  <c r="U385" i="196" s="1"/>
  <c r="Y344" i="196"/>
  <c r="Y386" i="196" s="1"/>
  <c r="Y389" i="196" s="1"/>
  <c r="Y396" i="196" s="1"/>
  <c r="Y401" i="196" s="1"/>
  <c r="J389" i="196"/>
  <c r="J396" i="196" s="1"/>
  <c r="J400" i="196" s="1"/>
  <c r="U344" i="196"/>
  <c r="U386" i="196" s="1"/>
  <c r="AG389" i="196"/>
  <c r="AG396" i="196" s="1"/>
  <c r="V312" i="196"/>
  <c r="V385" i="196" s="1"/>
  <c r="H641" i="106" a="1"/>
  <c r="H641" i="106" s="1"/>
  <c r="AF312" i="196"/>
  <c r="AF385" i="196" s="1"/>
  <c r="AF389" i="196" s="1"/>
  <c r="AF396" i="196" s="1"/>
  <c r="J99" i="107"/>
  <c r="J112" i="107"/>
  <c r="J102" i="107"/>
  <c r="J89" i="107"/>
  <c r="J95" i="107"/>
  <c r="J87" i="107"/>
  <c r="J101" i="107"/>
  <c r="J97" i="107"/>
  <c r="J114" i="107"/>
  <c r="J98" i="107"/>
  <c r="J113" i="107"/>
  <c r="J110" i="107"/>
  <c r="J88" i="107"/>
  <c r="J103" i="107"/>
  <c r="J116" i="107"/>
  <c r="J91" i="107"/>
  <c r="J117" i="107"/>
  <c r="J104" i="107"/>
  <c r="J94" i="107"/>
  <c r="J86" i="107"/>
  <c r="J92" i="107"/>
  <c r="J106" i="107"/>
  <c r="J115" i="107"/>
  <c r="J93" i="107"/>
  <c r="J109" i="107"/>
  <c r="J96" i="107"/>
  <c r="J111" i="107"/>
  <c r="J108" i="107"/>
  <c r="J107" i="107"/>
  <c r="J90" i="107"/>
  <c r="J100" i="107"/>
  <c r="J105" i="107"/>
  <c r="H102" i="198"/>
  <c r="H132" i="198" s="1"/>
  <c r="H133" i="198" s="1"/>
  <c r="J75" i="107"/>
  <c r="J82" i="107"/>
  <c r="J72" i="107"/>
  <c r="J71" i="107"/>
  <c r="J70" i="107"/>
  <c r="J57" i="107"/>
  <c r="J55" i="107"/>
  <c r="J80" i="107"/>
  <c r="J63" i="107"/>
  <c r="J67" i="107"/>
  <c r="J59" i="107"/>
  <c r="J62" i="107"/>
  <c r="J76" i="107"/>
  <c r="J69" i="107"/>
  <c r="J81" i="107"/>
  <c r="J65" i="107"/>
  <c r="J79" i="107"/>
  <c r="J68" i="107"/>
  <c r="J73" i="107"/>
  <c r="J74" i="107"/>
  <c r="J54" i="107"/>
  <c r="J78" i="107"/>
  <c r="J61" i="107"/>
  <c r="J52" i="107"/>
  <c r="J56" i="107"/>
  <c r="J77" i="107"/>
  <c r="J64" i="107"/>
  <c r="J53" i="107"/>
  <c r="J83" i="107"/>
  <c r="J58" i="107"/>
  <c r="J66" i="107"/>
  <c r="J60" i="107"/>
  <c r="N312" i="196"/>
  <c r="N385" i="196" s="1"/>
  <c r="N389" i="196" s="1"/>
  <c r="N396" i="196" s="1"/>
  <c r="AC312" i="196"/>
  <c r="AC385" i="196" s="1"/>
  <c r="AC389" i="196" s="1"/>
  <c r="AC396" i="196" s="1"/>
  <c r="J47" i="107"/>
  <c r="J40" i="107"/>
  <c r="J39" i="107"/>
  <c r="J35" i="107"/>
  <c r="J30" i="107"/>
  <c r="J44" i="107"/>
  <c r="J21" i="107"/>
  <c r="J49" i="107"/>
  <c r="J27" i="107"/>
  <c r="J32" i="107"/>
  <c r="J41" i="107"/>
  <c r="J33" i="107"/>
  <c r="J34" i="107"/>
  <c r="J29" i="107"/>
  <c r="J22" i="107"/>
  <c r="J25" i="107"/>
  <c r="J48" i="107"/>
  <c r="J38" i="107"/>
  <c r="J45" i="107"/>
  <c r="J46" i="107"/>
  <c r="J28" i="107"/>
  <c r="J20" i="107"/>
  <c r="J19" i="107"/>
  <c r="J36" i="107"/>
  <c r="J18" i="107"/>
  <c r="J43" i="107"/>
  <c r="J31" i="107"/>
  <c r="J23" i="107"/>
  <c r="J26" i="107"/>
  <c r="J37" i="107"/>
  <c r="J24" i="107"/>
  <c r="J42" i="107"/>
  <c r="T312" i="196" l="1"/>
  <c r="T385" i="196" s="1"/>
  <c r="T389" i="196" s="1"/>
  <c r="T396" i="196" s="1"/>
  <c r="X344" i="196"/>
  <c r="X386" i="196" s="1"/>
  <c r="X389" i="196" s="1"/>
  <c r="X396" i="196" s="1"/>
  <c r="X401" i="196" s="1"/>
  <c r="M399" i="196"/>
  <c r="M400" i="196"/>
  <c r="S344" i="196"/>
  <c r="S386" i="196" s="1"/>
  <c r="S389" i="196" s="1"/>
  <c r="S396" i="196" s="1"/>
  <c r="S401" i="196" s="1"/>
  <c r="V389" i="196"/>
  <c r="V396" i="196" s="1"/>
  <c r="V399" i="196" s="1"/>
  <c r="Z344" i="196"/>
  <c r="Z386" i="196" s="1"/>
  <c r="Z389" i="196" s="1"/>
  <c r="Z396" i="196" s="1"/>
  <c r="Z401" i="196" s="1"/>
  <c r="O400" i="196"/>
  <c r="AA344" i="196"/>
  <c r="AA386" i="196" s="1"/>
  <c r="AA389" i="196" s="1"/>
  <c r="AA396" i="196" s="1"/>
  <c r="AA399" i="196" s="1"/>
  <c r="O401" i="196"/>
  <c r="J399" i="196"/>
  <c r="AD400" i="196"/>
  <c r="Y400" i="196"/>
  <c r="AE400" i="196"/>
  <c r="AD399" i="196"/>
  <c r="AE399" i="196"/>
  <c r="M401" i="196"/>
  <c r="Y399" i="196"/>
  <c r="U389" i="196"/>
  <c r="U396" i="196" s="1"/>
  <c r="U400" i="196" s="1"/>
  <c r="J401" i="196"/>
  <c r="AG401" i="196"/>
  <c r="AG399" i="196"/>
  <c r="AG400" i="196"/>
  <c r="H121" i="107" a="1"/>
  <c r="H121" i="107" s="1"/>
  <c r="AC401" i="196"/>
  <c r="AC400" i="196"/>
  <c r="AC399" i="196"/>
  <c r="P400" i="196"/>
  <c r="P399" i="196"/>
  <c r="P401" i="196"/>
  <c r="A4" i="106"/>
  <c r="J60" i="55"/>
  <c r="N401" i="196"/>
  <c r="N400" i="196"/>
  <c r="N399" i="196"/>
  <c r="H136" i="198"/>
  <c r="H135" i="198"/>
  <c r="AF399" i="196"/>
  <c r="AF400" i="196"/>
  <c r="AF401" i="196"/>
  <c r="M423" i="196" l="1"/>
  <c r="M427" i="196" s="1"/>
  <c r="S399" i="196"/>
  <c r="S400" i="196"/>
  <c r="O423" i="196"/>
  <c r="O427" i="196" s="1"/>
  <c r="X399" i="196"/>
  <c r="X400" i="196"/>
  <c r="V401" i="196"/>
  <c r="AD423" i="196"/>
  <c r="AD427" i="196" s="1"/>
  <c r="Z400" i="196"/>
  <c r="Z399" i="196"/>
  <c r="V400" i="196"/>
  <c r="AA401" i="196"/>
  <c r="AA400" i="196"/>
  <c r="J423" i="196"/>
  <c r="J427" i="196" s="1"/>
  <c r="AE423" i="196"/>
  <c r="AE427" i="196" s="1"/>
  <c r="Y423" i="196"/>
  <c r="Y427" i="196" s="1"/>
  <c r="T401" i="196"/>
  <c r="T399" i="196"/>
  <c r="T400" i="196"/>
  <c r="U399" i="196"/>
  <c r="U401" i="196"/>
  <c r="H146" i="198" a="1"/>
  <c r="H146" i="198" s="1"/>
  <c r="J59" i="55" s="1"/>
  <c r="P423" i="196"/>
  <c r="P427" i="196" s="1"/>
  <c r="AF423" i="196"/>
  <c r="AF427" i="196" s="1"/>
  <c r="AG423" i="196"/>
  <c r="AG427" i="196" s="1"/>
  <c r="N423" i="196"/>
  <c r="N427" i="196" s="1"/>
  <c r="AC423" i="196"/>
  <c r="AC427" i="196" s="1"/>
  <c r="J61" i="55"/>
  <c r="A4" i="107"/>
  <c r="S423" i="196" l="1"/>
  <c r="S427" i="196" s="1"/>
  <c r="X423" i="196"/>
  <c r="X427" i="196" s="1"/>
  <c r="V423" i="196"/>
  <c r="V427" i="196" s="1"/>
  <c r="Z423" i="196"/>
  <c r="Z427" i="196" s="1"/>
  <c r="AA423" i="196"/>
  <c r="AA427" i="196" s="1"/>
  <c r="H431" i="196" a="1"/>
  <c r="H431" i="196" s="1"/>
  <c r="T423" i="196"/>
  <c r="T427" i="196" s="1"/>
  <c r="U423" i="196"/>
  <c r="U427" i="196" s="1"/>
  <c r="A4" i="198"/>
  <c r="H427" i="196" l="1"/>
  <c r="H433" i="196" s="1"/>
  <c r="J57" i="55" s="1"/>
  <c r="J62" i="55" s="1"/>
  <c r="A4" i="55" s="1"/>
  <c r="H423" i="196"/>
  <c r="A4" i="196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<sst xmlns="http://schemas.openxmlformats.org/spreadsheetml/2006/main" count="15238" uniqueCount="1267">
  <si>
    <t>Base Demand Revenue before inflation</t>
  </si>
  <si>
    <t>Annual Iteration adjustment before inflation</t>
  </si>
  <si>
    <t>RPI True-up before inflation</t>
  </si>
  <si>
    <t>Price index adjustment (RPI index)</t>
  </si>
  <si>
    <t>Base demand revenue</t>
  </si>
  <si>
    <t>Pass-Through Licence Fees</t>
  </si>
  <si>
    <t>Pass-Through Business Rates</t>
  </si>
  <si>
    <t>Pass-Through Transmission Connection Point Charges</t>
  </si>
  <si>
    <t>Pass-through Smart Meter Communication Licence Costs</t>
  </si>
  <si>
    <t>Pass-through Smart Meter IT Costs</t>
  </si>
  <si>
    <t>Pass-through Ring Fence Costs</t>
  </si>
  <si>
    <t>Pass-Through Others</t>
  </si>
  <si>
    <t>Allowed Pass-Through Items</t>
  </si>
  <si>
    <t>Broad Measure of Customer Service incentive</t>
  </si>
  <si>
    <t>Quality of Service incentive</t>
  </si>
  <si>
    <t>Connections Engagement incentive</t>
  </si>
  <si>
    <t>Time to Connect incentive</t>
  </si>
  <si>
    <t>Losses Discretionary Reward incentive</t>
  </si>
  <si>
    <t>Network Innovation Allowance</t>
  </si>
  <si>
    <t>Low Carbon Network Fund - Tier 1 unrecoverable</t>
  </si>
  <si>
    <t>Low Carbon Network Fund - Tier 2 &amp; Discretionary Funding</t>
  </si>
  <si>
    <t>Connection Guaranteed Standards Systems &amp; Processes penalty</t>
  </si>
  <si>
    <t>Residual Losses and Growth Incentive - Losses</t>
  </si>
  <si>
    <t>Residual Losses and Growth Incentive - Growth</t>
  </si>
  <si>
    <t>Incentive Revenue and Other Adjustments</t>
  </si>
  <si>
    <t>Correction Factor</t>
  </si>
  <si>
    <t>Total allowed Revenue</t>
  </si>
  <si>
    <t>Other 1. Excluded services - Top-up, standby, and enhanced system security</t>
  </si>
  <si>
    <t>Other 2. Excluded services - Revenue protection services</t>
  </si>
  <si>
    <t>Other 3. Excluded services - Miscellaneous</t>
  </si>
  <si>
    <t>Other 4. Please describe if used</t>
  </si>
  <si>
    <t>Other 5. Please describe if used</t>
  </si>
  <si>
    <t>Total other revenue recovered by Use of System Charges</t>
  </si>
  <si>
    <t>Total Revenue for Use of System Charges</t>
  </si>
  <si>
    <t>1. Revenue raised outside CDCM - EDCM and Certain Interconnector Revenue</t>
  </si>
  <si>
    <t>2. Revenue raised outside CDCM - Voluntary under-recovery</t>
  </si>
  <si>
    <t>3. Revenue raised outside CDCM - Please describe if used</t>
  </si>
  <si>
    <t>4. Revenue raised outside CDCM - Please describe if used</t>
  </si>
  <si>
    <t>Total Revenue to be raised outside the CDCM</t>
  </si>
  <si>
    <t>Latest forecast of CDCM Revenue</t>
  </si>
  <si>
    <t>Power factor</t>
  </si>
  <si>
    <t>Days in the charging year</t>
  </si>
  <si>
    <t>Diversity allowance between top and bottom of network level</t>
  </si>
  <si>
    <t>GSPs</t>
  </si>
  <si>
    <t>132kV</t>
  </si>
  <si>
    <t>132kV/EHV</t>
  </si>
  <si>
    <t>EHV</t>
  </si>
  <si>
    <t>EHV/HV</t>
  </si>
  <si>
    <t>HV</t>
  </si>
  <si>
    <t>HV/LV</t>
  </si>
  <si>
    <t>LV circuits</t>
  </si>
  <si>
    <t>132kV/HV</t>
  </si>
  <si>
    <t>LV Generation NHH or Aggregate HH</t>
  </si>
  <si>
    <t>LV Sub Generation NHH</t>
  </si>
  <si>
    <t>LV Generation Intermittent</t>
  </si>
  <si>
    <t>LV Generation Intermittent no RP charge</t>
  </si>
  <si>
    <t>LV Generation Non-Intermittent</t>
  </si>
  <si>
    <t>LV Generation Non-Intermittent no RP charge</t>
  </si>
  <si>
    <t>LV Sub Generation Intermittent</t>
  </si>
  <si>
    <t>LV Sub Generation Intermittent no RP charge</t>
  </si>
  <si>
    <t>LV Sub Generation Non-Intermittent</t>
  </si>
  <si>
    <t>LV Sub Generation Non-Intermittent no RP charge</t>
  </si>
  <si>
    <t>HV Generation Intermittent</t>
  </si>
  <si>
    <t>HV Generation Intermittent no RP charge</t>
  </si>
  <si>
    <t>HV Generation Non-Intermittent</t>
  </si>
  <si>
    <t>HV Generation Non-Intermittent no RP charge</t>
  </si>
  <si>
    <t>LDNO LV: LV user</t>
  </si>
  <si>
    <t>LDNO HV: LV user</t>
  </si>
  <si>
    <t>LDNO HV: LV Sub user</t>
  </si>
  <si>
    <t>LDNO HV: HV user</t>
  </si>
  <si>
    <t>Coincidence factor</t>
  </si>
  <si>
    <t>Load factor</t>
  </si>
  <si>
    <t>NHH UMS category D</t>
  </si>
  <si>
    <t>LV UMS (Pseudo HH Metered)</t>
  </si>
  <si>
    <t>MPANs</t>
  </si>
  <si>
    <t>Import capacity (kVA)</t>
  </si>
  <si>
    <t>Exceeded capacity (kVA)</t>
  </si>
  <si>
    <t>Reactive power units (MVArh)</t>
  </si>
  <si>
    <t>Indirect cost proportion</t>
  </si>
  <si>
    <t>Other expenditure</t>
  </si>
  <si>
    <t>LV network</t>
  </si>
  <si>
    <t>LV substation</t>
  </si>
  <si>
    <t>HV network</t>
  </si>
  <si>
    <t>HV substation</t>
  </si>
  <si>
    <t>Red</t>
  </si>
  <si>
    <t>Amber</t>
  </si>
  <si>
    <t>Green</t>
  </si>
  <si>
    <t>Black</t>
  </si>
  <si>
    <t>Yellow</t>
  </si>
  <si>
    <t>Average kVAr by kVA, by network level</t>
  </si>
  <si>
    <t>Description</t>
  </si>
  <si>
    <t>Units</t>
  </si>
  <si>
    <t>Constants</t>
  </si>
  <si>
    <t>Legal text reference</t>
  </si>
  <si>
    <t>%</t>
  </si>
  <si>
    <t>Annualisation period</t>
  </si>
  <si>
    <t>years</t>
  </si>
  <si>
    <t>Annuity rate</t>
  </si>
  <si>
    <t>Loss adjustment factor to transmission</t>
  </si>
  <si>
    <t>no.</t>
  </si>
  <si>
    <t>Loss adjustment factor to transmission for each DRM network level</t>
  </si>
  <si>
    <t>Network model GSP peak demand</t>
  </si>
  <si>
    <t>MW</t>
  </si>
  <si>
    <t>Exit load at system peak, assuming single stage transformation at each network level</t>
  </si>
  <si>
    <t>Rerouting for DRM network levels</t>
  </si>
  <si>
    <t>GSP simultaneous maximum load assumed through each network level</t>
  </si>
  <si>
    <t>Gross assets</t>
  </si>
  <si>
    <t>£</t>
  </si>
  <si>
    <t>£/kW/year</t>
  </si>
  <si>
    <t>Checks</t>
  </si>
  <si>
    <t>End of sheet</t>
  </si>
  <si>
    <t>Total</t>
  </si>
  <si>
    <t>Estimated load at system peak</t>
  </si>
  <si>
    <t>kW</t>
  </si>
  <si>
    <t>Notional asset value (network model)</t>
  </si>
  <si>
    <t>Total notional asset value</t>
  </si>
  <si>
    <t>Other operating costs</t>
  </si>
  <si>
    <t>Transmission exit charges</t>
  </si>
  <si>
    <t>Share of total notional asset value</t>
  </si>
  <si>
    <t>Other operating costs (allocated)</t>
  </si>
  <si>
    <t>MWh</t>
  </si>
  <si>
    <t>Notional asset value</t>
  </si>
  <si>
    <t>Notional asset value (service model)</t>
  </si>
  <si>
    <t>HV customers</t>
  </si>
  <si>
    <t>LV customers</t>
  </si>
  <si>
    <t>Network level assets per kW (simultaneous peak)</t>
  </si>
  <si>
    <t>Network level assets per kW (simultaneous peak) per year</t>
  </si>
  <si>
    <t>Other operating costs (excl. service models)</t>
  </si>
  <si>
    <t>Direct cost</t>
  </si>
  <si>
    <t>Indirect cost</t>
  </si>
  <si>
    <t>Network rates</t>
  </si>
  <si>
    <t>Other operating costs for allocation</t>
  </si>
  <si>
    <t>1 or 0</t>
  </si>
  <si>
    <t>Hours per day</t>
  </si>
  <si>
    <t>Unit rate 1</t>
  </si>
  <si>
    <t>Unit rate 2</t>
  </si>
  <si>
    <t>Unit rate 3</t>
  </si>
  <si>
    <t>One hundred</t>
  </si>
  <si>
    <t>One thousand</t>
  </si>
  <si>
    <t>Asset costs</t>
  </si>
  <si>
    <t>Other costs</t>
  </si>
  <si>
    <t>1, 0 or -1</t>
  </si>
  <si>
    <t>Total units</t>
  </si>
  <si>
    <t>Load coefficient</t>
  </si>
  <si>
    <t>Allocation of other costs</t>
  </si>
  <si>
    <t>All the way customers</t>
  </si>
  <si>
    <t>LDNO LV</t>
  </si>
  <si>
    <t>LDNO HV</t>
  </si>
  <si>
    <t>LDNO discounts</t>
  </si>
  <si>
    <t>LV discount</t>
  </si>
  <si>
    <t>HV discount</t>
  </si>
  <si>
    <t>Coincidence to system peak</t>
  </si>
  <si>
    <t>Diversity allowance between top and bottom network level</t>
  </si>
  <si>
    <t>Network level at which users are supplied</t>
  </si>
  <si>
    <t>Customer contributions by network level</t>
  </si>
  <si>
    <t>0 or 1</t>
  </si>
  <si>
    <t>Discounts from PCDM</t>
  </si>
  <si>
    <t>Discount mapping</t>
  </si>
  <si>
    <t>Author</t>
  </si>
  <si>
    <t>DISCLAIMER</t>
  </si>
  <si>
    <t>Key:</t>
  </si>
  <si>
    <t>Format</t>
  </si>
  <si>
    <t>Hardcoded input</t>
  </si>
  <si>
    <t>Cell intentionally blank</t>
  </si>
  <si>
    <t>Calculation</t>
  </si>
  <si>
    <t>Notes:</t>
  </si>
  <si>
    <t>LDNO LV, discounted</t>
  </si>
  <si>
    <t>Total after discounting</t>
  </si>
  <si>
    <t>Volume discounting</t>
  </si>
  <si>
    <t>kVA</t>
  </si>
  <si>
    <t>MVArh</t>
  </si>
  <si>
    <t>Adjustment for 132/HV transformation &amp; transmission exit</t>
  </si>
  <si>
    <t>Discount override</t>
  </si>
  <si>
    <t>Override discount rate applied</t>
  </si>
  <si>
    <t>TRUE / FALSE</t>
  </si>
  <si>
    <t>Override MWh discount rate</t>
  </si>
  <si>
    <t>Override MPAN discount rate</t>
  </si>
  <si>
    <t>LDNO HV, discounted</t>
  </si>
  <si>
    <t>LDNO LV discount rate applied</t>
  </si>
  <si>
    <t>LDNO HV discount rate applied</t>
  </si>
  <si>
    <t>Override import capacity discount rate</t>
  </si>
  <si>
    <t>Override exceeded capacity discount rate</t>
  </si>
  <si>
    <t>Override reactive power units discount rate</t>
  </si>
  <si>
    <t>p/kWh</t>
  </si>
  <si>
    <t>Target CDCM net revenue</t>
  </si>
  <si>
    <t>Rounding</t>
  </si>
  <si>
    <t>Loss adjustment factor to transmission for each core level</t>
  </si>
  <si>
    <t>Charging year:</t>
  </si>
  <si>
    <t>DNO name:</t>
  </si>
  <si>
    <t>This section allocates operating costs based on notional asset value (£) by network level, then divides this by load on each network level at time of system peak</t>
  </si>
  <si>
    <t>Net revenue shortfall (or surplus)</t>
  </si>
  <si>
    <t>Network use factors based on customer contributed assets</t>
  </si>
  <si>
    <t>Share of customer contributions by network level and asset type</t>
  </si>
  <si>
    <t>Customer contributions by network level and customer type based on mappings above</t>
  </si>
  <si>
    <t>Gross asset cost by network level</t>
  </si>
  <si>
    <t>Inputs by network level</t>
  </si>
  <si>
    <t>Loss adjustment factors to transmission</t>
  </si>
  <si>
    <t>Inputs sourced from PCDM</t>
  </si>
  <si>
    <t>Embedded network (LDNO) discount percentages</t>
  </si>
  <si>
    <t>Rate 1 units</t>
  </si>
  <si>
    <t>Rate 2 units</t>
  </si>
  <si>
    <t>Rate 3 units</t>
  </si>
  <si>
    <t>Import capacity</t>
  </si>
  <si>
    <t>Exceeded capacity</t>
  </si>
  <si>
    <t>Reactive power units</t>
  </si>
  <si>
    <t>Customer contributions under current connection charging policy</t>
  </si>
  <si>
    <t>Typical annual hours by special distribution time band</t>
  </si>
  <si>
    <t>Typical annual hours by distribution time band</t>
  </si>
  <si>
    <t>Years</t>
  </si>
  <si>
    <t>kVAr/ kVA</t>
  </si>
  <si>
    <t>hours</t>
  </si>
  <si>
    <t>This sheet sets out the inputs that should be constant across DNOs</t>
  </si>
  <si>
    <t>Ratio of coincidence to load factor</t>
  </si>
  <si>
    <t>Maximum</t>
  </si>
  <si>
    <t>TRUE/FALSE</t>
  </si>
  <si>
    <t>Sum</t>
  </si>
  <si>
    <t>Development stage:</t>
  </si>
  <si>
    <t>Data version:</t>
  </si>
  <si>
    <t>Model version</t>
  </si>
  <si>
    <t>Model date:</t>
  </si>
  <si>
    <t>Model date</t>
  </si>
  <si>
    <t>Development stage</t>
  </si>
  <si>
    <t>Description of changes</t>
  </si>
  <si>
    <t>Working draft</t>
  </si>
  <si>
    <t>Pseudo-load coefficients</t>
  </si>
  <si>
    <t>Service model assets</t>
  </si>
  <si>
    <t>Version log</t>
  </si>
  <si>
    <t>Model checks</t>
  </si>
  <si>
    <t>Issues identified by in-built model checks, by sheet</t>
  </si>
  <si>
    <t>Version log lists</t>
  </si>
  <si>
    <t>Development stages</t>
  </si>
  <si>
    <t>…</t>
  </si>
  <si>
    <t>Customer contributions</t>
  </si>
  <si>
    <t>Volume adjustments</t>
  </si>
  <si>
    <t>Initial unit rates</t>
  </si>
  <si>
    <t>Unit rates</t>
  </si>
  <si>
    <t>Capacity charges</t>
  </si>
  <si>
    <t>Fixed charges</t>
  </si>
  <si>
    <t>Revenue matching</t>
  </si>
  <si>
    <t>User input</t>
  </si>
  <si>
    <t>Hours per timeband</t>
  </si>
  <si>
    <t>Split of units by time pattern regime</t>
  </si>
  <si>
    <t>Unmetered supply flags</t>
  </si>
  <si>
    <t>Red or Black</t>
  </si>
  <si>
    <t>Amber or Yellow</t>
  </si>
  <si>
    <t>Flag for unmetered customers</t>
  </si>
  <si>
    <t>Calculation of maximum load</t>
  </si>
  <si>
    <t>Maximum load</t>
  </si>
  <si>
    <t>Pseudo load coefficient, unit rate 1</t>
  </si>
  <si>
    <t>Pseudo load coefficient, unit rate 2</t>
  </si>
  <si>
    <t>Pseudo load coefficient, unit rate 3</t>
  </si>
  <si>
    <t>p/kVA/day</t>
  </si>
  <si>
    <t>p/MPAN/day</t>
  </si>
  <si>
    <t>Summary of charges before revenue matching</t>
  </si>
  <si>
    <t>Fixed charge</t>
  </si>
  <si>
    <t>Capacity charge</t>
  </si>
  <si>
    <t>Exceeded capacity charge</t>
  </si>
  <si>
    <t>Reactive power charge</t>
  </si>
  <si>
    <t>p/kVArh</t>
  </si>
  <si>
    <t>Decimal places</t>
  </si>
  <si>
    <t>Decimal places for rounding</t>
  </si>
  <si>
    <t>All the way</t>
  </si>
  <si>
    <t>Equal to 0 for the network level at which generation is connected, otherwise equal to network use factor</t>
  </si>
  <si>
    <t>Standing charge factors</t>
  </si>
  <si>
    <t>Import and exceeded capacity</t>
  </si>
  <si>
    <t>Adjusted import capacities and exceeded capacity</t>
  </si>
  <si>
    <t>Network model diversity factor</t>
  </si>
  <si>
    <t>Transmission exit</t>
  </si>
  <si>
    <t>A factor of 100% implies that all costs will be allocated to standing charges.</t>
  </si>
  <si>
    <t>Inputs</t>
  </si>
  <si>
    <t xml:space="preserve">This table transposes 'Average kVAr by kVA, by network level' from DNO inputs. </t>
  </si>
  <si>
    <t>£/MWh/year</t>
  </si>
  <si>
    <t>Volumes (discounted)</t>
  </si>
  <si>
    <t>Capacity</t>
  </si>
  <si>
    <t>Reactive power charge 
p/kVArh</t>
  </si>
  <si>
    <t>Exceeded capacity charge 
p/kVA/day</t>
  </si>
  <si>
    <t>Capacity charge 
p/kVA/day</t>
  </si>
  <si>
    <t>Fixed charge 
p/MPAN/day</t>
  </si>
  <si>
    <t>Unit rate 3 
p/kWh</t>
  </si>
  <si>
    <t>Unit rate 2 
p/kWh</t>
  </si>
  <si>
    <t>Unit rate 1 
p/kWh</t>
  </si>
  <si>
    <t>Ten</t>
  </si>
  <si>
    <t>Pre-matching net revenue calculations</t>
  </si>
  <si>
    <t>System peak based on chargeable load</t>
  </si>
  <si>
    <t>FALSE = exclude</t>
  </si>
  <si>
    <t>Load at system peak charged to unit rates</t>
  </si>
  <si>
    <t>Load characteristics</t>
  </si>
  <si>
    <t>Load at system peak charged to standing charges</t>
  </si>
  <si>
    <t>Network model diversity factor, with calculated LV value</t>
  </si>
  <si>
    <t>Chargeable volumes are made up of three components:</t>
  </si>
  <si>
    <t>1. Load charged to unit rates</t>
  </si>
  <si>
    <t>2.  Import and exceeded capacity charged to capacity charges.</t>
  </si>
  <si>
    <t>3. Estimated maximum load (i.e. capacity) used to calculate fixed charges.</t>
  </si>
  <si>
    <t>Outputs</t>
  </si>
  <si>
    <t>Unit costs</t>
  </si>
  <si>
    <t>Exported to 'Initial unit rates'!</t>
  </si>
  <si>
    <t>Total unit rate 1</t>
  </si>
  <si>
    <t>Total unit rate 2</t>
  </si>
  <si>
    <t>Total unit rate 3</t>
  </si>
  <si>
    <t>Total exceeded capacity charge</t>
  </si>
  <si>
    <t>Total capacity charge</t>
  </si>
  <si>
    <t>Flag for applicability of reactive charges</t>
  </si>
  <si>
    <t>Reactive power charge flag</t>
  </si>
  <si>
    <t>Flags for applicability of capacity &amp; reactive charges</t>
  </si>
  <si>
    <t>Reactive power</t>
  </si>
  <si>
    <t>Flag for applicability of capacity charges and exceeded capacity charges</t>
  </si>
  <si>
    <t>Capacity charge flag</t>
  </si>
  <si>
    <t>Exceeded capacity charge flag</t>
  </si>
  <si>
    <t>Capacity charge allocated to fixed charge</t>
  </si>
  <si>
    <t>Groupings for fixed charges</t>
  </si>
  <si>
    <t>Aggregation group identified</t>
  </si>
  <si>
    <t>Import + exceeded capacity, LV circuits</t>
  </si>
  <si>
    <t>text</t>
  </si>
  <si>
    <t>Override discount</t>
  </si>
  <si>
    <t>Discount %</t>
  </si>
  <si>
    <t>Real post-tax cost of capital</t>
  </si>
  <si>
    <t>Exported to 'Output to other models'!</t>
  </si>
  <si>
    <t>Network model diversity allowances</t>
  </si>
  <si>
    <t>Network model cumulative diversity factor</t>
  </si>
  <si>
    <t>Adjusted network model cumulative diversity factor</t>
  </si>
  <si>
    <t>Adjustment for 132/HV diversity</t>
  </si>
  <si>
    <t>Inverse of hours in timeband</t>
  </si>
  <si>
    <t>System peak load</t>
  </si>
  <si>
    <t>Average load</t>
  </si>
  <si>
    <t>Adjustment to network use factors for 132/HV share</t>
  </si>
  <si>
    <t>These have been adjusted for the share of load going through 132/HV transformation</t>
  </si>
  <si>
    <t>Estimated capacity (maximum load)</t>
  </si>
  <si>
    <t>Standing charge factors are only applied for demand users.</t>
  </si>
  <si>
    <t>This sheet adjusts diversity allowances, coincidence factors and loss adjustment factors for use in the model</t>
  </si>
  <si>
    <t>This sheet then uses network use factors and loss adjustment factors to calculate user loss factors</t>
  </si>
  <si>
    <t>Network use factors (assuming generation makes no contribution at level of connection)</t>
  </si>
  <si>
    <t>Network use factors (assuming generation contributes at level of connection)</t>
  </si>
  <si>
    <t>These assume demand and generation use the network from the point of connection.</t>
  </si>
  <si>
    <t>User loss factor (assuming generation contributes at level of connection)</t>
  </si>
  <si>
    <t>User loss factor (assuming generation does not contribute at level of connection)</t>
  </si>
  <si>
    <t>This sheet calculates volumes (kWh, MPAN, import and exceeded capacity) to be used throughout the model.</t>
  </si>
  <si>
    <t>LDNO discounts calculated in the PCDM</t>
  </si>
  <si>
    <t>This section maps the LDNO discounts from the PCDM to different customer categories</t>
  </si>
  <si>
    <t>Generation LDNO customers do not receive the standard LDNO discounts, and this adjustment is made in this section</t>
  </si>
  <si>
    <t>This table overrides discount factors for certain categories of user</t>
  </si>
  <si>
    <t>UMS customers use Black &amp; Yellow timebands, other customers use Red &amp; Amber</t>
  </si>
  <si>
    <t>This is used to calculate notional asset values used in the allocation of other operating costs in the 'Unit costs' tab.</t>
  </si>
  <si>
    <t>Discounted volumes (MWh)</t>
  </si>
  <si>
    <t>This section brings in common inputs used for the three elements of chargeable load</t>
  </si>
  <si>
    <t>This sheet calculates load at system peak based on chargeable load.</t>
  </si>
  <si>
    <t>This section calculates the system peak load based on load charged to unit rates</t>
  </si>
  <si>
    <t>This is the load charged to unit rates, before application of standing charge factors</t>
  </si>
  <si>
    <t>This is the load charged to unit rate 3, before application of standing charge factors</t>
  </si>
  <si>
    <t>This is the load charged to unit rate 2, before application of standing charge factors</t>
  </si>
  <si>
    <t>This is the load charged to unit rate 1, before application of standing charge factors</t>
  </si>
  <si>
    <t>This section calculates load subject to fixed and capacity charges</t>
  </si>
  <si>
    <t>This brings in import and exceeded capacity (in kVA), and converts it to MW</t>
  </si>
  <si>
    <t>Substitutes the calculated LV diversity factor for the LV diversity factor from the network model</t>
  </si>
  <si>
    <t>Cumulative diversity factor from the network model</t>
  </si>
  <si>
    <t>System peak load based on load charged to import &amp; exceeded capacity charges</t>
  </si>
  <si>
    <t>System peak load based on load used to determine fixed charges</t>
  </si>
  <si>
    <t>This section aggregates the system peak load charged to unit rates, capacity charges, and fixed charges</t>
  </si>
  <si>
    <t>System peak load charged to unit rates, capacity charges, and fixed charges</t>
  </si>
  <si>
    <t>2. Cost per kW for other operating costs, based on notional asset values and estimated system peak load.</t>
  </si>
  <si>
    <t>&gt;</t>
  </si>
  <si>
    <t>Calculates the annuity rate to be applied to asset costs</t>
  </si>
  <si>
    <t>Calculates other operating costs to be allocated to charges</t>
  </si>
  <si>
    <t>Calculates operating costs per kW for unit rates, based on share of notional asset values by network level.</t>
  </si>
  <si>
    <t>Costs allocated to service model users are ignored here as they form part of fixed/capacity charges</t>
  </si>
  <si>
    <t>Brings in loss adjustment factors, and calculates the coincidence factor to for GSPs</t>
  </si>
  <si>
    <t>For demand, it is the loss factor at network level which user is supplied.</t>
  </si>
  <si>
    <t>For generation, it is the loss factor at network level which user is supplied.</t>
  </si>
  <si>
    <t>Adjustments to standing charges</t>
  </si>
  <si>
    <t>Flag for overriding MWh discount rate</t>
  </si>
  <si>
    <t>Flag for overriding MPAN discount rate</t>
  </si>
  <si>
    <t>Flag for overriding import capacity discount rate</t>
  </si>
  <si>
    <t>Flag for overriding exceeded capacity discount rate</t>
  </si>
  <si>
    <t>Flag for overriding reactive power units discount rate</t>
  </si>
  <si>
    <t>Non-zero tariff check</t>
  </si>
  <si>
    <t>Summary of checks</t>
  </si>
  <si>
    <t>Check summary</t>
  </si>
  <si>
    <t>As explained in the User Guide, there is a deviation from the legal text for generation</t>
  </si>
  <si>
    <t>This section brings in inputs for calculating unit rates</t>
  </si>
  <si>
    <t>This sheet calculates costs allocated to service models.</t>
  </si>
  <si>
    <t>Costs allocated to service models are attributed to either fixed charges, or to unit charges (in the case</t>
  </si>
  <si>
    <t>Brings in inputs used in allocation of costs to service models.</t>
  </si>
  <si>
    <t>LV UMS customers</t>
  </si>
  <si>
    <t>Service model asset values</t>
  </si>
  <si>
    <t>This table pulls in service model costs per customer (or per MWh for UMS)</t>
  </si>
  <si>
    <t>This section allocates other operating costs to service model customers</t>
  </si>
  <si>
    <t>Other operating expenditure per £ of notional asset value</t>
  </si>
  <si>
    <t xml:space="preserve">This sheet adjusts unit rates 1, 2 and 3 to account for costs that will be recovered through fixed </t>
  </si>
  <si>
    <t xml:space="preserve">or capacity charges instead. This is done by multiplying unit rates by (1 - [standing charge factors]). </t>
  </si>
  <si>
    <t>to one, unit charges will be zero.</t>
  </si>
  <si>
    <t xml:space="preserve">Where these factors are greater than zero, unit charges are reduced; where they are equal </t>
  </si>
  <si>
    <t>Unit rates 1, 2 and 3, are summarised at the bottom. These are scaled later in the model for revenue matching.</t>
  </si>
  <si>
    <t xml:space="preserve">Reactive charges are based on yardstick charges. For generation, yardstick charges are </t>
  </si>
  <si>
    <t>Calculation of yardstick charges for generation</t>
  </si>
  <si>
    <t>Calculation of reactive power charges</t>
  </si>
  <si>
    <t>Reactive power charges</t>
  </si>
  <si>
    <t>This flag is used to filter out customers that do not receive reactive power charges</t>
  </si>
  <si>
    <t>For demand users (other than UMS), this sheet allocates unit rates to capacity charge elements</t>
  </si>
  <si>
    <t xml:space="preserve">These flags are used to filter customers into those that receive capacity charges, exceeded </t>
  </si>
  <si>
    <t>capacity charges, and fixed charges</t>
  </si>
  <si>
    <t>Calculation of capacity charges</t>
  </si>
  <si>
    <t>Exports capacity and exceeded capacity charges</t>
  </si>
  <si>
    <t>Exports capacity element of charges that is allocated to fixed charges</t>
  </si>
  <si>
    <t>Discounted MPANs</t>
  </si>
  <si>
    <t xml:space="preserve">This table flags user categories to be summed together for the sake of setting a common fixed </t>
  </si>
  <si>
    <t>This sheet calculates fixed charges (p/MPAN/day) for non half-hourly settled demand</t>
  </si>
  <si>
    <t>The calculations transform capacity elements of the yardstick charge into a fixed charge. As</t>
  </si>
  <si>
    <t>Calculation of fixed charges</t>
  </si>
  <si>
    <t>of UMS customers).</t>
  </si>
  <si>
    <t>This sheet calculates unit costs used in the calculation of unit rates.</t>
  </si>
  <si>
    <t xml:space="preserve">This sheet adjusts unit charges for demand only, such that expected revenue to be collected </t>
  </si>
  <si>
    <t>through the CDCM matches allowed revenue determined through the company's price control.</t>
  </si>
  <si>
    <t xml:space="preserve">This section calculates the shortfall (or surplus) between the net revenue that would be expected </t>
  </si>
  <si>
    <t>if pre-matching charges are used, and the net revenue which the company is allowed to collect.</t>
  </si>
  <si>
    <t>LDNO discounts (LV)</t>
  </si>
  <si>
    <t>LDNO discounts (HV)</t>
  </si>
  <si>
    <t>Check for error values</t>
  </si>
  <si>
    <t>Adjusts load going through 132/EHV transformation for networks also containing 132/HV transformation</t>
  </si>
  <si>
    <t>Allocation of service model costs</t>
  </si>
  <si>
    <t>Application of standing charges to unit rates</t>
  </si>
  <si>
    <t>Brings in inputs used in the application of standing charges to unit rates</t>
  </si>
  <si>
    <t>Bring in inputs required to calculate reactive power charges</t>
  </si>
  <si>
    <t>Reactive charge</t>
  </si>
  <si>
    <t>Proportion of EHV/HV load going through 132kV/HV direct transformation</t>
  </si>
  <si>
    <t>Brings in standing charge factors and adjusts them for share of load going through 132/HV</t>
  </si>
  <si>
    <t>Brings in diversity allowances to calculate coincidence and cumulative diversity factors. Also adjusts loss adjustment factors.</t>
  </si>
  <si>
    <t>Maps customer contributions to customer categories</t>
  </si>
  <si>
    <t>integer</t>
  </si>
  <si>
    <t>scalar</t>
  </si>
  <si>
    <t>Fixed inputs</t>
  </si>
  <si>
    <t>List of named ranges</t>
  </si>
  <si>
    <t>Model map</t>
  </si>
  <si>
    <t>Standing Charge Factors</t>
  </si>
  <si>
    <t>Load &amp; loss characteristics</t>
  </si>
  <si>
    <t>System peak demand</t>
  </si>
  <si>
    <t>Service model charges</t>
  </si>
  <si>
    <t>Unit rate charges</t>
  </si>
  <si>
    <t>Tariff summary</t>
  </si>
  <si>
    <t>Inflation adjustment</t>
  </si>
  <si>
    <t>This sheet sets out the other inputs to be filled in by DNOs</t>
  </si>
  <si>
    <t>Hours in charging year</t>
  </si>
  <si>
    <t>Normal distribution timebands</t>
  </si>
  <si>
    <t>Special distribution timebands</t>
  </si>
  <si>
    <t>LDNO discount map</t>
  </si>
  <si>
    <t>Network use factors (assuming generation contributes at level of connection) scaled for 132/HV</t>
  </si>
  <si>
    <t>Network use factors (assuming generation makes no contribution at level of connection), scaled for 132/HV</t>
  </si>
  <si>
    <t>Inputs by customer type</t>
  </si>
  <si>
    <t>Estimated capacity, LV circuits, excluding related MPANs</t>
  </si>
  <si>
    <t>Flag for customers included in aggregate maximum demand</t>
  </si>
  <si>
    <t>LV peak load</t>
  </si>
  <si>
    <t>Calculated LV diversity factor</t>
  </si>
  <si>
    <t>Aggregate maximum load, LV circuits</t>
  </si>
  <si>
    <t>Click here to return to model map</t>
  </si>
  <si>
    <t>Commentary</t>
  </si>
  <si>
    <t>CDCM timebands</t>
  </si>
  <si>
    <t>Distribution time bands</t>
  </si>
  <si>
    <t>Weekdays (including bank holidays)</t>
  </si>
  <si>
    <t>Weekends</t>
  </si>
  <si>
    <t>Special distribution time bands</t>
  </si>
  <si>
    <t>Weekdays (including bank holidays) Nov to Feb</t>
  </si>
  <si>
    <t>Weekdays (including bank holidays) Mar to Oct</t>
  </si>
  <si>
    <t>Charges for year Y are set in year Y-2 using average load characteristics from the three previous years (i.e. Y-3 to Y-5).</t>
  </si>
  <si>
    <t xml:space="preserve">This sheet is for information only, and is not linked to following worksheets. </t>
  </si>
  <si>
    <t>Years to which input data relate</t>
  </si>
  <si>
    <t>Average</t>
  </si>
  <si>
    <t>Charges for year Y are set in year Y-2 using average peaking probabilities from the three previous years (i.e. Y-3 to Y-5).</t>
  </si>
  <si>
    <t>User interface</t>
  </si>
  <si>
    <t>Historic / current / forecast</t>
  </si>
  <si>
    <t>Year selection</t>
  </si>
  <si>
    <t>Year -3</t>
  </si>
  <si>
    <t>Historic</t>
  </si>
  <si>
    <t>Year -2</t>
  </si>
  <si>
    <t>Year -1</t>
  </si>
  <si>
    <t>Current</t>
  </si>
  <si>
    <t>Year +1</t>
  </si>
  <si>
    <t>Forecast</t>
  </si>
  <si>
    <t>Year +2</t>
  </si>
  <si>
    <t>Year +3</t>
  </si>
  <si>
    <t>Year +4</t>
  </si>
  <si>
    <t>Year selection (index)</t>
  </si>
  <si>
    <t>LDNO LV customers</t>
  </si>
  <si>
    <t>LDNO HV customers</t>
  </si>
  <si>
    <t>Charging year selected</t>
  </si>
  <si>
    <t>year</t>
  </si>
  <si>
    <t>Typical bills</t>
  </si>
  <si>
    <t>Typical bills for all the way customers</t>
  </si>
  <si>
    <t>Typical bills for LDNO LV customers</t>
  </si>
  <si>
    <t>Typical bills for LDNO HV customers</t>
  </si>
  <si>
    <t>This sheet presents typical bills for 'all the way' customers and LDNO LV/HV customers</t>
  </si>
  <si>
    <t>Bills are calculated for the 'live' charging year and updated for each year of the ARP forecast using a macro.</t>
  </si>
  <si>
    <t>List of years</t>
  </si>
  <si>
    <t>Red peaking probabilities, by network level</t>
  </si>
  <si>
    <t>Amber peaking probabilities, by network level</t>
  </si>
  <si>
    <t>Green peaking probabilities, by network level</t>
  </si>
  <si>
    <t>Black peaking probabilities, by network level</t>
  </si>
  <si>
    <t>Year 1</t>
  </si>
  <si>
    <t>Year 2</t>
  </si>
  <si>
    <t>Year 3</t>
  </si>
  <si>
    <t>Peaking probabilities, by distribution timeband</t>
  </si>
  <si>
    <t>Red period</t>
  </si>
  <si>
    <t>Amber period</t>
  </si>
  <si>
    <t>Green period</t>
  </si>
  <si>
    <t>Black period</t>
  </si>
  <si>
    <t>Applies LDNO discounts and aggregates with volumes from all the way customers</t>
  </si>
  <si>
    <t>Total discounted MWh</t>
  </si>
  <si>
    <t>days</t>
  </si>
  <si>
    <t>£ per year</t>
  </si>
  <si>
    <t>hours per year</t>
  </si>
  <si>
    <t>kVAr/kVA</t>
  </si>
  <si>
    <t>To run the macro, click the "Run all years" box on the User Control sheet</t>
  </si>
  <si>
    <t>£ per MPAN</t>
  </si>
  <si>
    <t>pence per day</t>
  </si>
  <si>
    <t>customers are subject to a different timebanding</t>
  </si>
  <si>
    <t xml:space="preserve">Standing charge factors are used to split network costs between those to be recovered through unit rate charges </t>
  </si>
  <si>
    <t xml:space="preserve">and those to be recovered through standing (capacity or fixed) charges, depending on the customer class and </t>
  </si>
  <si>
    <t>the network level at which costs occur.</t>
  </si>
  <si>
    <t>This sheet calculates yardstick charges and unit rates 1, 2 and 3 (before application of standing charge factors).</t>
  </si>
  <si>
    <t>Raw inputs for standing charge factors, by network level</t>
  </si>
  <si>
    <t>Standing charges factors adapted to use 132kV/HV, by network level</t>
  </si>
  <si>
    <t>User loss factor</t>
  </si>
  <si>
    <t>Network loss factor</t>
  </si>
  <si>
    <t>Customer contributions, by network level of supply</t>
  </si>
  <si>
    <t>Customer contributions, by network level</t>
  </si>
  <si>
    <t>1 / hours</t>
  </si>
  <si>
    <t>System peak load, based on unit rate 1 MWh</t>
  </si>
  <si>
    <t>System peak load, based on unit rate 2 MWh</t>
  </si>
  <si>
    <t>System peak load, based on unit rate 3 MWh</t>
  </si>
  <si>
    <t>This is the load charged to unit rates (adjusted for standing charge factors)</t>
  </si>
  <si>
    <t>Loss adjustment factors,  by network level</t>
  </si>
  <si>
    <t xml:space="preserve">See Schedule 16, para 125. This has been interpreted to mean that MPANs are fully discounted, </t>
  </si>
  <si>
    <t>and everything else is not</t>
  </si>
  <si>
    <t>Network level assets per kW per year</t>
  </si>
  <si>
    <t>Other operating costs (excl. service models) per kW per year</t>
  </si>
  <si>
    <t>0 = charges not applicable to customer type</t>
  </si>
  <si>
    <t>For fixed charges, 1 = capacity element is allocated to fixed charges</t>
  </si>
  <si>
    <t>Identifier</t>
  </si>
  <si>
    <t>Calculates reactive power charges for demand and generation</t>
  </si>
  <si>
    <t xml:space="preserve">elements calculated here are further transformed into fixed charges on a separate sheet. </t>
  </si>
  <si>
    <t>Decimals of precision for error checks</t>
  </si>
  <si>
    <t>Proportion of load going through 132kV/HV direct transformation</t>
  </si>
  <si>
    <t>Check that costs are not allocated to both capacity and fixed charges</t>
  </si>
  <si>
    <t>Flags used in calculation of LV diversity allowance</t>
  </si>
  <si>
    <t>Loss adjustment factor to transmission for each DRM level</t>
  </si>
  <si>
    <t>Check for DRM assets with zero load (and vice versa)</t>
  </si>
  <si>
    <t>Adjustment for transmission exit level</t>
  </si>
  <si>
    <t xml:space="preserve">Recalculates yardstick charge for generation assuming a full contribution at the network level in which they are </t>
  </si>
  <si>
    <t>connected, and all levels above that</t>
  </si>
  <si>
    <t>Check that discount overrides are either FALSE, or non-zero</t>
  </si>
  <si>
    <t>MWh override</t>
  </si>
  <si>
    <t>MPAN override</t>
  </si>
  <si>
    <t>Import capacity override</t>
  </si>
  <si>
    <t>Exceeded capacity override</t>
  </si>
  <si>
    <t>Reactive power override</t>
  </si>
  <si>
    <t>General inputs</t>
  </si>
  <si>
    <t>Net revenue summary</t>
  </si>
  <si>
    <t>Value</t>
  </si>
  <si>
    <t>Model output</t>
  </si>
  <si>
    <t>Value from another worksheet</t>
  </si>
  <si>
    <t>Value used on another worksheet</t>
  </si>
  <si>
    <t>Issue identified in a check</t>
  </si>
  <si>
    <t>Text</t>
  </si>
  <si>
    <t>Label</t>
  </si>
  <si>
    <t>Annotation</t>
  </si>
  <si>
    <t>Column heading</t>
  </si>
  <si>
    <t>Level 1 heading</t>
  </si>
  <si>
    <t>Level 2 heading</t>
  </si>
  <si>
    <t>Level 3 and 4 heading</t>
  </si>
  <si>
    <t>Sheet tab colour</t>
  </si>
  <si>
    <t>Information sheet</t>
  </si>
  <si>
    <t>Input sheet</t>
  </si>
  <si>
    <t>Calculation sheet</t>
  </si>
  <si>
    <t>Output sheet</t>
  </si>
  <si>
    <t>CEPA-TNEI</t>
  </si>
  <si>
    <t>time of day</t>
  </si>
  <si>
    <t>Macro to run all years</t>
  </si>
  <si>
    <t>Lists</t>
  </si>
  <si>
    <t xml:space="preserve">Maps customer types to LDNO discount categories and calculates the appropriate discount to be applied to </t>
  </si>
  <si>
    <t>each customer</t>
  </si>
  <si>
    <t xml:space="preserve">This sheet first calculates the discounts to be applied to LDNO volumes, then combines these with volumes for </t>
  </si>
  <si>
    <t>all the way customers.</t>
  </si>
  <si>
    <t>GSPs peaking probabilities</t>
  </si>
  <si>
    <t>132kV peaking probabilities</t>
  </si>
  <si>
    <t>132kV/EHV peaking probabilities</t>
  </si>
  <si>
    <t>EHV peaking probabilities</t>
  </si>
  <si>
    <t>EHV/HV peaking probabilities</t>
  </si>
  <si>
    <t>132kV/HV peaking probabilities</t>
  </si>
  <si>
    <t>HV peaking probabilities</t>
  </si>
  <si>
    <t>HV/LV peaking probabilities</t>
  </si>
  <si>
    <t>LV circuits peaking probabilities</t>
  </si>
  <si>
    <t>number of issues</t>
  </si>
  <si>
    <t>Exported to 'Service model charges'!</t>
  </si>
  <si>
    <t>Total MPANs by aggregation group</t>
  </si>
  <si>
    <t>Net revenue before matching</t>
  </si>
  <si>
    <t>Correction factor</t>
  </si>
  <si>
    <t>[enter DNO comments, if any]</t>
  </si>
  <si>
    <t>Inputs for manually running selected year</t>
  </si>
  <si>
    <t>Cover</t>
  </si>
  <si>
    <t>ARP_User control</t>
  </si>
  <si>
    <t>The following table provides links to all the sheets within this model and the main sections within them.</t>
  </si>
  <si>
    <t>Sheet</t>
  </si>
  <si>
    <t>Section</t>
  </si>
  <si>
    <t/>
  </si>
  <si>
    <t>Version control</t>
  </si>
  <si>
    <t>Named ranges</t>
  </si>
  <si>
    <t>ARP_DNO commentary</t>
  </si>
  <si>
    <t>ARP_CDCM timebands</t>
  </si>
  <si>
    <t>ARP_Load characteristics</t>
  </si>
  <si>
    <t>ARP_Peaking probabilities</t>
  </si>
  <si>
    <t>ARP_Inputs by customer type</t>
  </si>
  <si>
    <t>ARP_Inputs by network level</t>
  </si>
  <si>
    <t>ARP_General inputs</t>
  </si>
  <si>
    <t>Pre-matching net revenue</t>
  </si>
  <si>
    <t>Net revenue from rounding</t>
  </si>
  <si>
    <t>Deviation from target revenue</t>
  </si>
  <si>
    <t>Total net revenue</t>
  </si>
  <si>
    <t>Net revenue before matching and rounding</t>
  </si>
  <si>
    <t>This step sums system peak load by network level in kW, which is an input to the EDCM model</t>
  </si>
  <si>
    <t>Real pre-tax cost of capital</t>
  </si>
  <si>
    <t>Final Collected Revenue Forecast</t>
  </si>
  <si>
    <t>Overall % change to Use of System Charges effective 1st April of Regulatory Year to balance</t>
  </si>
  <si>
    <t>Forecast overall percentage change to Allowed Revenue</t>
  </si>
  <si>
    <t>Forecast Over / (Under) Recovery</t>
  </si>
  <si>
    <t>CDCM Revenue Used in Charging Model</t>
  </si>
  <si>
    <t>Peaking probabilities check - 132kV/HV</t>
  </si>
  <si>
    <t>Peaking probabilities check - General</t>
  </si>
  <si>
    <t>Red, Amber &amp; Green peaking probabilities must sum to 100%, except for unused network levels, which should sum to 0%</t>
  </si>
  <si>
    <t>0% peaking probabilities are permitted for 132kV, 132kV/EHV &amp; 132kV/HV network levels, which do not exist for all DNOs</t>
  </si>
  <si>
    <t>Volumes</t>
  </si>
  <si>
    <t>Discounted annual load</t>
  </si>
  <si>
    <t>Presents service model costs per customer for metered customers and per MWh for unmetered customers</t>
  </si>
  <si>
    <t>Service model costs per MPAN / unit</t>
  </si>
  <si>
    <t>Service model notional asset value</t>
  </si>
  <si>
    <t>Total LV customers</t>
  </si>
  <si>
    <t>Total HV customers</t>
  </si>
  <si>
    <t>Sums across customer categories to give total service model notional asset value</t>
  </si>
  <si>
    <t>Converts cost per customer / MWh to £s of notional asset value</t>
  </si>
  <si>
    <t>This sheet calculates the notional asset value of the typical service models used by HV and LV customers</t>
  </si>
  <si>
    <t>Service model and network model notional asset values are combined on the 'Unit costs' sheet</t>
  </si>
  <si>
    <t>Service model costs should be entered per customer or per MWh for unmetered customers</t>
  </si>
  <si>
    <t>LV customer service model asset values</t>
  </si>
  <si>
    <t>HV customer service model asset values</t>
  </si>
  <si>
    <t>LV UMS customer service model asset values</t>
  </si>
  <si>
    <t>Mathematical simplifications have been used to avoid errors when estimated volumes are zero</t>
  </si>
  <si>
    <t>User control sheet</t>
  </si>
  <si>
    <t>This sheet calculates a summary of net revenue and other non-tariff outputs included for users' information</t>
  </si>
  <si>
    <t>Check that loss adjustment factor = 1 at grid supply point</t>
  </si>
  <si>
    <t>DCUSA text version:</t>
  </si>
  <si>
    <t>This sheet contains links to each sheet of the model and the main sections within them.</t>
  </si>
  <si>
    <t>It also contains links to more granular sections within the sheets for inputs, calculations and outputs.</t>
  </si>
  <si>
    <t>The following table provides links to each input, calculation and output section. Each has a unique identifier for ease of reference.</t>
  </si>
  <si>
    <t>Index of inputs, calculation sections and outputs</t>
  </si>
  <si>
    <t>Index of sheets and main sections</t>
  </si>
  <si>
    <t>Sets out the groups that are aggregated when calculating fixed charges. Each group is given an identifier.</t>
  </si>
  <si>
    <t>Input 501</t>
  </si>
  <si>
    <t>Input 502</t>
  </si>
  <si>
    <t>Input 503</t>
  </si>
  <si>
    <t>Capacity charges (and elements allocated to fixed charges)</t>
  </si>
  <si>
    <t>Inputs to capacity charge calculations</t>
  </si>
  <si>
    <t>Network level assets per kW of system simultaneous peak load per year</t>
  </si>
  <si>
    <t>Other operating costs (excl. service models) per kW of system simultaneous peak load per year</t>
  </si>
  <si>
    <t>Inputs to reactive power charge calculations</t>
  </si>
  <si>
    <t>Inputs to fixed charge calculations</t>
  </si>
  <si>
    <t>Inputs to unit rate charge calculations</t>
  </si>
  <si>
    <t>Operating expenditure for customer assets</t>
  </si>
  <si>
    <t>Inputs to service model charge calculation</t>
  </si>
  <si>
    <t>Inputs for yardstick and unit rate calculations</t>
  </si>
  <si>
    <t>Calculation of yardstick &amp; unit rate charges</t>
  </si>
  <si>
    <t>Common inputs for chargeable load calculations</t>
  </si>
  <si>
    <t>System peak load, all unit rates, total</t>
  </si>
  <si>
    <t>System peak load, all unit rates, by customer category</t>
  </si>
  <si>
    <t>Service model notional asset values</t>
  </si>
  <si>
    <t>Calculates user loss factors and makes adjustments for share of load going through 132kV/HV</t>
  </si>
  <si>
    <t>User loss factor adjustments</t>
  </si>
  <si>
    <t>Load and loss characteristics</t>
  </si>
  <si>
    <t>DCUSA text version</t>
  </si>
  <si>
    <t>DCUSA text schedule</t>
  </si>
  <si>
    <t>DCUSA text schedule:</t>
  </si>
  <si>
    <t>ARP model</t>
  </si>
  <si>
    <t>-</t>
  </si>
  <si>
    <t>Interim release</t>
  </si>
  <si>
    <t>Network use factors and user loss factors are also adjusted for the share of load going through 132/HV transformation</t>
  </si>
  <si>
    <t>2019-20 pre-release plus Expert Panel clarifications</t>
  </si>
  <si>
    <t>£/MPAN</t>
  </si>
  <si>
    <t>Inputs to net revenue summary calculation</t>
  </si>
  <si>
    <t>1. Cost per kW for incremental assets in the 500MW model.</t>
  </si>
  <si>
    <t>This sheet contains the user interface for the ARP, which is used to select the "live" year used for input data.</t>
  </si>
  <si>
    <t>It houses the Macro Button which should be pressed to update results for all years of the forecast period.</t>
  </si>
  <si>
    <t>Users can select which year of input data is pulled into the model using the yellow cell.</t>
  </si>
  <si>
    <t>Users should press the "Run all years" macro button to update multi-year results on the 'Tariff summary' and 'Typical bills' sheets.</t>
  </si>
  <si>
    <t>This sheet sets out inputs by customer type and by year.</t>
  </si>
  <si>
    <t>DNOs should populate the inputs for the charging year and the four following years.</t>
  </si>
  <si>
    <t>This sheet sets out inputs by network level and by year.</t>
  </si>
  <si>
    <t>This sheet sets out general inputs by year.</t>
  </si>
  <si>
    <t>Paragraph 52</t>
  </si>
  <si>
    <t>Paragraph 47</t>
  </si>
  <si>
    <t>Paragraph 53</t>
  </si>
  <si>
    <t>The contents of this table are defined in Paragraph 1.5 of Schedule 15 (Table 1)</t>
  </si>
  <si>
    <t>Paragraph 57</t>
  </si>
  <si>
    <t>Paragraph 38</t>
  </si>
  <si>
    <t>Paragraph 39</t>
  </si>
  <si>
    <t>Paragraph 14</t>
  </si>
  <si>
    <t>Number of decimal places each final charge should be rounded to, specified in Paragraph 14.</t>
  </si>
  <si>
    <t>Paragraph 20</t>
  </si>
  <si>
    <t>Paragraph 30</t>
  </si>
  <si>
    <t>Paragraph 74</t>
  </si>
  <si>
    <t>Paragraph 99</t>
  </si>
  <si>
    <t>Paragraph 36</t>
  </si>
  <si>
    <t>This sheet contains standing charge factors, as described in DCUSA Schedule 16, Paragraphs 74-76.</t>
  </si>
  <si>
    <t>Standing charge factors as specified in Paragraph 74</t>
  </si>
  <si>
    <t>Adjustments as described in Paragraph 75 and 76</t>
  </si>
  <si>
    <t>Paragraph 76</t>
  </si>
  <si>
    <t>Paragraph 75</t>
  </si>
  <si>
    <t>Paragraph 70 (a)</t>
  </si>
  <si>
    <t>Paragraph 29</t>
  </si>
  <si>
    <t>Paragraph 97</t>
  </si>
  <si>
    <t>Paragraph 40</t>
  </si>
  <si>
    <t>As part of this, it also calculates the LV diversity factor in line with Paragraph 80</t>
  </si>
  <si>
    <t>Recalculates LV diversity factor in line with Paragraph 80. See the User Guide for additional detail.</t>
  </si>
  <si>
    <t>Paragraph 80</t>
  </si>
  <si>
    <t>This sheet covers areas in Schedule 16 from Paragraph 57 to 66.</t>
  </si>
  <si>
    <t>Paragraph 60</t>
  </si>
  <si>
    <t>Paragraph 59</t>
  </si>
  <si>
    <t>Paragraph 63</t>
  </si>
  <si>
    <t>Paragraph 65</t>
  </si>
  <si>
    <t>Paragraph 66</t>
  </si>
  <si>
    <t>Paragraph 67</t>
  </si>
  <si>
    <t>Calculates yardstick charges using formulae in Paragraphs 68 &amp; 71, except using the load coefficient</t>
  </si>
  <si>
    <t>Paragraphs 68 &amp; 71</t>
  </si>
  <si>
    <t>Calculates unit rate 2 value using formulae in Paragraph 68 &amp; 71</t>
  </si>
  <si>
    <t>Calculates unit rate 3 value using formulae in Paragraph 68 &amp; 71</t>
  </si>
  <si>
    <t>Paragraph 86</t>
  </si>
  <si>
    <t>Paragraph 77</t>
  </si>
  <si>
    <t>Paragraphs 141 &amp; 146</t>
  </si>
  <si>
    <t>Paragraphs 87 (a)</t>
  </si>
  <si>
    <t>Average kVAr by kVA at transmission exit is assumed equal to kVAr by kVA at the GSP, as per Paragraph 51</t>
  </si>
  <si>
    <t>Paragraph 51</t>
  </si>
  <si>
    <t xml:space="preserve">(p/kVA/day) in line with Paragraph 78. </t>
  </si>
  <si>
    <t>Paragraph 81.</t>
  </si>
  <si>
    <t>Uses re-calculated LV circuit value in line with Paragraph 80</t>
  </si>
  <si>
    <t>Calculates capacity element of charges in line with Paragraph 78</t>
  </si>
  <si>
    <t>Paragraph 73 and 78</t>
  </si>
  <si>
    <t>Paragraph 73, 78</t>
  </si>
  <si>
    <t>Paragraph 81</t>
  </si>
  <si>
    <t>charge, as identified in Schedule 16, Paragraph 83.</t>
  </si>
  <si>
    <t>This is done by applying an algorithm that complies with Paragraphs 89-95.</t>
  </si>
  <si>
    <t>Paragraph 94</t>
  </si>
  <si>
    <t>This sheet rounds charges to the number of decimal places specified in Paragraph 14.</t>
  </si>
  <si>
    <t>This sheet contains the DNO's commentary on its forecast of CDCM input data for the four years following the charging year, as required by DCUSA Schedule 20, Paragraph 2.1 (e).</t>
  </si>
  <si>
    <t>This sheet presents historic data used to calculate average values for load characteristics, as required by DCUSA Schedule 20, Paragraph 2.1 (g).</t>
  </si>
  <si>
    <t>Paragraph 42 (a)</t>
  </si>
  <si>
    <t>Paragraph 42 (b)</t>
  </si>
  <si>
    <t>Paragraph 70 (c.ii)</t>
  </si>
  <si>
    <t>Paragraph 70 (c.iii)</t>
  </si>
  <si>
    <t>Paragraph 61 (b)</t>
  </si>
  <si>
    <t>Paragraph 61 (a)</t>
  </si>
  <si>
    <t xml:space="preserve">Paragraph 61 (c) </t>
  </si>
  <si>
    <t>Schedule 20, Paragraph 2.1 (b)</t>
  </si>
  <si>
    <t>Checks are not run for historic years, for which DNOs are not obliged to enter inputs.</t>
  </si>
  <si>
    <t>Total service model notional asset value</t>
  </si>
  <si>
    <t>Step 1: Ratio of coincidence to load factor assuming units evenly spread within time bands, and peak falls in Red period</t>
  </si>
  <si>
    <t>This sheet calculates reactive power charges (p/kVArh) in line with Paragraph 87-88.</t>
  </si>
  <si>
    <t>re-calculated to account for a contribution at the network level they are connected (para 88).</t>
  </si>
  <si>
    <t>The pseudo load coefficient is specified by customer category, network level and unit rate.</t>
  </si>
  <si>
    <t>The calculations in this sheet follow the steps set out in Paragraph 70.</t>
  </si>
  <si>
    <t>The last part of this section then calculates the ratio of coincidence to load factor based on a simplified load profile.</t>
  </si>
  <si>
    <t>These are used to flag UMS tariff forecast in the pseudo load coefficient calculations, because UMS</t>
  </si>
  <si>
    <t>recover capacity-related costs through a fixed charge (p/MPAN/day). For these tariff forecast, the</t>
  </si>
  <si>
    <t xml:space="preserve">Exceeded capacity charges (p/kVA/day) are calculated for half-hourly settled tariff forecast in accordance with </t>
  </si>
  <si>
    <t>These include 'all the way' tariff forecast and LDNO tariff forecast.</t>
  </si>
  <si>
    <t>Pulls in tariff forecast, adder and inputs for the number of decimal places</t>
  </si>
  <si>
    <t>Pre-match, pre-rounding tariff forecast</t>
  </si>
  <si>
    <t>Rounding of tariff forecast</t>
  </si>
  <si>
    <t>Calculates rounded tariff forecast</t>
  </si>
  <si>
    <t>All the way tariff forecast, pre-rounding</t>
  </si>
  <si>
    <t>All the way tariff forecast, post-rounding</t>
  </si>
  <si>
    <t>LDNO LV tariff forecast, post-rounding</t>
  </si>
  <si>
    <t>LDNO HV tariff forecast, post-rounding</t>
  </si>
  <si>
    <t>All the way tariff forecast</t>
  </si>
  <si>
    <t>LDNO LV tariff forecast</t>
  </si>
  <si>
    <t>LDNO HV tariff forecast</t>
  </si>
  <si>
    <t>This sheet presents tariff forecast for 'all the way' customers and LDNO LV/HV customers</t>
  </si>
  <si>
    <t>The tariff forecast are calculated for the 'live' charging year and updated for each year of the ARP forecast using a macro.</t>
  </si>
  <si>
    <t xml:space="preserve">DNOs can also populate the three years preceding the charging year, but are not obliged to do so. </t>
  </si>
  <si>
    <t>The contents of this section are defined in Paragraph 1.5 of Schedule 15 (Table 1).</t>
  </si>
  <si>
    <t>Hours in charging year check</t>
  </si>
  <si>
    <t>Paragraphs 62 and 71</t>
  </si>
  <si>
    <t>This sheet sets out the inputs by customer type to be filled in by DNOs.</t>
  </si>
  <si>
    <t>This sheet sets out the inputs by network level to be filled in by DNOs.</t>
  </si>
  <si>
    <t>Peaking probabilities by network level</t>
  </si>
  <si>
    <t>Peaking probabilities check</t>
  </si>
  <si>
    <t>General</t>
  </si>
  <si>
    <t>Inputs sourced from the PCDM</t>
  </si>
  <si>
    <t>Paragraphs 42 to 44</t>
  </si>
  <si>
    <t>Network use factors assume demand and generation use the network from the point of connection.</t>
  </si>
  <si>
    <t>These values are drawn from the "Fixed inputs" sheet.</t>
  </si>
  <si>
    <t xml:space="preserve">This sheet calculates customer contributions towards assets (i.e. assets that are paid for, and should not be </t>
  </si>
  <si>
    <t>recovered under UoS charges)</t>
  </si>
  <si>
    <t>Step 3: Ratio of coincidence factor (to network asset peak) to load factor, given peaking probabilities, multiplied by correction factor</t>
  </si>
  <si>
    <t>This section calculates the pseudo load coefficient in line with Paragraph 70 (c) iii</t>
  </si>
  <si>
    <t>Unit rate contributions to chargeable peak load</t>
  </si>
  <si>
    <t>Calculates the notional asset value, and its relative shares, by network level</t>
  </si>
  <si>
    <t>Other checks</t>
  </si>
  <si>
    <t>As explained in the User Guide, there is a deviation from the current legal text for generation</t>
  </si>
  <si>
    <t>Paragraphs 66, 85 &amp; 86</t>
  </si>
  <si>
    <t>Paragraphs 66 &amp; 85</t>
  </si>
  <si>
    <t>LV and HV added to fixed charges in 'Fixed charges' tab. For UMS, added to unit rates in 'Unit rate charges' tab.</t>
  </si>
  <si>
    <t>Paragraphs 146, 87 &amp; 88</t>
  </si>
  <si>
    <t>Tariff forecast before revenue matching</t>
  </si>
  <si>
    <t>Paragraphs 42 (a) and 52</t>
  </si>
  <si>
    <t>Paragraphs 42 (b) and 52</t>
  </si>
  <si>
    <t>Paragraphs 26 to 28</t>
  </si>
  <si>
    <t>Paragraphs 50 to 51</t>
  </si>
  <si>
    <t>Paragraphs 29 to 31</t>
  </si>
  <si>
    <t>Paragraphs 48 to 49</t>
  </si>
  <si>
    <t>Paragraphs 40 to 41</t>
  </si>
  <si>
    <t>Paragraphs 21 &amp; 79</t>
  </si>
  <si>
    <t>Paragraphs 62 &amp; 71</t>
  </si>
  <si>
    <t>Paragraphs 32 to 37</t>
  </si>
  <si>
    <t>This section calculates the correction factor described in Paragraph 70 (c) ii</t>
  </si>
  <si>
    <t>Calculates unit rate 1 value using formulae in Paragraphs 68 &amp; 71</t>
  </si>
  <si>
    <t>Paragraphs 146 &amp; 88</t>
  </si>
  <si>
    <t xml:space="preserve">As per DCUSA Schedule 16, Paragraphs 81 to 82, non half-hourly settled tariff forecast </t>
  </si>
  <si>
    <t>Paragraphs 141, 146 &amp; 81 to 84</t>
  </si>
  <si>
    <t>Paragraphs 81 &amp; 153</t>
  </si>
  <si>
    <t>Paragraphs 73 &amp; 78</t>
  </si>
  <si>
    <t xml:space="preserve">users (pre-matching) in accordance with Paragraphs 82 to 86. </t>
  </si>
  <si>
    <t>explained in, Paragraphs 83 to 84, this calculation differs slightly by customer type.</t>
  </si>
  <si>
    <t>Paragraph 73 &amp; 78</t>
  </si>
  <si>
    <t>Paragraphs 85 &amp; 86</t>
  </si>
  <si>
    <t>Paragraphs 83 &amp; 84</t>
  </si>
  <si>
    <t xml:space="preserve">This sheet sets out the expected timebands that the DNO plans to use for each of the five years covered by the </t>
  </si>
  <si>
    <t>Annual Review Pack, as required by DCUSA Schedule 20, Paragraph 2.1 (f).</t>
  </si>
  <si>
    <t xml:space="preserve">This sheet presents historic data used to calculate average values for peaking probabilities, as required by </t>
  </si>
  <si>
    <t>DCUSA Schedule 20, Paragraph 2.1 (e).</t>
  </si>
  <si>
    <t>Step 2: Calculate correction factor</t>
  </si>
  <si>
    <t>Input 504</t>
  </si>
  <si>
    <t>Section 501</t>
  </si>
  <si>
    <t>Section 502</t>
  </si>
  <si>
    <t>Section 503</t>
  </si>
  <si>
    <t>Section 504</t>
  </si>
  <si>
    <t>Section 505</t>
  </si>
  <si>
    <t>Section 506</t>
  </si>
  <si>
    <t>Section 507</t>
  </si>
  <si>
    <t>Section 508</t>
  </si>
  <si>
    <t>Section 509</t>
  </si>
  <si>
    <t>Section 510</t>
  </si>
  <si>
    <t>Section 511</t>
  </si>
  <si>
    <t>Section 512</t>
  </si>
  <si>
    <t>Section 513</t>
  </si>
  <si>
    <t>Section 514</t>
  </si>
  <si>
    <t>Section 515</t>
  </si>
  <si>
    <t>Section 516</t>
  </si>
  <si>
    <t>Section 517</t>
  </si>
  <si>
    <t>Section 518</t>
  </si>
  <si>
    <t>Section 519</t>
  </si>
  <si>
    <t>Year for which charges are being calculated</t>
  </si>
  <si>
    <t>charging_year</t>
  </si>
  <si>
    <t>Charging year currently selected for ARP</t>
  </si>
  <si>
    <t>charging_year_selected</t>
  </si>
  <si>
    <t>Number of decimal places of precision for in-built model checks</t>
  </si>
  <si>
    <t>check_decimals</t>
  </si>
  <si>
    <t>days_in_year</t>
  </si>
  <si>
    <t>Name of DNO</t>
  </si>
  <si>
    <t>DNO_name</t>
  </si>
  <si>
    <t>hours_in_day</t>
  </si>
  <si>
    <t>Hours in the charging year</t>
  </si>
  <si>
    <t>hours_in_year</t>
  </si>
  <si>
    <t>Equal to 100</t>
  </si>
  <si>
    <t>hundred</t>
  </si>
  <si>
    <t>Typical bills for selected charging year</t>
  </si>
  <si>
    <t>live_results_bills</t>
  </si>
  <si>
    <t>Tariffs for selected charging year</t>
  </si>
  <si>
    <t>live_results_tariffs</t>
  </si>
  <si>
    <t>Power factor, equal to 0.95</t>
  </si>
  <si>
    <t>PowerFactor</t>
  </si>
  <si>
    <t>Typical bills for current charging year</t>
  </si>
  <si>
    <t>results_4_bills</t>
  </si>
  <si>
    <t>Tariffs for current charging year</t>
  </si>
  <si>
    <t>results_4_tariffs</t>
  </si>
  <si>
    <t>Typical bills for current charging year + 1</t>
  </si>
  <si>
    <t>results_5_bills</t>
  </si>
  <si>
    <t>Tariffs for current charging year + 1</t>
  </si>
  <si>
    <t>results_5_tariffs</t>
  </si>
  <si>
    <t>Typical bills for current charging year + 2</t>
  </si>
  <si>
    <t>results_6_bills</t>
  </si>
  <si>
    <t>Tariffs for current charging year + 2</t>
  </si>
  <si>
    <t>results_6_tariffs</t>
  </si>
  <si>
    <t>Typical bills for current charging year + 3</t>
  </si>
  <si>
    <t>results_7_bills</t>
  </si>
  <si>
    <t>Tariffs for current charging year + 3</t>
  </si>
  <si>
    <t>results_7_tariffs</t>
  </si>
  <si>
    <t>Typical bills for current charging year + 4</t>
  </si>
  <si>
    <t>results_8_bills</t>
  </si>
  <si>
    <t>Tariffs for current charging year + 4</t>
  </si>
  <si>
    <t>results_8_tariffs</t>
  </si>
  <si>
    <t>Equal to 10</t>
  </si>
  <si>
    <t>ten</t>
  </si>
  <si>
    <t>Equal to 1000</t>
  </si>
  <si>
    <t>thousand</t>
  </si>
  <si>
    <t>Index for selected charging year</t>
  </si>
  <si>
    <t>year_selection</t>
  </si>
  <si>
    <t>All the way volume forecast</t>
  </si>
  <si>
    <t>LDNO LV volume forecast</t>
  </si>
  <si>
    <t>LDNO HV volume forecast</t>
  </si>
  <si>
    <t>Two types of unit costs are calculated:</t>
  </si>
  <si>
    <t>All the way customer net revenue</t>
  </si>
  <si>
    <t>LDNO LV customer net revenue</t>
  </si>
  <si>
    <t>LDNO HV customer net revenue</t>
  </si>
  <si>
    <t>500MW model costs</t>
  </si>
  <si>
    <t>This section calculates the incremental asset cost, per kW, based on the 500MW distribution reinforcement model</t>
  </si>
  <si>
    <t>Calculates additional simultaneous load at each network level from an increment of 500MW at GSP</t>
  </si>
  <si>
    <t>Calculates the annuitised asset cost per kW of simultaneous load from the 500MW model</t>
  </si>
  <si>
    <t>£/kW</t>
  </si>
  <si>
    <t>£/kW/ year</t>
  </si>
  <si>
    <t>Pre-release</t>
  </si>
  <si>
    <t>DCUSA v10.3 (released 28/06/2018)</t>
  </si>
  <si>
    <t>References to DCUSA text updated to comply with version 10.3 (released 28/06/2018).</t>
  </si>
  <si>
    <t>Paragraphs 98 &amp; 99</t>
  </si>
  <si>
    <t>Schedules 16 &amp; 20</t>
  </si>
  <si>
    <t>Model number</t>
  </si>
  <si>
    <t>Release for charge setting</t>
  </si>
  <si>
    <t>01 April 2020 DCUSA Charging Methodologies Pre-Release (released 09/10/2018)</t>
  </si>
  <si>
    <t>Updated references to legal text version.</t>
  </si>
  <si>
    <t>Model number:</t>
  </si>
  <si>
    <t xml:space="preserve">Sets the proportion of costs to be recovered through fixed and capacity charge components. </t>
  </si>
  <si>
    <t>DCP 268 Draft Legal Text v2.0 (shared 10/06/2019)</t>
  </si>
  <si>
    <t>Implemented DCP268 as per service 1 request (received 10/06/2019): replaced 33 existing tariffs with 16 enduring tariffs, modified structure of fixed inputs and inputs by customer type, modified pseudo-load coefficient calculation, modified revenue matching calculation, modified ARP_Load characteristics.</t>
  </si>
  <si>
    <t>Domestic Aggregated</t>
  </si>
  <si>
    <t>Domestic Aggregated (Related MPAN)</t>
  </si>
  <si>
    <t>Non-Domestic Aggregated</t>
  </si>
  <si>
    <t>Non-Domestic Aggregated (Related MPAN)</t>
  </si>
  <si>
    <t>LV Site Specific</t>
  </si>
  <si>
    <t>LV Sub Site Specific</t>
  </si>
  <si>
    <t>HV Site Specific</t>
  </si>
  <si>
    <t>Unmetered Supplies</t>
  </si>
  <si>
    <t>LV Generation Aggregated</t>
  </si>
  <si>
    <t>LV Sub Generation Aggregated</t>
  </si>
  <si>
    <t>LV Generation Site Specific</t>
  </si>
  <si>
    <t>LV Generation Site Specific no RP Charge</t>
  </si>
  <si>
    <t>LV Sub Generation Site Specific</t>
  </si>
  <si>
    <t>LV Sub Generation Site Specific no RP Charge</t>
  </si>
  <si>
    <t>HV Generation Site Specific</t>
  </si>
  <si>
    <t>HV Generation Site Specific no RP Charge</t>
  </si>
  <si>
    <t>Groupings for aggregated pseudo-load coefficients</t>
  </si>
  <si>
    <t>Paragraph 70 c) iv</t>
  </si>
  <si>
    <t>Sets out the groups that are equalised for unit rates, as set out in Paragraph 70 c) iv</t>
  </si>
  <si>
    <t>Pseudo-load coefficient aggregation group</t>
  </si>
  <si>
    <t>This section first calculates the split of MWh by unit rate, aggregating "related MPAN" and "Aggregated" tariffs.</t>
  </si>
  <si>
    <t>Paragraphs 52A &amp; 70 (c) i</t>
  </si>
  <si>
    <t>Paragraphs 52A &amp; 70 (c) iv</t>
  </si>
  <si>
    <t>Split of total units by timeband for aggregate groups</t>
  </si>
  <si>
    <t>Final split of total units by timeband</t>
  </si>
  <si>
    <t>Load and coincidence factor for aggregate groups</t>
  </si>
  <si>
    <t xml:space="preserve">Final load and coincidence factor </t>
  </si>
  <si>
    <t>Load coefficient, adjusted for aggregate groups</t>
  </si>
  <si>
    <t>Step 4: Results of Step 3</t>
  </si>
  <si>
    <t>This sheet calculates the pseudo load coefficients used in the calculation of unit rates and system simultaneous peak demand.</t>
  </si>
  <si>
    <t>This section combines the load coefficient, and pseudo load coefficients</t>
  </si>
  <si>
    <t>'Designated Property' MPANs with EDCM-level LDNO boundaries</t>
  </si>
  <si>
    <t>Pass-through Supplier of Last Resort Adjustment</t>
  </si>
  <si>
    <t>Pass-through Eligible Bad Debt Adjustment</t>
  </si>
  <si>
    <t>Paragraph 64</t>
  </si>
  <si>
    <t>Pass-through costs not allocated through revenue matching</t>
  </si>
  <si>
    <t>Target CDCM net revenue, less applicable pass-through costs</t>
  </si>
  <si>
    <t>Paragraph 90A</t>
  </si>
  <si>
    <t>This sheet calculates the fixed charge adders for recovering revenue associated with Supplier of Last Resort and Bad Debt</t>
  </si>
  <si>
    <t>costs.</t>
  </si>
  <si>
    <t>Fixed tariff adjustments</t>
  </si>
  <si>
    <t>Tariff adjustments for fixed adders to account for Supplier of Last Resort and Eligible Bad Debt costs</t>
  </si>
  <si>
    <t>All-the-way MPANs, plus LDNO-connected MPANs from designated properties</t>
  </si>
  <si>
    <t>LDNO designated customers from EDCM</t>
  </si>
  <si>
    <t>Map of applicable MPANs</t>
  </si>
  <si>
    <t>MPANs to be charged for allocated pass-through costs</t>
  </si>
  <si>
    <t>Adder to fixed charge for allocated pass-through costs</t>
  </si>
  <si>
    <t>Adder to fixed charge for allocated pass-through costs, mapped to tariffs</t>
  </si>
  <si>
    <t>Revenue from fixed charge adder, by CDCM tariff</t>
  </si>
  <si>
    <t>Revenue from fixed charge adder, CDCM total</t>
  </si>
  <si>
    <t>Revenue from fixed charge adder, by EDCM tariff</t>
  </si>
  <si>
    <t>Revenue from fixed charge adder, EDCM total</t>
  </si>
  <si>
    <t>Revenue from fixed charge adder, by tariff</t>
  </si>
  <si>
    <t>Revenue from fixed charge adder, total</t>
  </si>
  <si>
    <t>Revenue from fixed adder equals allocated costs</t>
  </si>
  <si>
    <t>Adder calculated in allocated costs</t>
  </si>
  <si>
    <t>All the way tariff forecast, post-adders &amp; discounting</t>
  </si>
  <si>
    <t>Paragraphs 98 to 100</t>
  </si>
  <si>
    <t>LDNO LV tariff forecast, post-adders &amp; discounting</t>
  </si>
  <si>
    <t>LDNO HV tariff forecast, post-adders &amp; discounting</t>
  </si>
  <si>
    <t>Net revenue from fixed rate adder, CDCM</t>
  </si>
  <si>
    <t>Net revenue from fixed rate adder, EDCM</t>
  </si>
  <si>
    <t>Designated Property' MPANs with EDCM-level LDNO boundaries</t>
  </si>
  <si>
    <t>Section 520</t>
  </si>
  <si>
    <t>Paragraphs 101 and 103</t>
  </si>
  <si>
    <t>Updated references to legal text version, and implemented DCP332 and DCP333, assuming implementation of DCP 356 (as described in the user guide).</t>
  </si>
  <si>
    <t>Attachment A_01 April 2021 Charging Methodologies Pre-Release_Issued October 2019 (shared 10/10/2019)</t>
  </si>
  <si>
    <t>Paragraphs 53A, 53B, 101 and 102</t>
  </si>
  <si>
    <t>Paragraphs 101 and 102</t>
  </si>
  <si>
    <t>Paragraph 83</t>
  </si>
  <si>
    <t>01 April 2021 Charging Methodologies Pre-Release – December 2019 (Schedules 15-16-17-18-20-29) (DCPs 268-332-333-341-342-356) (shared 19/12/2019)</t>
  </si>
  <si>
    <t>Updated references to legal text version, and implemented DCP341 and DCP 356.</t>
  </si>
  <si>
    <t>Section 521</t>
  </si>
  <si>
    <t>Output 501</t>
  </si>
  <si>
    <t>Output 502</t>
  </si>
  <si>
    <t>Flags for calculation of revenue matching</t>
  </si>
  <si>
    <t>Domestic Aggregated with Residual</t>
  </si>
  <si>
    <t>Non-Domestic Aggregated No Residual</t>
  </si>
  <si>
    <t>Non-Domestic Aggregated Band 1</t>
  </si>
  <si>
    <t>Non-Domestic Aggregated Band 2</t>
  </si>
  <si>
    <t>Non-Domestic Aggregated Band 3</t>
  </si>
  <si>
    <t>Non-Domestic Aggregated Band 4</t>
  </si>
  <si>
    <t>LV Site Specific No Residual</t>
  </si>
  <si>
    <t>LV Site Specific Band 1</t>
  </si>
  <si>
    <t>LV Site Specific Band 2</t>
  </si>
  <si>
    <t>LV Site Specific Band 3</t>
  </si>
  <si>
    <t>LV Site Specific Band 4</t>
  </si>
  <si>
    <t>LV Sub Site Specific No Residual</t>
  </si>
  <si>
    <t>LV Sub Site Specific Band 1</t>
  </si>
  <si>
    <t>LV Sub Site Specific Band 2</t>
  </si>
  <si>
    <t>LV Sub Site Specific Band 3</t>
  </si>
  <si>
    <t>LV Sub Site Specific Band 4</t>
  </si>
  <si>
    <t>HV Site Specific No Residual</t>
  </si>
  <si>
    <t>HV Site Specific Band 1</t>
  </si>
  <si>
    <t>HV Site Specific Band 2</t>
  </si>
  <si>
    <t>HV Site Specific Band 3</t>
  </si>
  <si>
    <t>HV Site Specific Band 4</t>
  </si>
  <si>
    <t>Residual charges</t>
  </si>
  <si>
    <t>TRUE or FALSE</t>
  </si>
  <si>
    <t>Residual fixed charge</t>
  </si>
  <si>
    <t>Residual, no fixed charge</t>
  </si>
  <si>
    <t>Residual group</t>
  </si>
  <si>
    <t>Residual band</t>
  </si>
  <si>
    <t>Index of tariff before revenue matching</t>
  </si>
  <si>
    <t>Minimum number of MPANs in residual band</t>
  </si>
  <si>
    <t>Band grouping configurations</t>
  </si>
  <si>
    <t>The legal text requires that any bands with fewer than 2 customers are combined with another band. This  input</t>
  </si>
  <si>
    <t>defines the different possible configurations of these band combinations.</t>
  </si>
  <si>
    <t>Band grouping configuration 1</t>
  </si>
  <si>
    <t>Band grouping configuration 2</t>
  </si>
  <si>
    <t>Band grouping configuration 3</t>
  </si>
  <si>
    <t>Band grouping configuration 4</t>
  </si>
  <si>
    <t>Band grouping configuration 5</t>
  </si>
  <si>
    <t>Band grouping configuration 6</t>
  </si>
  <si>
    <t>Band grouping configuration 7</t>
  </si>
  <si>
    <t>Band grouping configuration 8</t>
  </si>
  <si>
    <t>Volumes for all the way tariffs are entered here, separately for each residual band.</t>
  </si>
  <si>
    <t>All the way volume forecast - No Residual</t>
  </si>
  <si>
    <t>All the way volume forecast - Residual Band 1</t>
  </si>
  <si>
    <t>All the way volume forecast - Residual Band 2</t>
  </si>
  <si>
    <t>All the way volume forecast - Residual Band 3</t>
  </si>
  <si>
    <t>All the way volume forecast - Residual Band 4</t>
  </si>
  <si>
    <t>Volumes for LNDO LV tariffs are entered here, separately for each residual band.</t>
  </si>
  <si>
    <t>LDNO LV volume forecast - No Residual</t>
  </si>
  <si>
    <t>LDNO LV volume forecast - Residual Band 1</t>
  </si>
  <si>
    <t>LDNO LV volume forecast - Residual Band 2</t>
  </si>
  <si>
    <t>LDNO LV volume forecast - Residual Band 3</t>
  </si>
  <si>
    <t>LDNO LV volume forecast - Residual Band 4</t>
  </si>
  <si>
    <t>Volumes for LNDO HV tariffs are entered here, separately for each residual band.</t>
  </si>
  <si>
    <t>LDNO HV volume forecast - No Residual</t>
  </si>
  <si>
    <t>LDNO HV volume forecast - Residual Band 1</t>
  </si>
  <si>
    <t>LDNO HV volume forecast - Residual Band 2</t>
  </si>
  <si>
    <t>LDNO HV volume forecast - Residual Band 3</t>
  </si>
  <si>
    <t>LDNO HV volume forecast - Residual Band 4</t>
  </si>
  <si>
    <t>All the way non-domestic aggregated (related MPAN) distribution by bands</t>
  </si>
  <si>
    <t>No residual</t>
  </si>
  <si>
    <t>Band 1</t>
  </si>
  <si>
    <t>Band 2</t>
  </si>
  <si>
    <t>Band 3</t>
  </si>
  <si>
    <t>Band 4</t>
  </si>
  <si>
    <t>LDNO LV non-domestic aggregated (related MPAN) distribution by bands</t>
  </si>
  <si>
    <t>LDNO HV non-domestic aggregated (related MPAN) distribution by bands</t>
  </si>
  <si>
    <t>Check that all the way non-domestic aggregated (related MPAN) distribution by bands adds to 100%</t>
  </si>
  <si>
    <t>Check that LDNO LV non-domestic aggregated (related MPAN) distribution by bands adds to 100%</t>
  </si>
  <si>
    <t>Check that LDNO HV non-domestic aggregated (related MPAN) distribution by bands adds to 100%</t>
  </si>
  <si>
    <t>Checks on non-domestic aggregated (related MPAN) distributions</t>
  </si>
  <si>
    <t>Volumes for all the way tariffs are imported from the inputs, separately for each residual band.</t>
  </si>
  <si>
    <t>Volumes for LNDO LV tariffs are imported from the inputs, separately for each residual band.</t>
  </si>
  <si>
    <t>Volumes for LNDO HV tariffs are imported from the inputs, separately for each residual band.</t>
  </si>
  <si>
    <t>Total volumes, aggregated across all residual bands, are then calculated.</t>
  </si>
  <si>
    <t>Volume discounting for revenue matching</t>
  </si>
  <si>
    <t>Applies LDNO discounts and aggregates with volumes from all the way customers, separated by band.</t>
  </si>
  <si>
    <t>Discounted LDNO LV volume forecast - No residual</t>
  </si>
  <si>
    <t>Discounted LDNO HV volume forecast - No residual</t>
  </si>
  <si>
    <t>Total volume after discounting, No residual</t>
  </si>
  <si>
    <t>Discounted LDNO LV volume forecast - Residual band 1</t>
  </si>
  <si>
    <t>Discounted LDNO HV volume forecast - Residual band 1</t>
  </si>
  <si>
    <t>Total volume after discounting, Residual band 1</t>
  </si>
  <si>
    <t>Discounted LDNO LV volume forecast - Residual band 2</t>
  </si>
  <si>
    <t>Discounted LDNO HV volume forecast - Residual band 2</t>
  </si>
  <si>
    <t>Total volume after discounting, Residual band 2</t>
  </si>
  <si>
    <t>Discounted LDNO LV volume forecast - Residual band 3</t>
  </si>
  <si>
    <t>Discounted LDNO HV volume forecast - Residual band 3</t>
  </si>
  <si>
    <t>Total volume after discounting, Residual band 3</t>
  </si>
  <si>
    <t>Discounted LDNO LV volume forecast - Residual band 4</t>
  </si>
  <si>
    <t>Discounted LDNO HV volume forecast - Residual band 4</t>
  </si>
  <si>
    <t>Total volume after discounting, Residual band 4</t>
  </si>
  <si>
    <t>All the way volume after discounting</t>
  </si>
  <si>
    <t>Residual band 1</t>
  </si>
  <si>
    <t>Residual band 2</t>
  </si>
  <si>
    <t xml:space="preserve">Residual band 3 </t>
  </si>
  <si>
    <t>Residual band 4</t>
  </si>
  <si>
    <t>During revenue matching, residual revenue is apportioned to tariffs based on total volumes for each tariff. For this</t>
  </si>
  <si>
    <t>calculation, the volumes associated with non-domestic aggregated (related MPAN) tariffs are counted towards the</t>
  </si>
  <si>
    <t>relevant non-domestic aggregated residual band. This section determines the total proportion for each band, accounting</t>
  </si>
  <si>
    <t>for LDNO discounts.</t>
  </si>
  <si>
    <t>Total after discounting non-domestic aggregated (related MPAN) units by band</t>
  </si>
  <si>
    <t>Total after discounting non-domestic aggregated (related MPAN) units</t>
  </si>
  <si>
    <t>Total non-domestic aggregated (related MPAN) units</t>
  </si>
  <si>
    <t>Brings in charges, volumes, fixed inputs and calculates revenues</t>
  </si>
  <si>
    <t>Flag for residual tariffs</t>
  </si>
  <si>
    <t>Flag for residual fixed charge</t>
  </si>
  <si>
    <t>Flag for residual unit rate only</t>
  </si>
  <si>
    <t>Tariff before revenue matching index</t>
  </si>
  <si>
    <t>Fixed inputs in column H are used to direct an INDEX function, which helps map between pre- and post-revenue</t>
  </si>
  <si>
    <t>matching tariffs</t>
  </si>
  <si>
    <t>Residual charge calculation</t>
  </si>
  <si>
    <t>band has the minimum required number of MPANs.</t>
  </si>
  <si>
    <t>Band grouping configurations, within residual groups</t>
  </si>
  <si>
    <t>Band grouping configurations, across all tariffs and residual groups</t>
  </si>
  <si>
    <t xml:space="preserve">Number of MPANs in each grouped band </t>
  </si>
  <si>
    <t>Check on whether grouping meets minimum requirement for number of MPANs in band</t>
  </si>
  <si>
    <t>Number of tariffs in residual group for which requirement is met</t>
  </si>
  <si>
    <t>Number of tariffs in the group of bands</t>
  </si>
  <si>
    <t>First permissible band grouping configuration</t>
  </si>
  <si>
    <t>Residual charge group, across all tariffs and residual groups</t>
  </si>
  <si>
    <t>MPANs for revenue matching</t>
  </si>
  <si>
    <t>MPANs for revenue matching, for total residual charge group</t>
  </si>
  <si>
    <t>revenue.</t>
  </si>
  <si>
    <t>Units by tariff, across all timebands</t>
  </si>
  <si>
    <t>Units for revenue matching, excluding related MPANs</t>
  </si>
  <si>
    <t>Units for related MPANs are counted towards the corresponding domestic or non-domestic tariff</t>
  </si>
  <si>
    <t>Distribution of related MPAN units</t>
  </si>
  <si>
    <t>Related MPAN units for revenue matching</t>
  </si>
  <si>
    <t>Units for revenue matching</t>
  </si>
  <si>
    <t>Tariffs that are in the same residual charge group need to have matching residual charges. To achieve this, the</t>
  </si>
  <si>
    <t>total volumes (unit, revenue, MPANs etc) within each group are calculated and then shared across all the tariffs</t>
  </si>
  <si>
    <t>in the group. For allocating revenue to tariffs, this needs to be done with volumes of units.</t>
  </si>
  <si>
    <t>Units for revenue matching, for total residual charge group</t>
  </si>
  <si>
    <t>Units for revenue matching, shared by residual charge group</t>
  </si>
  <si>
    <t xml:space="preserve">Distribution of residual revenue </t>
  </si>
  <si>
    <t>Revenue allocated to this tariff</t>
  </si>
  <si>
    <t>Dividing the revenue allocation by the number of MPANs results in the residual fixed charge.</t>
  </si>
  <si>
    <t>£/year</t>
  </si>
  <si>
    <t>For customers without a residual fixed charge, the total allocated residual revenue is instead divided by the total</t>
  </si>
  <si>
    <t>number of units.</t>
  </si>
  <si>
    <t>Initial residual unit rate</t>
  </si>
  <si>
    <t>£/MWh</t>
  </si>
  <si>
    <t>Adjustments for negative fixed charges</t>
  </si>
  <si>
    <t>In the event that residual fixed charges are negative, there are some adjustments that may need to be made.</t>
  </si>
  <si>
    <t>Fixed charges for negative residuals may not take values that result in overall fixed charges being negative. This</t>
  </si>
  <si>
    <t>subsection determines what the "floor" is on negative residual fixed charges. This is based on the before-revenue-</t>
  </si>
  <si>
    <t>matching fixed charge, and the fixed charge adders that arise from SoLR and Bad Debt costs.</t>
  </si>
  <si>
    <t>lowest before-revenue-matching fixed charge.</t>
  </si>
  <si>
    <t>Fixed charge without residual, including pass-through adder</t>
  </si>
  <si>
    <t>Minimum possible residual fixed charge</t>
  </si>
  <si>
    <t>Shortfall in residual fixed charge due to floor</t>
  </si>
  <si>
    <t>Shortfall in revenue due to floor on fixed charge</t>
  </si>
  <si>
    <t>Total shortfall in revenue due to floor on fixed charge</t>
  </si>
  <si>
    <t>If the floor on negative fixed charges would result in any revenue not being redistributed, then this revenue is instead</t>
  </si>
  <si>
    <t>redistributed through unit rates.</t>
  </si>
  <si>
    <t>Revenue to be redistributed through unit rates</t>
  </si>
  <si>
    <t xml:space="preserve">The redistribution of negative residuals through unit rates must not result in any unit rates, after combining the </t>
  </si>
  <si>
    <t>before-revenue-matching element and the residual adder, from taking a negative value. To do this, the unit rates</t>
  </si>
  <si>
    <t>for each tariff must be ranked, from the lowest unit rate to the highest unit rate.</t>
  </si>
  <si>
    <t>Rank</t>
  </si>
  <si>
    <t>Lowest unit rate</t>
  </si>
  <si>
    <t>Middle unit rate</t>
  </si>
  <si>
    <t>Highest unit rate</t>
  </si>
  <si>
    <t>Ranked unit rates</t>
  </si>
  <si>
    <t>For tariffs in the same residual charge group, the constraint on non-negative unit rates is based on the smallest</t>
  </si>
  <si>
    <t>before-revenue-matching charge within the entire residual charge group.</t>
  </si>
  <si>
    <t>Ranked unit rates for residual charge group</t>
  </si>
  <si>
    <t>Ranked adder threshold for residual charge group</t>
  </si>
  <si>
    <t>Index of unit rate ranks</t>
  </si>
  <si>
    <t>Ranked unit rate volumes</t>
  </si>
  <si>
    <t>Ranked unit rate volumes, for total residual charge group</t>
  </si>
  <si>
    <t>Ranked unit rate volumes, shared by residual charge group</t>
  </si>
  <si>
    <t>The shortfall in revenue to be redistributed through unit rates is determined. The unit rate that would need to be used</t>
  </si>
  <si>
    <t>to achieve this is determined. This is compared with the before-revenue-matching unit rates across all three</t>
  </si>
  <si>
    <t>timebands, to check whether it would result in any negative unit rates.</t>
  </si>
  <si>
    <t>Shortfall in revenue for three timebands</t>
  </si>
  <si>
    <t>Shortfall in revenue, for total residual charge group</t>
  </si>
  <si>
    <t>Shortfall in revenue, shared by residual charge group</t>
  </si>
  <si>
    <t>Units for revenue matching (three timebands)</t>
  </si>
  <si>
    <t>Unit rate adder for all three timebands</t>
  </si>
  <si>
    <t>Check for no negative unit rates for three timebands</t>
  </si>
  <si>
    <t>Possible to apply this residual unit rate to all timebands?</t>
  </si>
  <si>
    <t xml:space="preserve">constrained adders for the timeband with the lowest unit rate.  The unit rate that would need to be used to achieve </t>
  </si>
  <si>
    <t xml:space="preserve">this is determined. This is compared with the before-revenue-matching unit rates across all three timebands, to </t>
  </si>
  <si>
    <t>check whether it would result in any negative unit rates.</t>
  </si>
  <si>
    <t>Shortfall in revenue for two timebands</t>
  </si>
  <si>
    <t>Revenue from constrained adder on lowest unit rate</t>
  </si>
  <si>
    <t>Remaining shortfall in revenue to be recovered</t>
  </si>
  <si>
    <t>Units for revenue matching (two timebands)</t>
  </si>
  <si>
    <t>Unit rate adder for two timebands</t>
  </si>
  <si>
    <t>Check for no negative unit rates for two timebands</t>
  </si>
  <si>
    <t>Possible to apply this residual unit rate to two timebands?</t>
  </si>
  <si>
    <t xml:space="preserve">constrained adders for the timebands with the lowest unit rates.  The unit rate that would need to be used to achieve </t>
  </si>
  <si>
    <t>Shortfall in revenue for one timeband</t>
  </si>
  <si>
    <t>Revenue from constrained adder on lowest two unit rates</t>
  </si>
  <si>
    <t>Unit rate adder for maximum timebands</t>
  </si>
  <si>
    <t>Check for no negative unit rates for one timebands</t>
  </si>
  <si>
    <t>Possible to apply this residual unit rate to one timebands?</t>
  </si>
  <si>
    <t xml:space="preserve">achieved with the same adjustment to all three timebands, a constrained adjustment to one timeband and </t>
  </si>
  <si>
    <t>unconstrained for two timebands, or a constrained adjustment for two timebands and unconstrained for only one.</t>
  </si>
  <si>
    <t>Is the adder solution viable?</t>
  </si>
  <si>
    <t>Three unconstrained timebands</t>
  </si>
  <si>
    <t>Two unconstrained  timebands</t>
  </si>
  <si>
    <t>One unconstrained  timeband</t>
  </si>
  <si>
    <t>Index of first viable adder solution</t>
  </si>
  <si>
    <t>Adder solution</t>
  </si>
  <si>
    <t>Unconstrained unit rate adder</t>
  </si>
  <si>
    <t>Unit rate adder by ordered timebands</t>
  </si>
  <si>
    <t>Unit rate adder by unit rate period</t>
  </si>
  <si>
    <t>Final adders</t>
  </si>
  <si>
    <t xml:space="preserve">Adders to be applied </t>
  </si>
  <si>
    <t>Revenue recovered from unit rate adders</t>
  </si>
  <si>
    <t>Revenue to be recovered from unit rate adders</t>
  </si>
  <si>
    <t>Check on unit rate adder revenue recovery</t>
  </si>
  <si>
    <t>Tariffs for which there is no viable adder solution</t>
  </si>
  <si>
    <t>Total number of issues</t>
  </si>
  <si>
    <t>Net revenue from residual charge</t>
  </si>
  <si>
    <t>Net revenue from residual</t>
  </si>
  <si>
    <t>Implemented DCP 361.</t>
  </si>
  <si>
    <t>Attachment A_DCP 361 Draft Legal Text v0.2 (shared 15/04/2020)</t>
  </si>
  <si>
    <t>Non-Domestic Aggregated (Related MPAN) distribution by bands</t>
  </si>
  <si>
    <t>The split of Non-Domestic Aggregated (Related MPAN) units by residual band is used to allocate residual revenue</t>
  </si>
  <si>
    <t xml:space="preserve">between bands to be recovered from Non-Domestic Aggregated customers. </t>
  </si>
  <si>
    <t>Adders for revenue-matching</t>
  </si>
  <si>
    <t>All the way volumes</t>
  </si>
  <si>
    <t>LDNO LV volumes</t>
  </si>
  <si>
    <t>LDNO HV volumes</t>
  </si>
  <si>
    <t>Share of MPANs in the residual charge group</t>
  </si>
  <si>
    <t>£/MPAN/year</t>
  </si>
  <si>
    <t>© All rights reserved by Cambridge Economic Policy Associates Ltd (CEPA) and TNEI Services Ltd (TNEI).</t>
  </si>
  <si>
    <t>Neither the authors nor Cambridge Economic Policy Associates/TNEI accept or assume any responsibility or duty of care to any third party.</t>
  </si>
  <si>
    <t>01 April 2022 Charging Methodologies Pre-Release – October 2020 (Schedules 16, 17, 18, 20 and 29) DCP 361</t>
  </si>
  <si>
    <t>Paragraph 92 (a)</t>
  </si>
  <si>
    <t>Paragraphs 92B &amp; 92C</t>
  </si>
  <si>
    <t>Paragraph 92D</t>
  </si>
  <si>
    <t>This section determines the total number of units to be considered for each residual charge when allocating</t>
  </si>
  <si>
    <t>This section determines whether the redistribution of residuals through negative adjustments to the unit rates can be</t>
  </si>
  <si>
    <t>This section determines the simplest way to combine bands into groups, ensuring that every grouped</t>
  </si>
  <si>
    <t>Where there are multiple tariffs in the same residual charge group, the floor is based on whichever tariff has the</t>
  </si>
  <si>
    <t>The shortfall in revenue to be redistributed through unit rates is determined, accounting for the application of any</t>
  </si>
  <si>
    <t>Paragraph 91</t>
  </si>
  <si>
    <t>Paragraph 92 (b)</t>
  </si>
  <si>
    <t>Paragraph 92 (c)</t>
  </si>
  <si>
    <t>Paragraph 94A</t>
  </si>
  <si>
    <t>SoLR &amp; bad debt adders</t>
  </si>
  <si>
    <t>Implemented DCP 379</t>
  </si>
  <si>
    <t>Pass-through COVID-19 Bad Debt Adjustment</t>
  </si>
  <si>
    <t>Attachment A_DCP 379 Draft Legal Text.pdf (shared 14/01/2021)</t>
  </si>
  <si>
    <t>The only rows used as inputs to the model itself are "Latest forecast of CDCM Revenue" and "Pass-through… Adjustment" items.</t>
  </si>
  <si>
    <t>Release for 2023/24 charge setting</t>
  </si>
  <si>
    <t>2023/24</t>
  </si>
  <si>
    <t>Attachment A_Charging Methodologies Pre-Release_01042023 (shared 15/11/2021)</t>
  </si>
  <si>
    <t xml:space="preserve">Release for charge setting. Cover sheet, version control and annotation changes only. </t>
  </si>
  <si>
    <t>Adders calculated in revenue matching</t>
  </si>
  <si>
    <t>Paragraph 54, Schedule 15 Table 1</t>
  </si>
  <si>
    <t>Southern Electric Power Distribution plc</t>
  </si>
  <si>
    <t>Final</t>
  </si>
  <si>
    <t>Although every effort has been made to ensure the accuracy of the information provided in this annual review pack, SSEN - SEPD does not accept any liability for the accuracy of the information contained herein and, in particular, SSEN - SEPD or any of its employees, shall not be held liable for any misstatement or opinion on which the recipient of this statement relies or seeks to rely</t>
  </si>
  <si>
    <t>1630-1930</t>
  </si>
  <si>
    <t>No Change</t>
  </si>
  <si>
    <t>0700-1630; 1930-2200</t>
  </si>
  <si>
    <t>0000-0700; 2200-2400</t>
  </si>
  <si>
    <t>0930-2130</t>
  </si>
  <si>
    <t>0000-0930; 2130-2400</t>
  </si>
  <si>
    <t>0700-2200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</si>
</sst>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8">
    <numFmt numFmtId="42" formatCode="_-&quot;£&quot;* #,##0_-;\-&quot;£&quot;* #,##0_-;_-&quot;£&quot;* &quot;-&quot;_-;_-@_-"/>
    <numFmt numFmtId="41" formatCode="_-* #,##0_-;\-* #,##0_-;_-* &quot;-&quot;_-;_-@_-"/>
    <numFmt numFmtId="44" formatCode="_-&quot;£&quot;* #,##0.00_-;\-&quot;£&quot;* #,##0.00_-;_-&quot;£&quot;* &quot;-&quot;??_-;_-@_-"/>
    <numFmt numFmtId="43" formatCode="_-* #,##0.00_-;\-* #,##0.00_-;_-* &quot;-&quot;??_-;_-@_-"/>
    <numFmt numFmtId="164" formatCode="0.000;\-0.000;;@"/>
    <numFmt numFmtId="165" formatCode="0.0%"/>
    <numFmt numFmtId="166" formatCode="[$-F800]dddd\,\ mmmm\ dd\,\ yyyy"/>
    <numFmt numFmtId="167" formatCode="0.000;\-0.000;\-;@"/>
    <numFmt numFmtId="168" formatCode="0.00;\-0.00;\-;@"/>
    <numFmt numFmtId="169" formatCode="0.00000000"/>
    <numFmt numFmtId="170" formatCode="0;\-0;\-;@"/>
    <numFmt numFmtId="171" formatCode="#,##0.00;\-#,##0.00;\-"/>
    <numFmt numFmtId="172" formatCode="#,##0;\-#,##0;\-"/>
    <numFmt numFmtId="173" formatCode="#,##0.000;\-#,##0.000;\-"/>
    <numFmt numFmtId="174" formatCode="_(* #,##0.00_);_(* \(#,##0.00\);_(* &quot;-&quot;??_);_(@_)"/>
    <numFmt numFmtId="175" formatCode="0.000"/>
    <numFmt numFmtId="176" formatCode="#,##0.00_ ;\-#,##0.00\ "/>
    <numFmt numFmtId="177" formatCode="#,##0.0%;\-#,##0.0%;\-"/>
  </numFmts>
  <fonts count="40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275792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1"/>
      <color rgb="FFD46112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sz val="22"/>
      <color rgb="FF275192"/>
      <name val="Calibri"/>
      <family val="2"/>
      <scheme val="minor"/>
    </font>
    <font>
      <b/>
      <sz val="16"/>
      <color rgb="FFC0000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theme="4"/>
      <name val="Calibri"/>
      <family val="2"/>
      <scheme val="minor"/>
    </font>
    <font>
      <i/>
      <sz val="11"/>
      <color theme="0"/>
      <name val="Calibri"/>
      <family val="2"/>
      <scheme val="minor"/>
    </font>
    <font>
      <b/>
      <i/>
      <sz val="11"/>
      <color theme="0"/>
      <name val="Calibri"/>
      <family val="2"/>
      <scheme val="minor"/>
    </font>
    <font>
      <sz val="11"/>
      <color rgb="FF9C6500"/>
      <name val="Calibri"/>
      <family val="2"/>
      <scheme val="minor"/>
    </font>
    <font>
      <i/>
      <sz val="11"/>
      <color rgb="FFFF0000"/>
      <name val="Calibri"/>
      <family val="2"/>
      <scheme val="minor"/>
    </font>
    <font>
      <sz val="11"/>
      <color rgb="FF000000"/>
      <name val="Calibri"/>
      <family val="2"/>
    </font>
    <font>
      <b/>
      <u/>
      <sz val="11"/>
      <color theme="0"/>
      <name val="Calibri"/>
      <family val="2"/>
      <scheme val="minor"/>
    </font>
    <font>
      <b/>
      <sz val="11"/>
      <color theme="4"/>
      <name val="Calibri"/>
      <family val="2"/>
      <scheme val="minor"/>
    </font>
    <font>
      <u/>
      <sz val="11"/>
      <color theme="5"/>
      <name val="Calibri"/>
      <family val="2"/>
      <scheme val="minor"/>
    </font>
    <font>
      <i/>
      <sz val="11"/>
      <color rgb="FF333F4F"/>
      <name val="Calibri"/>
      <family val="2"/>
      <scheme val="minor"/>
    </font>
    <font>
      <i/>
      <sz val="11"/>
      <color theme="0" tint="-0.499984740745262"/>
      <name val="Calibri"/>
      <family val="2"/>
      <scheme val="minor"/>
    </font>
    <font>
      <u/>
      <sz val="11"/>
      <color theme="11"/>
      <name val="Calibri"/>
      <family val="2"/>
      <scheme val="minor"/>
    </font>
    <font>
      <sz val="8"/>
      <name val="Calibri"/>
      <family val="2"/>
      <scheme val="minor"/>
    </font>
  </fonts>
  <fills count="50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4B86CD"/>
        <bgColor indexed="64"/>
      </patternFill>
    </fill>
    <fill>
      <patternFill patternType="lightUp">
        <fgColor theme="0" tint="-0.499984740745262"/>
        <bgColor rgb="FFFFFFFF"/>
      </patternFill>
    </fill>
    <fill>
      <patternFill patternType="solid">
        <fgColor rgb="FF27579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B4C6E7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C9C9C9"/>
        <bgColor indexed="64"/>
      </patternFill>
    </fill>
    <fill>
      <patternFill patternType="solid">
        <fgColor rgb="FFF8CBAD"/>
        <bgColor indexed="64"/>
      </patternFill>
    </fill>
    <fill>
      <patternFill patternType="solid">
        <fgColor rgb="FFA9D08E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E699"/>
        <bgColor indexed="64"/>
      </patternFill>
    </fill>
    <fill>
      <patternFill patternType="solid">
        <fgColor theme="0"/>
        <bgColor indexed="64"/>
      </patternFill>
    </fill>
  </fills>
  <borders count="22">
    <border>
      <left/>
      <right/>
      <top/>
      <bottom/>
      <diagonal/>
    </border>
    <border>
      <left/>
      <right/>
      <top style="hair">
        <color auto="1"/>
      </top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999999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rgb="FFFF0000"/>
      </left>
      <right style="thin">
        <color rgb="FFFF0000"/>
      </right>
      <top style="thin">
        <color rgb="FFFF0000"/>
      </top>
      <bottom style="thin">
        <color rgb="FFFF0000"/>
      </bottom>
      <diagonal/>
    </border>
    <border>
      <left/>
      <right/>
      <top/>
      <bottom style="thick">
        <color rgb="FFFFFFFF"/>
      </bottom>
      <diagonal/>
    </border>
    <border>
      <left/>
      <right/>
      <top style="thick">
        <color rgb="FFFFFFFF"/>
      </top>
      <bottom/>
      <diagonal/>
    </border>
  </borders>
  <cellStyleXfs count="68">
    <xf numFmtId="0" fontId="0" fillId="0" borderId="0"/>
    <xf numFmtId="49" fontId="1" fillId="3" borderId="0" applyNumberFormat="0" applyBorder="0" applyAlignment="0">
      <alignment horizontal="left" vertical="center" wrapText="1"/>
    </xf>
    <xf numFmtId="43" fontId="7" fillId="0" borderId="0" applyFont="0" applyFill="0" applyBorder="0" applyAlignment="0" applyProtection="0"/>
    <xf numFmtId="41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5" applyNumberFormat="0" applyFill="0" applyAlignment="0" applyProtection="0"/>
    <xf numFmtId="0" fontId="11" fillId="0" borderId="6" applyNumberFormat="0" applyFill="0" applyAlignment="0" applyProtection="0"/>
    <xf numFmtId="0" fontId="12" fillId="0" borderId="7" applyNumberFormat="0" applyFill="0" applyAlignment="0" applyProtection="0"/>
    <xf numFmtId="0" fontId="12" fillId="0" borderId="0" applyNumberFormat="0" applyFill="0" applyBorder="0" applyAlignment="0" applyProtection="0"/>
    <xf numFmtId="0" fontId="13" fillId="6" borderId="0" applyNumberFormat="0" applyBorder="0" applyAlignment="0" applyProtection="0"/>
    <xf numFmtId="0" fontId="14" fillId="7" borderId="0" applyNumberFormat="0" applyBorder="0" applyAlignment="0" applyProtection="0"/>
    <xf numFmtId="0" fontId="15" fillId="8" borderId="0" applyNumberFormat="0" applyBorder="0" applyAlignment="0" applyProtection="0"/>
    <xf numFmtId="0" fontId="16" fillId="9" borderId="8" applyNumberFormat="0" applyAlignment="0" applyProtection="0"/>
    <xf numFmtId="0" fontId="17" fillId="10" borderId="9" applyNumberFormat="0" applyAlignment="0" applyProtection="0"/>
    <xf numFmtId="0" fontId="18" fillId="10" borderId="8" applyNumberFormat="0" applyAlignment="0" applyProtection="0"/>
    <xf numFmtId="0" fontId="19" fillId="0" borderId="10" applyNumberFormat="0" applyFill="0" applyAlignment="0" applyProtection="0"/>
    <xf numFmtId="0" fontId="1" fillId="11" borderId="11" applyNumberFormat="0" applyAlignment="0" applyProtection="0"/>
    <xf numFmtId="0" fontId="20" fillId="0" borderId="0" applyNumberFormat="0" applyFill="0" applyBorder="0" applyAlignment="0" applyProtection="0"/>
    <xf numFmtId="0" fontId="7" fillId="12" borderId="12" applyNumberFormat="0" applyFont="0" applyAlignment="0" applyProtection="0"/>
    <xf numFmtId="0" fontId="21" fillId="0" borderId="0" applyNumberFormat="0" applyFill="0" applyBorder="0" applyAlignment="0" applyProtection="0"/>
    <xf numFmtId="0" fontId="2" fillId="0" borderId="13" applyNumberFormat="0" applyFill="0" applyAlignment="0" applyProtection="0"/>
    <xf numFmtId="0" fontId="3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3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3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3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3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3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22" fillId="37" borderId="0" applyBorder="0" applyAlignment="0"/>
    <xf numFmtId="0" fontId="1" fillId="5" borderId="0" applyNumberFormat="0" applyBorder="0" applyAlignment="0"/>
    <xf numFmtId="0" fontId="7" fillId="0" borderId="0" applyNumberFormat="0" applyBorder="0" applyAlignment="0"/>
    <xf numFmtId="0" fontId="8" fillId="2" borderId="0" applyNumberFormat="0" applyBorder="0" applyAlignment="0">
      <protection locked="0"/>
    </xf>
    <xf numFmtId="0" fontId="35" fillId="0" borderId="14" applyNumberFormat="0" applyBorder="0" applyAlignment="0"/>
    <xf numFmtId="0" fontId="2" fillId="0" borderId="0" applyNumberFormat="0" applyBorder="0" applyAlignment="0"/>
    <xf numFmtId="0" fontId="26" fillId="0" borderId="0" applyNumberFormat="0" applyFill="0" applyBorder="0" applyAlignment="0" applyProtection="0"/>
    <xf numFmtId="164" fontId="8" fillId="4" borderId="0" applyNumberFormat="0" applyBorder="0">
      <alignment vertical="top"/>
    </xf>
    <xf numFmtId="9" fontId="34" fillId="0" borderId="0" applyNumberFormat="0" applyBorder="0"/>
    <xf numFmtId="43" fontId="7" fillId="0" borderId="0" applyFont="0" applyFill="0" applyBorder="0" applyAlignment="0" applyProtection="0"/>
    <xf numFmtId="0" fontId="36" fillId="0" borderId="0"/>
    <xf numFmtId="0" fontId="7" fillId="38" borderId="0" applyNumberFormat="0" applyBorder="0" applyAlignment="0" applyProtection="0">
      <alignment horizontal="center"/>
    </xf>
    <xf numFmtId="3" fontId="8" fillId="0" borderId="0" applyNumberFormat="0" applyBorder="0" applyAlignment="0">
      <alignment horizontal="right" vertical="top"/>
    </xf>
    <xf numFmtId="0" fontId="14" fillId="7" borderId="0" applyNumberFormat="0" applyBorder="0" applyAlignment="0" applyProtection="0"/>
    <xf numFmtId="9" fontId="7" fillId="0" borderId="0" applyFont="0" applyFill="0" applyBorder="0" applyAlignment="0" applyProtection="0"/>
    <xf numFmtId="0" fontId="30" fillId="8" borderId="0" applyNumberFormat="0" applyBorder="0" applyAlignment="0" applyProtection="0"/>
    <xf numFmtId="0" fontId="7" fillId="0" borderId="0" applyNumberFormat="0" applyFont="0" applyBorder="0" applyAlignment="0"/>
    <xf numFmtId="0" fontId="7" fillId="39" borderId="0" applyNumberFormat="0" applyFont="0" applyBorder="0" applyAlignment="0"/>
    <xf numFmtId="0" fontId="26" fillId="0" borderId="0" applyNumberFormat="0" applyFill="0" applyBorder="0" applyAlignment="0"/>
    <xf numFmtId="0" fontId="38" fillId="0" borderId="0" applyNumberFormat="0" applyFill="0" applyBorder="0" applyAlignment="0"/>
  </cellStyleXfs>
  <cellXfs count="567">
    <xf numFmtId="0" fontId="0" fillId="0" borderId="0" xfId="0"/>
    <xf numFmtId="49" fontId="1" fillId="3" borderId="0" xfId="0" applyNumberFormat="1" applyFont="1" applyFill="1" applyAlignment="1">
      <alignment horizontal="left" vertical="center" wrapText="1"/>
    </xf>
    <xf numFmtId="49" fontId="1" fillId="3" borderId="0" xfId="0" applyNumberFormat="1" applyFont="1" applyFill="1" applyAlignment="1">
      <alignment horizontal="right" vertical="center" wrapText="1"/>
    </xf>
    <xf numFmtId="49" fontId="0" fillId="0" borderId="0" xfId="0" applyNumberFormat="1"/>
    <xf numFmtId="0" fontId="0" fillId="0" borderId="0" xfId="0" applyAlignment="1">
      <alignment horizontal="right" vertical="top"/>
    </xf>
    <xf numFmtId="0" fontId="0" fillId="0" borderId="0" xfId="0" applyFill="1"/>
    <xf numFmtId="0" fontId="0" fillId="0" borderId="0" xfId="0"/>
    <xf numFmtId="0" fontId="22" fillId="37" borderId="0" xfId="48"/>
    <xf numFmtId="0" fontId="1" fillId="3" borderId="0" xfId="1" applyNumberFormat="1" applyAlignment="1">
      <alignment horizontal="right"/>
    </xf>
    <xf numFmtId="49" fontId="1" fillId="3" borderId="0" xfId="1" applyNumberFormat="1" applyAlignment="1">
      <alignment horizontal="left" vertical="center" wrapText="1"/>
    </xf>
    <xf numFmtId="0" fontId="1" fillId="3" borderId="0" xfId="1" applyNumberFormat="1" applyAlignment="1"/>
    <xf numFmtId="49" fontId="1" fillId="3" borderId="0" xfId="1" applyNumberFormat="1" applyAlignment="1">
      <alignment horizontal="right" vertical="center" wrapText="1"/>
    </xf>
    <xf numFmtId="0" fontId="1" fillId="3" borderId="2" xfId="1" applyNumberFormat="1" applyBorder="1" applyAlignment="1">
      <alignment vertical="top"/>
    </xf>
    <xf numFmtId="0" fontId="1" fillId="3" borderId="2" xfId="1" applyNumberFormat="1" applyBorder="1" applyAlignment="1"/>
    <xf numFmtId="0" fontId="7" fillId="0" borderId="0" xfId="50"/>
    <xf numFmtId="0" fontId="7" fillId="0" borderId="3" xfId="50" applyBorder="1"/>
    <xf numFmtId="0" fontId="7" fillId="0" borderId="2" xfId="50" applyBorder="1"/>
    <xf numFmtId="9" fontId="35" fillId="0" borderId="0" xfId="52" applyNumberFormat="1" applyBorder="1"/>
    <xf numFmtId="9" fontId="35" fillId="0" borderId="3" xfId="52" applyNumberFormat="1" applyBorder="1"/>
    <xf numFmtId="0" fontId="0" fillId="0" borderId="3" xfId="0" applyFill="1" applyBorder="1"/>
    <xf numFmtId="0" fontId="0" fillId="0" borderId="0" xfId="0" applyFont="1" applyAlignment="1">
      <alignment vertical="center"/>
    </xf>
    <xf numFmtId="0" fontId="0" fillId="0" borderId="0" xfId="0" applyFont="1" applyAlignment="1">
      <alignment vertical="top"/>
    </xf>
    <xf numFmtId="0" fontId="24" fillId="0" borderId="0" xfId="0" applyFont="1" applyAlignment="1">
      <alignment vertical="top" wrapText="1"/>
    </xf>
    <xf numFmtId="0" fontId="0" fillId="0" borderId="0" xfId="0" applyFont="1" applyAlignment="1">
      <alignment horizontal="left" vertical="top" wrapText="1"/>
    </xf>
    <xf numFmtId="0" fontId="23" fillId="0" borderId="0" xfId="0" applyFont="1" applyAlignment="1">
      <alignment vertical="top"/>
    </xf>
    <xf numFmtId="0" fontId="0" fillId="0" borderId="0" xfId="0" applyFont="1" applyAlignment="1">
      <alignment vertical="top" wrapText="1"/>
    </xf>
    <xf numFmtId="0" fontId="27" fillId="0" borderId="0" xfId="0" applyFont="1" applyAlignment="1">
      <alignment horizontal="left"/>
    </xf>
    <xf numFmtId="0" fontId="26" fillId="0" borderId="0" xfId="54" applyNumberFormat="1" applyAlignment="1">
      <alignment vertical="top"/>
    </xf>
    <xf numFmtId="0" fontId="24" fillId="0" borderId="0" xfId="0" applyFont="1" applyAlignment="1">
      <alignment vertical="top"/>
    </xf>
    <xf numFmtId="0" fontId="25" fillId="0" borderId="0" xfId="0" applyFont="1" applyAlignment="1">
      <alignment horizontal="left" vertical="top"/>
    </xf>
    <xf numFmtId="0" fontId="0" fillId="0" borderId="0" xfId="0" applyFont="1" applyAlignment="1">
      <alignment horizontal="center" vertical="center"/>
    </xf>
    <xf numFmtId="0" fontId="1" fillId="3" borderId="2" xfId="1" applyNumberFormat="1" applyBorder="1" applyAlignment="1">
      <alignment horizontal="right"/>
    </xf>
    <xf numFmtId="4" fontId="1" fillId="5" borderId="0" xfId="49" applyNumberFormat="1"/>
    <xf numFmtId="167" fontId="34" fillId="0" borderId="2" xfId="56" applyNumberFormat="1" applyBorder="1"/>
    <xf numFmtId="0" fontId="1" fillId="3" borderId="0" xfId="1" applyNumberFormat="1" applyBorder="1" applyAlignment="1"/>
    <xf numFmtId="0" fontId="1" fillId="3" borderId="0" xfId="1" applyNumberFormat="1" applyBorder="1" applyAlignment="1">
      <alignment horizontal="right"/>
    </xf>
    <xf numFmtId="0" fontId="7" fillId="0" borderId="3" xfId="50" applyBorder="1" applyAlignment="1">
      <alignment horizontal="left"/>
    </xf>
    <xf numFmtId="9" fontId="8" fillId="4" borderId="0" xfId="55" applyNumberFormat="1" applyBorder="1">
      <alignment vertical="top"/>
    </xf>
    <xf numFmtId="9" fontId="8" fillId="4" borderId="3" xfId="55" applyNumberFormat="1" applyBorder="1">
      <alignment vertical="top"/>
    </xf>
    <xf numFmtId="0" fontId="7" fillId="0" borderId="0" xfId="50" applyBorder="1" applyAlignment="1">
      <alignment horizontal="left"/>
    </xf>
    <xf numFmtId="0" fontId="7" fillId="0" borderId="2" xfId="50" applyBorder="1" applyAlignment="1">
      <alignment horizontal="left"/>
    </xf>
    <xf numFmtId="0" fontId="23" fillId="0" borderId="0" xfId="0" applyFont="1" applyAlignment="1">
      <alignment horizontal="right"/>
    </xf>
    <xf numFmtId="0" fontId="0" fillId="0" borderId="0" xfId="0"/>
    <xf numFmtId="166" fontId="34" fillId="0" borderId="0" xfId="56" applyNumberFormat="1" applyBorder="1" applyAlignment="1">
      <alignment horizontal="left"/>
    </xf>
    <xf numFmtId="0" fontId="34" fillId="0" borderId="0" xfId="56" applyNumberFormat="1" applyAlignment="1">
      <alignment horizontal="left"/>
    </xf>
    <xf numFmtId="0" fontId="1" fillId="5" borderId="0" xfId="49" applyAlignment="1">
      <alignment vertical="center"/>
    </xf>
    <xf numFmtId="0" fontId="29" fillId="3" borderId="0" xfId="1" applyNumberFormat="1" applyFont="1" applyAlignment="1"/>
    <xf numFmtId="0" fontId="8" fillId="0" borderId="0" xfId="0" applyFont="1" applyAlignment="1">
      <alignment vertical="center"/>
    </xf>
    <xf numFmtId="0" fontId="8" fillId="0" borderId="0" xfId="0" applyFont="1" applyAlignment="1">
      <alignment vertical="center" wrapText="1"/>
    </xf>
    <xf numFmtId="0" fontId="1" fillId="3" borderId="0" xfId="1" applyNumberFormat="1" applyFont="1" applyAlignment="1"/>
    <xf numFmtId="0" fontId="8" fillId="0" borderId="0" xfId="0" applyFont="1"/>
    <xf numFmtId="0" fontId="1" fillId="5" borderId="0" xfId="49" applyFont="1" applyAlignment="1">
      <alignment vertical="center"/>
    </xf>
    <xf numFmtId="0" fontId="1" fillId="5" borderId="0" xfId="49" applyFont="1" applyAlignment="1">
      <alignment vertical="center" wrapText="1"/>
    </xf>
    <xf numFmtId="166" fontId="6" fillId="0" borderId="0" xfId="52" applyNumberFormat="1" applyFont="1" applyBorder="1" applyAlignment="1">
      <alignment horizontal="left" vertical="center" wrapText="1"/>
    </xf>
    <xf numFmtId="0" fontId="6" fillId="0" borderId="0" xfId="52" applyNumberFormat="1" applyFont="1" applyBorder="1" applyAlignment="1">
      <alignment horizontal="left" vertical="center" wrapText="1"/>
    </xf>
    <xf numFmtId="0" fontId="1" fillId="3" borderId="0" xfId="1" applyNumberFormat="1" applyFont="1" applyAlignment="1">
      <alignment vertical="center" wrapText="1"/>
    </xf>
    <xf numFmtId="0" fontId="1" fillId="3" borderId="0" xfId="1" applyNumberFormat="1" applyFont="1" applyAlignment="1">
      <alignment vertical="center"/>
    </xf>
    <xf numFmtId="0" fontId="2" fillId="0" borderId="0" xfId="53" applyFont="1"/>
    <xf numFmtId="0" fontId="8" fillId="0" borderId="2" xfId="0" applyFont="1" applyBorder="1"/>
    <xf numFmtId="0" fontId="8" fillId="0" borderId="0" xfId="0" applyFont="1" applyFill="1" applyBorder="1"/>
    <xf numFmtId="0" fontId="8" fillId="0" borderId="0" xfId="0" applyFont="1" applyBorder="1"/>
    <xf numFmtId="0" fontId="8" fillId="0" borderId="3" xfId="0" applyFont="1" applyBorder="1"/>
    <xf numFmtId="0" fontId="8" fillId="4" borderId="4" xfId="55" applyNumberFormat="1" applyBorder="1">
      <alignment vertical="top"/>
    </xf>
    <xf numFmtId="9" fontId="0" fillId="0" borderId="2" xfId="0" applyNumberFormat="1" applyBorder="1"/>
    <xf numFmtId="0" fontId="22" fillId="37" borderId="0" xfId="48" applyBorder="1"/>
    <xf numFmtId="0" fontId="1" fillId="5" borderId="0" xfId="49" applyBorder="1"/>
    <xf numFmtId="0" fontId="0" fillId="0" borderId="0" xfId="0" applyBorder="1" applyAlignment="1">
      <alignment horizontal="right"/>
    </xf>
    <xf numFmtId="0" fontId="31" fillId="0" borderId="0" xfId="0" applyFont="1"/>
    <xf numFmtId="169" fontId="0" fillId="0" borderId="0" xfId="0" applyNumberFormat="1"/>
    <xf numFmtId="0" fontId="5" fillId="0" borderId="0" xfId="53" applyFont="1"/>
    <xf numFmtId="4" fontId="0" fillId="0" borderId="4" xfId="0" applyNumberFormat="1" applyBorder="1"/>
    <xf numFmtId="0" fontId="1" fillId="5" borderId="0" xfId="0" applyFont="1" applyFill="1"/>
    <xf numFmtId="0" fontId="0" fillId="5" borderId="0" xfId="0" applyFill="1"/>
    <xf numFmtId="0" fontId="0" fillId="0" borderId="4" xfId="0" applyBorder="1"/>
    <xf numFmtId="4" fontId="0" fillId="0" borderId="2" xfId="0" applyNumberFormat="1" applyBorder="1"/>
    <xf numFmtId="0" fontId="0" fillId="0" borderId="0" xfId="0" applyFont="1"/>
    <xf numFmtId="0" fontId="7" fillId="0" borderId="0" xfId="50" applyBorder="1"/>
    <xf numFmtId="0" fontId="7" fillId="0" borderId="4" xfId="50" applyBorder="1"/>
    <xf numFmtId="0" fontId="28" fillId="5" borderId="0" xfId="0" applyFont="1" applyFill="1"/>
    <xf numFmtId="0" fontId="8" fillId="4" borderId="0" xfId="55" applyNumberFormat="1">
      <alignment vertical="top"/>
    </xf>
    <xf numFmtId="0" fontId="5" fillId="5" borderId="0" xfId="0" applyFont="1" applyFill="1"/>
    <xf numFmtId="0" fontId="0" fillId="0" borderId="0" xfId="0" applyFill="1" applyBorder="1"/>
    <xf numFmtId="0" fontId="36" fillId="0" borderId="0" xfId="58"/>
    <xf numFmtId="10" fontId="0" fillId="0" borderId="0" xfId="0" applyNumberFormat="1"/>
    <xf numFmtId="0" fontId="34" fillId="0" borderId="0" xfId="56" applyNumberFormat="1" applyBorder="1" applyAlignment="1">
      <alignment horizontal="right"/>
    </xf>
    <xf numFmtId="0" fontId="0" fillId="0" borderId="0" xfId="0"/>
    <xf numFmtId="0" fontId="2" fillId="0" borderId="0" xfId="0" applyFont="1"/>
    <xf numFmtId="0" fontId="0" fillId="0" borderId="0" xfId="0" applyAlignment="1">
      <alignment wrapText="1"/>
    </xf>
    <xf numFmtId="0" fontId="0" fillId="0" borderId="0" xfId="0" applyAlignment="1">
      <alignment vertical="top"/>
    </xf>
    <xf numFmtId="9" fontId="0" fillId="0" borderId="0" xfId="0" applyNumberFormat="1"/>
    <xf numFmtId="4" fontId="0" fillId="0" borderId="0" xfId="0" applyNumberFormat="1"/>
    <xf numFmtId="0" fontId="0" fillId="0" borderId="2" xfId="0" applyBorder="1"/>
    <xf numFmtId="0" fontId="0" fillId="0" borderId="0" xfId="0" applyBorder="1"/>
    <xf numFmtId="0" fontId="0" fillId="0" borderId="3" xfId="0" applyBorder="1"/>
    <xf numFmtId="0" fontId="0" fillId="0" borderId="2" xfId="0" applyBorder="1" applyAlignment="1">
      <alignment vertical="top"/>
    </xf>
    <xf numFmtId="0" fontId="1" fillId="5" borderId="0" xfId="49"/>
    <xf numFmtId="0" fontId="2" fillId="0" borderId="0" xfId="53"/>
    <xf numFmtId="0" fontId="0" fillId="0" borderId="3" xfId="0" applyBorder="1" applyAlignment="1">
      <alignment vertical="top"/>
    </xf>
    <xf numFmtId="0" fontId="5" fillId="0" borderId="0" xfId="0" applyFont="1"/>
    <xf numFmtId="0" fontId="0" fillId="0" borderId="0" xfId="0" applyFont="1" applyBorder="1" applyAlignment="1"/>
    <xf numFmtId="0" fontId="0" fillId="0" borderId="3" xfId="0" applyFont="1" applyBorder="1" applyAlignment="1"/>
    <xf numFmtId="0" fontId="8" fillId="4" borderId="0" xfId="55" applyNumberFormat="1" applyBorder="1">
      <alignment vertical="top"/>
    </xf>
    <xf numFmtId="0" fontId="8" fillId="4" borderId="3" xfId="55" applyNumberFormat="1" applyBorder="1">
      <alignment vertical="top"/>
    </xf>
    <xf numFmtId="0" fontId="0" fillId="0" borderId="2" xfId="0" applyFont="1" applyBorder="1" applyAlignment="1"/>
    <xf numFmtId="4" fontId="34" fillId="0" borderId="2" xfId="56" applyNumberFormat="1" applyBorder="1"/>
    <xf numFmtId="4" fontId="34" fillId="0" borderId="3" xfId="56" applyNumberFormat="1" applyBorder="1"/>
    <xf numFmtId="0" fontId="8" fillId="4" borderId="2" xfId="55" applyNumberFormat="1" applyBorder="1">
      <alignment vertical="top"/>
    </xf>
    <xf numFmtId="9" fontId="7" fillId="0" borderId="2" xfId="50" applyNumberFormat="1" applyBorder="1"/>
    <xf numFmtId="0" fontId="0" fillId="0" borderId="0" xfId="0" applyAlignment="1">
      <alignment horizontal="left"/>
    </xf>
    <xf numFmtId="0" fontId="7" fillId="0" borderId="0" xfId="50" applyAlignment="1">
      <alignment horizontal="left"/>
    </xf>
    <xf numFmtId="165" fontId="35" fillId="0" borderId="0" xfId="52" applyNumberFormat="1" applyBorder="1"/>
    <xf numFmtId="0" fontId="0" fillId="0" borderId="0" xfId="0" applyAlignment="1">
      <alignment horizontal="right"/>
    </xf>
    <xf numFmtId="0" fontId="0" fillId="0" borderId="2" xfId="0" applyBorder="1" applyAlignment="1">
      <alignment horizontal="right"/>
    </xf>
    <xf numFmtId="0" fontId="34" fillId="0" borderId="0" xfId="56" applyNumberFormat="1" applyBorder="1"/>
    <xf numFmtId="3" fontId="34" fillId="0" borderId="0" xfId="56" applyNumberFormat="1" applyBorder="1"/>
    <xf numFmtId="0" fontId="34" fillId="0" borderId="3" xfId="56" applyNumberFormat="1" applyBorder="1"/>
    <xf numFmtId="9" fontId="7" fillId="0" borderId="3" xfId="50" applyNumberFormat="1" applyBorder="1"/>
    <xf numFmtId="10" fontId="8" fillId="0" borderId="0" xfId="55" applyNumberFormat="1" applyFill="1" applyBorder="1">
      <alignment vertical="top"/>
    </xf>
    <xf numFmtId="9" fontId="35" fillId="0" borderId="4" xfId="52" applyNumberFormat="1" applyBorder="1"/>
    <xf numFmtId="0" fontId="1" fillId="3" borderId="2" xfId="1" applyNumberFormat="1" applyBorder="1" applyAlignment="1">
      <alignment horizontal="right" vertical="top"/>
    </xf>
    <xf numFmtId="0" fontId="8" fillId="0" borderId="0" xfId="0" applyFont="1" applyAlignment="1">
      <alignment vertical="center"/>
    </xf>
    <xf numFmtId="0" fontId="8" fillId="0" borderId="0" xfId="0" applyFont="1" applyAlignment="1">
      <alignment vertical="center" wrapText="1"/>
    </xf>
    <xf numFmtId="0" fontId="8" fillId="0" borderId="0" xfId="0" applyFont="1"/>
    <xf numFmtId="0" fontId="2" fillId="0" borderId="0" xfId="53" applyAlignment="1">
      <alignment vertical="center"/>
    </xf>
    <xf numFmtId="0" fontId="7" fillId="0" borderId="0" xfId="50" applyNumberFormat="1" applyBorder="1" applyAlignment="1"/>
    <xf numFmtId="0" fontId="7" fillId="0" borderId="3" xfId="50" applyNumberFormat="1" applyBorder="1" applyAlignment="1"/>
    <xf numFmtId="0" fontId="7" fillId="0" borderId="2" xfId="50" applyNumberFormat="1" applyBorder="1" applyAlignment="1"/>
    <xf numFmtId="0" fontId="1" fillId="3" borderId="0" xfId="1" applyNumberFormat="1" applyBorder="1" applyAlignment="1">
      <alignment horizontal="left"/>
    </xf>
    <xf numFmtId="0" fontId="1" fillId="5" borderId="0" xfId="49" applyAlignment="1">
      <alignment horizontal="left"/>
    </xf>
    <xf numFmtId="0" fontId="0" fillId="0" borderId="2" xfId="0" applyBorder="1" applyAlignment="1">
      <alignment horizontal="left"/>
    </xf>
    <xf numFmtId="0" fontId="0" fillId="0" borderId="0" xfId="0" applyBorder="1" applyAlignment="1">
      <alignment horizontal="left"/>
    </xf>
    <xf numFmtId="0" fontId="0" fillId="0" borderId="3" xfId="0" applyBorder="1" applyAlignment="1">
      <alignment horizontal="left"/>
    </xf>
    <xf numFmtId="9" fontId="8" fillId="4" borderId="2" xfId="55" applyNumberFormat="1" applyBorder="1">
      <alignment vertical="top"/>
    </xf>
    <xf numFmtId="3" fontId="0" fillId="0" borderId="0" xfId="0" applyNumberFormat="1"/>
    <xf numFmtId="49" fontId="33" fillId="3" borderId="0" xfId="1" applyNumberFormat="1" applyFont="1" applyAlignment="1">
      <alignment horizontal="left" vertical="center"/>
    </xf>
    <xf numFmtId="0" fontId="36" fillId="0" borderId="0" xfId="58" applyBorder="1"/>
    <xf numFmtId="9" fontId="34" fillId="0" borderId="0" xfId="56" applyBorder="1"/>
    <xf numFmtId="9" fontId="34" fillId="0" borderId="2" xfId="56" applyBorder="1"/>
    <xf numFmtId="0" fontId="34" fillId="0" borderId="0" xfId="56" applyNumberFormat="1" applyBorder="1" applyAlignment="1">
      <alignment horizontal="left"/>
    </xf>
    <xf numFmtId="170" fontId="34" fillId="0" borderId="0" xfId="56" applyNumberFormat="1"/>
    <xf numFmtId="170" fontId="34" fillId="0" borderId="3" xfId="56" applyNumberFormat="1" applyBorder="1"/>
    <xf numFmtId="0" fontId="34" fillId="0" borderId="2" xfId="56" applyNumberFormat="1" applyBorder="1"/>
    <xf numFmtId="167" fontId="34" fillId="0" borderId="0" xfId="56" applyNumberFormat="1"/>
    <xf numFmtId="9" fontId="34" fillId="0" borderId="0" xfId="56"/>
    <xf numFmtId="0" fontId="2" fillId="0" borderId="0" xfId="53" applyNumberFormat="1" applyBorder="1" applyAlignment="1"/>
    <xf numFmtId="0" fontId="0" fillId="0" borderId="3" xfId="0" applyBorder="1" applyAlignment="1">
      <alignment horizontal="right"/>
    </xf>
    <xf numFmtId="0" fontId="2" fillId="0" borderId="0" xfId="53" applyBorder="1"/>
    <xf numFmtId="0" fontId="1" fillId="3" borderId="0" xfId="1" applyNumberFormat="1" applyBorder="1" applyAlignment="1">
      <alignment horizontal="right" wrapText="1"/>
    </xf>
    <xf numFmtId="0" fontId="35" fillId="0" borderId="0" xfId="52" applyBorder="1" applyAlignment="1">
      <alignment horizontal="right"/>
    </xf>
    <xf numFmtId="4" fontId="1" fillId="3" borderId="0" xfId="1" applyNumberFormat="1" applyBorder="1" applyAlignment="1">
      <alignment horizontal="right"/>
    </xf>
    <xf numFmtId="0" fontId="0" fillId="0" borderId="2" xfId="0" applyFont="1" applyBorder="1"/>
    <xf numFmtId="0" fontId="35" fillId="0" borderId="0" xfId="52" applyBorder="1" applyAlignment="1">
      <alignment horizontal="left"/>
    </xf>
    <xf numFmtId="0" fontId="35" fillId="0" borderId="0" xfId="52" applyBorder="1"/>
    <xf numFmtId="0" fontId="35" fillId="0" borderId="0" xfId="52" applyNumberFormat="1" applyBorder="1"/>
    <xf numFmtId="0" fontId="1" fillId="3" borderId="0" xfId="1" applyNumberFormat="1" applyAlignment="1">
      <alignment horizontal="right" vertical="center" wrapText="1"/>
    </xf>
    <xf numFmtId="0" fontId="35" fillId="0" borderId="3" xfId="52" applyBorder="1" applyAlignment="1">
      <alignment horizontal="right"/>
    </xf>
    <xf numFmtId="0" fontId="35" fillId="0" borderId="2" xfId="52" applyBorder="1" applyAlignment="1">
      <alignment horizontal="right"/>
    </xf>
    <xf numFmtId="0" fontId="7" fillId="0" borderId="4" xfId="50" applyBorder="1" applyAlignment="1">
      <alignment horizontal="left"/>
    </xf>
    <xf numFmtId="0" fontId="35" fillId="0" borderId="4" xfId="52" applyBorder="1" applyAlignment="1">
      <alignment horizontal="right"/>
    </xf>
    <xf numFmtId="9" fontId="8" fillId="4" borderId="0" xfId="55" applyNumberFormat="1" applyBorder="1" applyAlignment="1">
      <alignment horizontal="right" vertical="top"/>
    </xf>
    <xf numFmtId="0" fontId="1" fillId="5" borderId="0" xfId="49" applyAlignment="1">
      <alignment horizontal="right"/>
    </xf>
    <xf numFmtId="0" fontId="0" fillId="0" borderId="2" xfId="0" applyFont="1" applyBorder="1" applyAlignment="1">
      <alignment horizontal="right"/>
    </xf>
    <xf numFmtId="0" fontId="0" fillId="0" borderId="0" xfId="0" applyFont="1" applyBorder="1" applyAlignment="1">
      <alignment horizontal="right"/>
    </xf>
    <xf numFmtId="0" fontId="0" fillId="0" borderId="0" xfId="0" applyFont="1" applyAlignment="1">
      <alignment horizontal="right"/>
    </xf>
    <xf numFmtId="0" fontId="0" fillId="0" borderId="3" xfId="0" applyFont="1" applyBorder="1" applyAlignment="1">
      <alignment horizontal="right"/>
    </xf>
    <xf numFmtId="10" fontId="8" fillId="4" borderId="2" xfId="55" applyNumberFormat="1" applyBorder="1" applyAlignment="1">
      <alignment horizontal="right" vertical="top"/>
    </xf>
    <xf numFmtId="0" fontId="0" fillId="5" borderId="0" xfId="0" applyFill="1" applyAlignment="1">
      <alignment horizontal="left"/>
    </xf>
    <xf numFmtId="0" fontId="1" fillId="3" borderId="2" xfId="1" applyNumberFormat="1" applyBorder="1" applyAlignment="1">
      <alignment horizontal="left"/>
    </xf>
    <xf numFmtId="0" fontId="0" fillId="0" borderId="0" xfId="0" applyAlignment="1">
      <alignment horizontal="left" vertical="top"/>
    </xf>
    <xf numFmtId="0" fontId="0" fillId="0" borderId="4" xfId="0" applyBorder="1" applyAlignment="1">
      <alignment horizontal="left"/>
    </xf>
    <xf numFmtId="9" fontId="8" fillId="4" borderId="2" xfId="55" applyNumberFormat="1" applyBorder="1" applyAlignment="1">
      <alignment horizontal="right" vertical="top"/>
    </xf>
    <xf numFmtId="0" fontId="22" fillId="37" borderId="0" xfId="48" applyAlignment="1">
      <alignment horizontal="right"/>
    </xf>
    <xf numFmtId="0" fontId="22" fillId="37" borderId="0" xfId="48" applyAlignment="1">
      <alignment horizontal="left"/>
    </xf>
    <xf numFmtId="4" fontId="0" fillId="0" borderId="0" xfId="0" applyNumberFormat="1" applyAlignment="1">
      <alignment horizontal="right"/>
    </xf>
    <xf numFmtId="10" fontId="23" fillId="0" borderId="0" xfId="0" applyNumberFormat="1" applyFont="1" applyAlignment="1">
      <alignment horizontal="right"/>
    </xf>
    <xf numFmtId="9" fontId="35" fillId="0" borderId="2" xfId="52" applyNumberFormat="1" applyBorder="1"/>
    <xf numFmtId="0" fontId="7" fillId="0" borderId="0" xfId="50" applyBorder="1" applyAlignment="1"/>
    <xf numFmtId="0" fontId="8" fillId="0" borderId="2" xfId="60" applyNumberFormat="1" applyBorder="1" applyAlignment="1"/>
    <xf numFmtId="0" fontId="8" fillId="0" borderId="0" xfId="60" applyNumberFormat="1" applyBorder="1" applyAlignment="1"/>
    <xf numFmtId="0" fontId="8" fillId="0" borderId="3" xfId="60" applyNumberFormat="1" applyBorder="1" applyAlignment="1"/>
    <xf numFmtId="9" fontId="8" fillId="0" borderId="2" xfId="60" applyNumberFormat="1" applyBorder="1" applyAlignment="1"/>
    <xf numFmtId="9" fontId="8" fillId="0" borderId="3" xfId="60" applyNumberFormat="1" applyBorder="1" applyAlignment="1"/>
    <xf numFmtId="9" fontId="8" fillId="0" borderId="4" xfId="60" applyNumberFormat="1" applyBorder="1" applyAlignment="1"/>
    <xf numFmtId="0" fontId="8" fillId="0" borderId="4" xfId="60" applyNumberFormat="1" applyBorder="1" applyAlignment="1"/>
    <xf numFmtId="9" fontId="35" fillId="0" borderId="2" xfId="52" applyNumberFormat="1" applyBorder="1" applyAlignment="1">
      <alignment horizontal="right"/>
    </xf>
    <xf numFmtId="9" fontId="35" fillId="0" borderId="0" xfId="52" applyNumberFormat="1" applyBorder="1" applyAlignment="1">
      <alignment horizontal="right"/>
    </xf>
    <xf numFmtId="9" fontId="35" fillId="0" borderId="3" xfId="52" applyNumberFormat="1" applyBorder="1" applyAlignment="1">
      <alignment horizontal="right"/>
    </xf>
    <xf numFmtId="4" fontId="0" fillId="0" borderId="3" xfId="0" applyNumberFormat="1" applyBorder="1"/>
    <xf numFmtId="0" fontId="1" fillId="3" borderId="0" xfId="1" applyNumberFormat="1" applyAlignment="1">
      <alignment horizontal="left"/>
    </xf>
    <xf numFmtId="164" fontId="8" fillId="4" borderId="2" xfId="55" applyBorder="1" applyAlignment="1"/>
    <xf numFmtId="0" fontId="8" fillId="0" borderId="19" xfId="60" applyNumberFormat="1" applyBorder="1" applyAlignment="1"/>
    <xf numFmtId="0" fontId="2" fillId="0" borderId="0" xfId="53" applyNumberFormat="1" applyBorder="1"/>
    <xf numFmtId="0" fontId="0" fillId="40" borderId="0" xfId="0" applyFill="1" applyBorder="1"/>
    <xf numFmtId="0" fontId="0" fillId="42" borderId="0" xfId="0" applyFill="1" applyBorder="1"/>
    <xf numFmtId="0" fontId="2" fillId="0" borderId="3" xfId="53" applyFont="1" applyBorder="1"/>
    <xf numFmtId="0" fontId="0" fillId="0" borderId="0" xfId="0"/>
    <xf numFmtId="0" fontId="0" fillId="0" borderId="0" xfId="0" applyBorder="1"/>
    <xf numFmtId="4" fontId="35" fillId="0" borderId="4" xfId="52" applyNumberFormat="1" applyBorder="1" applyAlignment="1">
      <alignment horizontal="left"/>
    </xf>
    <xf numFmtId="0" fontId="34" fillId="0" borderId="3" xfId="56" applyNumberFormat="1" applyBorder="1" applyAlignment="1">
      <alignment horizontal="right"/>
    </xf>
    <xf numFmtId="0" fontId="34" fillId="0" borderId="2" xfId="56" applyNumberFormat="1" applyBorder="1" applyAlignment="1">
      <alignment horizontal="right"/>
    </xf>
    <xf numFmtId="0" fontId="0" fillId="41" borderId="0" xfId="0" applyFill="1" applyBorder="1"/>
    <xf numFmtId="0" fontId="0" fillId="43" borderId="3" xfId="0" applyFill="1" applyBorder="1"/>
    <xf numFmtId="0" fontId="1" fillId="3" borderId="20" xfId="1" applyNumberFormat="1" applyBorder="1" applyAlignment="1"/>
    <xf numFmtId="0" fontId="26" fillId="44" borderId="0" xfId="54" quotePrefix="1" applyFill="1"/>
    <xf numFmtId="0" fontId="26" fillId="44" borderId="21" xfId="54" quotePrefix="1" applyFill="1" applyBorder="1"/>
    <xf numFmtId="0" fontId="26" fillId="0" borderId="0" xfId="54"/>
    <xf numFmtId="0" fontId="26" fillId="45" borderId="0" xfId="54" quotePrefix="1" applyFill="1"/>
    <xf numFmtId="0" fontId="26" fillId="45" borderId="21" xfId="54" quotePrefix="1" applyFill="1" applyBorder="1"/>
    <xf numFmtId="0" fontId="26" fillId="37" borderId="0" xfId="54" quotePrefix="1" applyFill="1"/>
    <xf numFmtId="0" fontId="26" fillId="37" borderId="21" xfId="54" quotePrefix="1" applyFill="1" applyBorder="1"/>
    <xf numFmtId="0" fontId="26" fillId="46" borderId="0" xfId="54" quotePrefix="1" applyFill="1"/>
    <xf numFmtId="0" fontId="26" fillId="46" borderId="21" xfId="54" quotePrefix="1" applyFill="1" applyBorder="1"/>
    <xf numFmtId="10" fontId="8" fillId="0" borderId="2" xfId="60" applyNumberFormat="1" applyBorder="1" applyAlignment="1"/>
    <xf numFmtId="168" fontId="0" fillId="0" borderId="0" xfId="0" applyNumberFormat="1" applyAlignment="1">
      <alignment horizontal="right"/>
    </xf>
    <xf numFmtId="168" fontId="0" fillId="0" borderId="0" xfId="0" applyNumberFormat="1"/>
    <xf numFmtId="168" fontId="2" fillId="0" borderId="0" xfId="53" applyNumberFormat="1"/>
    <xf numFmtId="168" fontId="1" fillId="5" borderId="0" xfId="0" applyNumberFormat="1" applyFont="1" applyFill="1"/>
    <xf numFmtId="10" fontId="8" fillId="4" borderId="2" xfId="55" applyNumberFormat="1" applyBorder="1">
      <alignment vertical="top"/>
    </xf>
    <xf numFmtId="0" fontId="0" fillId="47" borderId="0" xfId="0" applyFill="1" applyBorder="1"/>
    <xf numFmtId="0" fontId="7" fillId="0" borderId="0" xfId="50" applyFill="1" applyAlignment="1" applyProtection="1">
      <alignment vertical="top" wrapText="1"/>
    </xf>
    <xf numFmtId="0" fontId="0" fillId="0" borderId="0" xfId="0" applyFont="1" applyAlignment="1" applyProtection="1">
      <alignment vertical="center"/>
    </xf>
    <xf numFmtId="0" fontId="0" fillId="0" borderId="0" xfId="0" applyProtection="1"/>
    <xf numFmtId="166" fontId="35" fillId="0" borderId="0" xfId="52" applyNumberFormat="1" applyBorder="1" applyAlignment="1" applyProtection="1">
      <alignment horizontal="left" vertical="center"/>
    </xf>
    <xf numFmtId="0" fontId="0" fillId="0" borderId="0" xfId="0" applyFont="1" applyAlignment="1" applyProtection="1">
      <alignment vertical="center" wrapText="1"/>
    </xf>
    <xf numFmtId="0" fontId="0" fillId="0" borderId="0" xfId="0" applyAlignment="1" applyProtection="1"/>
    <xf numFmtId="166" fontId="35" fillId="0" borderId="0" xfId="52" applyNumberFormat="1" applyBorder="1" applyAlignment="1">
      <alignment horizontal="left" vertical="center"/>
    </xf>
    <xf numFmtId="0" fontId="35" fillId="0" borderId="0" xfId="52" applyNumberFormat="1" applyBorder="1" applyAlignment="1">
      <alignment horizontal="left" vertical="center"/>
    </xf>
    <xf numFmtId="0" fontId="22" fillId="37" borderId="0" xfId="48" applyAlignment="1">
      <alignment vertical="top"/>
    </xf>
    <xf numFmtId="0" fontId="37" fillId="0" borderId="0" xfId="0" applyNumberFormat="1" applyFont="1" applyBorder="1" applyAlignment="1" applyProtection="1">
      <alignment horizontal="left" indent="1"/>
    </xf>
    <xf numFmtId="0" fontId="0" fillId="0" borderId="0" xfId="0" applyNumberFormat="1" applyBorder="1" applyAlignment="1" applyProtection="1">
      <alignment horizontal="left"/>
    </xf>
    <xf numFmtId="0" fontId="0" fillId="0" borderId="0" xfId="0" applyNumberFormat="1" applyBorder="1" applyAlignment="1" applyProtection="1">
      <alignment horizontal="right"/>
    </xf>
    <xf numFmtId="171" fontId="35" fillId="0" borderId="2" xfId="52" applyNumberFormat="1" applyBorder="1" applyAlignment="1">
      <alignment horizontal="right"/>
    </xf>
    <xf numFmtId="171" fontId="0" fillId="0" borderId="2" xfId="0" applyNumberFormat="1" applyFont="1" applyBorder="1" applyAlignment="1">
      <alignment horizontal="right"/>
    </xf>
    <xf numFmtId="171" fontId="35" fillId="0" borderId="0" xfId="52" applyNumberFormat="1" applyBorder="1" applyAlignment="1">
      <alignment horizontal="right"/>
    </xf>
    <xf numFmtId="171" fontId="0" fillId="0" borderId="0" xfId="0" applyNumberFormat="1" applyFont="1" applyBorder="1" applyAlignment="1">
      <alignment horizontal="right"/>
    </xf>
    <xf numFmtId="171" fontId="35" fillId="0" borderId="3" xfId="52" applyNumberFormat="1" applyBorder="1" applyAlignment="1">
      <alignment horizontal="right"/>
    </xf>
    <xf numFmtId="171" fontId="0" fillId="0" borderId="3" xfId="0" applyNumberFormat="1" applyFont="1" applyBorder="1" applyAlignment="1">
      <alignment horizontal="right"/>
    </xf>
    <xf numFmtId="171" fontId="0" fillId="0" borderId="0" xfId="0" applyNumberFormat="1" applyAlignment="1">
      <alignment horizontal="right"/>
    </xf>
    <xf numFmtId="171" fontId="8" fillId="4" borderId="2" xfId="55" applyNumberFormat="1" applyBorder="1">
      <alignment vertical="top"/>
    </xf>
    <xf numFmtId="171" fontId="8" fillId="4" borderId="0" xfId="55" applyNumberFormat="1" applyBorder="1">
      <alignment vertical="top"/>
    </xf>
    <xf numFmtId="171" fontId="8" fillId="4" borderId="3" xfId="55" applyNumberFormat="1" applyBorder="1">
      <alignment vertical="top"/>
    </xf>
    <xf numFmtId="171" fontId="22" fillId="37" borderId="0" xfId="48" applyNumberFormat="1" applyAlignment="1">
      <alignment horizontal="right"/>
    </xf>
    <xf numFmtId="171" fontId="22" fillId="37" borderId="0" xfId="48" applyNumberFormat="1"/>
    <xf numFmtId="171" fontId="0" fillId="0" borderId="0" xfId="0" applyNumberFormat="1" applyFont="1" applyAlignment="1">
      <alignment horizontal="right"/>
    </xf>
    <xf numFmtId="171" fontId="8" fillId="4" borderId="2" xfId="55" applyNumberFormat="1" applyBorder="1" applyAlignment="1">
      <alignment horizontal="right" vertical="top"/>
    </xf>
    <xf numFmtId="171" fontId="0" fillId="0" borderId="2" xfId="0" applyNumberFormat="1" applyBorder="1" applyAlignment="1">
      <alignment horizontal="right"/>
    </xf>
    <xf numFmtId="171" fontId="8" fillId="4" borderId="0" xfId="55" applyNumberFormat="1" applyBorder="1" applyAlignment="1">
      <alignment horizontal="right" vertical="top"/>
    </xf>
    <xf numFmtId="171" fontId="8" fillId="0" borderId="0" xfId="60" applyNumberFormat="1" applyBorder="1" applyAlignment="1">
      <alignment horizontal="right"/>
    </xf>
    <xf numFmtId="171" fontId="8" fillId="0" borderId="3" xfId="60" applyNumberFormat="1" applyBorder="1" applyAlignment="1">
      <alignment horizontal="right"/>
    </xf>
    <xf numFmtId="171" fontId="0" fillId="0" borderId="0" xfId="0" applyNumberFormat="1" applyBorder="1" applyAlignment="1">
      <alignment horizontal="right"/>
    </xf>
    <xf numFmtId="171" fontId="8" fillId="4" borderId="3" xfId="55" applyNumberFormat="1" applyBorder="1" applyAlignment="1">
      <alignment horizontal="right" vertical="top"/>
    </xf>
    <xf numFmtId="171" fontId="0" fillId="0" borderId="3" xfId="0" applyNumberFormat="1" applyBorder="1" applyAlignment="1">
      <alignment horizontal="right"/>
    </xf>
    <xf numFmtId="171" fontId="0" fillId="0" borderId="0" xfId="0" applyNumberFormat="1"/>
    <xf numFmtId="171" fontId="8" fillId="0" borderId="2" xfId="60" applyNumberFormat="1" applyBorder="1" applyAlignment="1">
      <alignment horizontal="right"/>
    </xf>
    <xf numFmtId="171" fontId="35" fillId="0" borderId="2" xfId="52" applyNumberFormat="1" applyBorder="1"/>
    <xf numFmtId="171" fontId="0" fillId="0" borderId="2" xfId="0" applyNumberFormat="1" applyFont="1" applyBorder="1" applyAlignment="1">
      <alignment horizontal="left"/>
    </xf>
    <xf numFmtId="171" fontId="35" fillId="0" borderId="0" xfId="52" applyNumberFormat="1" applyBorder="1"/>
    <xf numFmtId="171" fontId="0" fillId="0" borderId="0" xfId="0" applyNumberFormat="1" applyFont="1" applyBorder="1" applyAlignment="1">
      <alignment horizontal="left"/>
    </xf>
    <xf numFmtId="171" fontId="35" fillId="0" borderId="3" xfId="52" applyNumberFormat="1" applyBorder="1"/>
    <xf numFmtId="171" fontId="0" fillId="0" borderId="3" xfId="0" applyNumberFormat="1" applyFont="1" applyBorder="1" applyAlignment="1">
      <alignment horizontal="left"/>
    </xf>
    <xf numFmtId="171" fontId="22" fillId="0" borderId="0" xfId="0" applyNumberFormat="1" applyFont="1" applyBorder="1" applyAlignment="1">
      <alignment horizontal="left"/>
    </xf>
    <xf numFmtId="171" fontId="0" fillId="0" borderId="0" xfId="0" applyNumberFormat="1" applyFont="1" applyAlignment="1">
      <alignment horizontal="left"/>
    </xf>
    <xf numFmtId="171" fontId="0" fillId="0" borderId="0" xfId="0" applyNumberFormat="1" applyFont="1" applyBorder="1"/>
    <xf numFmtId="171" fontId="0" fillId="0" borderId="3" xfId="0" applyNumberFormat="1" applyFont="1" applyBorder="1"/>
    <xf numFmtId="171" fontId="8" fillId="0" borderId="0" xfId="60" applyNumberFormat="1" applyBorder="1" applyAlignment="1"/>
    <xf numFmtId="171" fontId="22" fillId="0" borderId="0" xfId="0" applyNumberFormat="1" applyFont="1" applyBorder="1"/>
    <xf numFmtId="171" fontId="0" fillId="0" borderId="2" xfId="0" applyNumberFormat="1" applyFont="1" applyBorder="1"/>
    <xf numFmtId="171" fontId="8" fillId="0" borderId="2" xfId="60" applyNumberFormat="1" applyBorder="1" applyAlignment="1"/>
    <xf numFmtId="171" fontId="8" fillId="0" borderId="3" xfId="60" applyNumberFormat="1" applyBorder="1" applyAlignment="1"/>
    <xf numFmtId="171" fontId="8" fillId="0" borderId="1" xfId="60" applyNumberFormat="1" applyBorder="1" applyAlignment="1"/>
    <xf numFmtId="171" fontId="8" fillId="0" borderId="4" xfId="60" applyNumberFormat="1" applyBorder="1" applyAlignment="1"/>
    <xf numFmtId="171" fontId="0" fillId="0" borderId="3" xfId="0" applyNumberFormat="1" applyBorder="1"/>
    <xf numFmtId="171" fontId="34" fillId="0" borderId="2" xfId="56" applyNumberFormat="1" applyBorder="1"/>
    <xf numFmtId="171" fontId="34" fillId="0" borderId="0" xfId="56" applyNumberFormat="1"/>
    <xf numFmtId="171" fontId="34" fillId="0" borderId="3" xfId="56" applyNumberFormat="1" applyBorder="1"/>
    <xf numFmtId="171" fontId="8" fillId="0" borderId="0" xfId="60" applyNumberFormat="1" applyAlignment="1"/>
    <xf numFmtId="171" fontId="0" fillId="0" borderId="0" xfId="0" applyNumberFormat="1" applyAlignment="1">
      <alignment vertical="top"/>
    </xf>
    <xf numFmtId="171" fontId="0" fillId="0" borderId="2" xfId="0" applyNumberFormat="1" applyBorder="1"/>
    <xf numFmtId="171" fontId="0" fillId="5" borderId="0" xfId="0" applyNumberFormat="1" applyFill="1"/>
    <xf numFmtId="171" fontId="8" fillId="4" borderId="0" xfId="55" applyNumberFormat="1">
      <alignment vertical="top"/>
    </xf>
    <xf numFmtId="171" fontId="0" fillId="0" borderId="4" xfId="0" applyNumberFormat="1" applyBorder="1"/>
    <xf numFmtId="171" fontId="1" fillId="5" borderId="0" xfId="49" applyNumberFormat="1"/>
    <xf numFmtId="171" fontId="22" fillId="37" borderId="0" xfId="48" applyNumberFormat="1" applyAlignment="1">
      <alignment vertical="top"/>
    </xf>
    <xf numFmtId="171" fontId="34" fillId="0" borderId="2" xfId="56" applyNumberFormat="1" applyBorder="1" applyAlignment="1">
      <alignment horizontal="right"/>
    </xf>
    <xf numFmtId="171" fontId="34" fillId="0" borderId="3" xfId="56" applyNumberFormat="1" applyBorder="1" applyAlignment="1">
      <alignment horizontal="right"/>
    </xf>
    <xf numFmtId="171" fontId="23" fillId="0" borderId="0" xfId="0" applyNumberFormat="1" applyFont="1" applyAlignment="1">
      <alignment horizontal="right"/>
    </xf>
    <xf numFmtId="171" fontId="8" fillId="0" borderId="4" xfId="60" applyNumberFormat="1" applyBorder="1" applyAlignment="1">
      <alignment horizontal="right"/>
    </xf>
    <xf numFmtId="171" fontId="8" fillId="39" borderId="2" xfId="65" applyNumberFormat="1" applyFont="1" applyBorder="1" applyAlignment="1">
      <alignment horizontal="right"/>
    </xf>
    <xf numFmtId="171" fontId="7" fillId="0" borderId="2" xfId="0" applyNumberFormat="1" applyFont="1" applyBorder="1" applyAlignment="1">
      <alignment horizontal="right"/>
    </xf>
    <xf numFmtId="171" fontId="7" fillId="0" borderId="0" xfId="0" applyNumberFormat="1" applyFont="1" applyBorder="1" applyAlignment="1">
      <alignment horizontal="right"/>
    </xf>
    <xf numFmtId="171" fontId="8" fillId="39" borderId="3" xfId="65" applyNumberFormat="1" applyFont="1" applyBorder="1" applyAlignment="1">
      <alignment horizontal="right"/>
    </xf>
    <xf numFmtId="171" fontId="7" fillId="0" borderId="3" xfId="0" applyNumberFormat="1" applyFont="1" applyBorder="1" applyAlignment="1">
      <alignment horizontal="right"/>
    </xf>
    <xf numFmtId="171" fontId="7" fillId="0" borderId="0" xfId="0" applyNumberFormat="1" applyFont="1" applyAlignment="1">
      <alignment horizontal="right"/>
    </xf>
    <xf numFmtId="0" fontId="0" fillId="0" borderId="0" xfId="0"/>
    <xf numFmtId="0" fontId="26" fillId="48" borderId="0" xfId="54" quotePrefix="1" applyFill="1"/>
    <xf numFmtId="0" fontId="26" fillId="48" borderId="21" xfId="54" quotePrefix="1" applyFill="1" applyBorder="1"/>
    <xf numFmtId="0" fontId="29" fillId="3" borderId="0" xfId="1" applyNumberFormat="1" applyFont="1" applyAlignment="1">
      <alignment horizontal="left"/>
    </xf>
    <xf numFmtId="170" fontId="34" fillId="0" borderId="2" xfId="56" applyNumberFormat="1" applyBorder="1"/>
    <xf numFmtId="0" fontId="8" fillId="0" borderId="4" xfId="0" applyFont="1" applyBorder="1"/>
    <xf numFmtId="0" fontId="36" fillId="0" borderId="0" xfId="58" applyAlignment="1">
      <alignment horizontal="left"/>
    </xf>
    <xf numFmtId="172" fontId="8" fillId="0" borderId="4" xfId="60" applyNumberFormat="1" applyBorder="1" applyAlignment="1"/>
    <xf numFmtId="10" fontId="35" fillId="0" borderId="0" xfId="52" applyNumberFormat="1" applyBorder="1"/>
    <xf numFmtId="172" fontId="8" fillId="0" borderId="1" xfId="60" applyNumberFormat="1" applyBorder="1" applyAlignment="1"/>
    <xf numFmtId="172" fontId="8" fillId="0" borderId="2" xfId="60" applyNumberFormat="1" applyBorder="1" applyAlignment="1"/>
    <xf numFmtId="172" fontId="8" fillId="0" borderId="0" xfId="60" applyNumberFormat="1" applyBorder="1" applyAlignment="1"/>
    <xf numFmtId="0" fontId="0" fillId="0" borderId="4" xfId="0" applyBorder="1" applyAlignment="1">
      <alignment horizontal="right"/>
    </xf>
    <xf numFmtId="9" fontId="8" fillId="0" borderId="4" xfId="60" applyNumberFormat="1" applyBorder="1" applyAlignment="1">
      <alignment horizontal="right"/>
    </xf>
    <xf numFmtId="9" fontId="8" fillId="4" borderId="4" xfId="55" applyNumberFormat="1" applyBorder="1" applyAlignment="1">
      <alignment horizontal="right" vertical="top"/>
    </xf>
    <xf numFmtId="9" fontId="8" fillId="0" borderId="3" xfId="60" applyNumberFormat="1" applyBorder="1" applyAlignment="1">
      <alignment horizontal="right"/>
    </xf>
    <xf numFmtId="0" fontId="29" fillId="3" borderId="0" xfId="1" applyNumberFormat="1" applyFont="1" applyAlignment="1">
      <alignment horizontal="right"/>
    </xf>
    <xf numFmtId="3" fontId="35" fillId="0" borderId="0" xfId="52" applyNumberFormat="1" applyBorder="1"/>
    <xf numFmtId="9" fontId="35" fillId="0" borderId="0" xfId="52" applyNumberFormat="1" applyBorder="1" applyAlignment="1">
      <alignment vertical="top"/>
    </xf>
    <xf numFmtId="0" fontId="8" fillId="0" borderId="4" xfId="0" applyFont="1" applyFill="1" applyBorder="1"/>
    <xf numFmtId="0" fontId="8" fillId="2" borderId="0" xfId="51" applyNumberFormat="1" applyBorder="1" applyAlignment="1" applyProtection="1">
      <alignment horizontal="left" vertical="top" wrapText="1"/>
      <protection locked="0"/>
    </xf>
    <xf numFmtId="0" fontId="7" fillId="38" borderId="0" xfId="59" applyBorder="1" applyAlignment="1" applyProtection="1">
      <protection locked="0"/>
    </xf>
    <xf numFmtId="0" fontId="8" fillId="2" borderId="0" xfId="51" applyBorder="1" applyProtection="1">
      <protection locked="0"/>
    </xf>
    <xf numFmtId="0" fontId="8" fillId="39" borderId="0" xfId="51" applyFill="1" applyBorder="1" applyProtection="1">
      <protection locked="0"/>
    </xf>
    <xf numFmtId="166" fontId="8" fillId="2" borderId="0" xfId="51" applyNumberFormat="1" applyBorder="1" applyAlignment="1" applyProtection="1">
      <alignment horizontal="left" vertical="top" wrapText="1"/>
      <protection locked="0"/>
    </xf>
    <xf numFmtId="0" fontId="8" fillId="2" borderId="0" xfId="51" applyNumberFormat="1" applyBorder="1" applyProtection="1">
      <protection locked="0"/>
    </xf>
    <xf numFmtId="0" fontId="8" fillId="2" borderId="0" xfId="51" applyFont="1" applyProtection="1">
      <protection locked="0"/>
    </xf>
    <xf numFmtId="0" fontId="8" fillId="2" borderId="2" xfId="51" applyBorder="1" applyAlignment="1" applyProtection="1">
      <alignment horizontal="right"/>
      <protection locked="0"/>
    </xf>
    <xf numFmtId="0" fontId="8" fillId="2" borderId="0" xfId="51" applyBorder="1" applyAlignment="1" applyProtection="1">
      <alignment horizontal="right"/>
      <protection locked="0"/>
    </xf>
    <xf numFmtId="0" fontId="8" fillId="2" borderId="3" xfId="51" applyBorder="1" applyAlignment="1" applyProtection="1">
      <alignment horizontal="right"/>
      <protection locked="0"/>
    </xf>
    <xf numFmtId="9" fontId="8" fillId="2" borderId="2" xfId="51" applyNumberFormat="1" applyBorder="1" applyAlignment="1" applyProtection="1">
      <alignment horizontal="right"/>
      <protection locked="0"/>
    </xf>
    <xf numFmtId="9" fontId="8" fillId="2" borderId="0" xfId="51" applyNumberFormat="1" applyBorder="1" applyAlignment="1" applyProtection="1">
      <alignment horizontal="right"/>
      <protection locked="0"/>
    </xf>
    <xf numFmtId="9" fontId="8" fillId="2" borderId="3" xfId="51" applyNumberFormat="1" applyBorder="1" applyAlignment="1" applyProtection="1">
      <alignment horizontal="right"/>
      <protection locked="0"/>
    </xf>
    <xf numFmtId="0" fontId="7" fillId="38" borderId="2" xfId="59" applyBorder="1" applyAlignment="1" applyProtection="1">
      <alignment horizontal="left"/>
      <protection locked="0"/>
    </xf>
    <xf numFmtId="0" fontId="7" fillId="38" borderId="0" xfId="59" applyBorder="1" applyAlignment="1" applyProtection="1">
      <alignment horizontal="left"/>
      <protection locked="0"/>
    </xf>
    <xf numFmtId="0" fontId="7" fillId="38" borderId="3" xfId="59" applyBorder="1" applyAlignment="1" applyProtection="1">
      <alignment horizontal="left"/>
      <protection locked="0"/>
    </xf>
    <xf numFmtId="171" fontId="8" fillId="2" borderId="2" xfId="51" applyNumberFormat="1" applyBorder="1" applyAlignment="1" applyProtection="1">
      <alignment horizontal="right"/>
      <protection locked="0"/>
    </xf>
    <xf numFmtId="171" fontId="8" fillId="2" borderId="0" xfId="51" applyNumberFormat="1" applyBorder="1" applyAlignment="1" applyProtection="1">
      <alignment horizontal="right"/>
      <protection locked="0"/>
    </xf>
    <xf numFmtId="171" fontId="8" fillId="2" borderId="3" xfId="51" applyNumberFormat="1" applyBorder="1" applyAlignment="1" applyProtection="1">
      <alignment horizontal="right"/>
      <protection locked="0"/>
    </xf>
    <xf numFmtId="171" fontId="8" fillId="2" borderId="2" xfId="51" applyNumberFormat="1" applyBorder="1" applyProtection="1">
      <protection locked="0"/>
    </xf>
    <xf numFmtId="171" fontId="8" fillId="2" borderId="0" xfId="51" applyNumberFormat="1" applyBorder="1" applyProtection="1">
      <protection locked="0"/>
    </xf>
    <xf numFmtId="171" fontId="8" fillId="2" borderId="3" xfId="51" applyNumberFormat="1" applyBorder="1" applyProtection="1">
      <protection locked="0"/>
    </xf>
    <xf numFmtId="10" fontId="8" fillId="2" borderId="0" xfId="51" applyNumberFormat="1" applyBorder="1" applyProtection="1">
      <protection locked="0"/>
    </xf>
    <xf numFmtId="0" fontId="7" fillId="38" borderId="2" xfId="59" applyBorder="1" applyAlignment="1" applyProtection="1">
      <protection locked="0"/>
    </xf>
    <xf numFmtId="0" fontId="7" fillId="38" borderId="3" xfId="59" applyBorder="1" applyAlignment="1" applyProtection="1">
      <protection locked="0"/>
    </xf>
    <xf numFmtId="9" fontId="7" fillId="38" borderId="3" xfId="59" applyNumberFormat="1" applyBorder="1" applyAlignment="1" applyProtection="1">
      <protection locked="0"/>
    </xf>
    <xf numFmtId="0" fontId="7" fillId="38" borderId="0" xfId="59" applyAlignment="1" applyProtection="1">
      <protection locked="0"/>
    </xf>
    <xf numFmtId="171" fontId="8" fillId="39" borderId="2" xfId="65" applyNumberFormat="1" applyFont="1" applyBorder="1" applyAlignment="1" applyProtection="1">
      <alignment horizontal="right"/>
      <protection locked="0"/>
    </xf>
    <xf numFmtId="171" fontId="8" fillId="39" borderId="0" xfId="65" applyNumberFormat="1" applyFont="1" applyBorder="1" applyAlignment="1" applyProtection="1">
      <alignment horizontal="right"/>
      <protection locked="0"/>
    </xf>
    <xf numFmtId="171" fontId="8" fillId="39" borderId="3" xfId="65" applyNumberFormat="1" applyFont="1" applyBorder="1" applyAlignment="1" applyProtection="1">
      <alignment horizontal="right"/>
      <protection locked="0"/>
    </xf>
    <xf numFmtId="171" fontId="7" fillId="0" borderId="0" xfId="0" applyNumberFormat="1" applyFont="1" applyAlignment="1" applyProtection="1">
      <alignment horizontal="right"/>
      <protection locked="0"/>
    </xf>
    <xf numFmtId="171" fontId="8" fillId="4" borderId="3" xfId="55" applyNumberFormat="1" applyBorder="1" applyProtection="1">
      <alignment vertical="top"/>
      <protection locked="0"/>
    </xf>
    <xf numFmtId="171" fontId="8" fillId="4" borderId="0" xfId="55" applyNumberFormat="1" applyBorder="1" applyProtection="1">
      <alignment vertical="top"/>
    </xf>
    <xf numFmtId="171" fontId="8" fillId="4" borderId="2" xfId="55" applyNumberFormat="1" applyBorder="1" applyProtection="1">
      <alignment vertical="top"/>
    </xf>
    <xf numFmtId="173" fontId="0" fillId="0" borderId="2" xfId="0" applyNumberFormat="1" applyBorder="1"/>
    <xf numFmtId="173" fontId="35" fillId="0" borderId="2" xfId="52" applyNumberFormat="1" applyBorder="1"/>
    <xf numFmtId="173" fontId="0" fillId="0" borderId="0" xfId="0" applyNumberFormat="1"/>
    <xf numFmtId="173" fontId="35" fillId="0" borderId="0" xfId="52" applyNumberFormat="1" applyBorder="1"/>
    <xf numFmtId="173" fontId="0" fillId="0" borderId="3" xfId="0" applyNumberFormat="1" applyBorder="1"/>
    <xf numFmtId="173" fontId="35" fillId="0" borderId="3" xfId="52" applyNumberFormat="1" applyBorder="1"/>
    <xf numFmtId="173" fontId="35" fillId="0" borderId="2" xfId="52" applyNumberFormat="1" applyBorder="1" applyAlignment="1">
      <alignment horizontal="right"/>
    </xf>
    <xf numFmtId="173" fontId="35" fillId="0" borderId="0" xfId="52" applyNumberFormat="1" applyBorder="1" applyAlignment="1">
      <alignment horizontal="right"/>
    </xf>
    <xf numFmtId="173" fontId="35" fillId="0" borderId="3" xfId="52" applyNumberFormat="1" applyBorder="1" applyAlignment="1">
      <alignment horizontal="right"/>
    </xf>
    <xf numFmtId="173" fontId="8" fillId="4" borderId="3" xfId="55" applyNumberFormat="1" applyBorder="1">
      <alignment vertical="top"/>
    </xf>
    <xf numFmtId="173" fontId="35" fillId="0" borderId="3" xfId="52" applyNumberFormat="1" applyBorder="1" applyAlignment="1">
      <alignment vertical="top"/>
    </xf>
    <xf numFmtId="173" fontId="34" fillId="0" borderId="2" xfId="56" applyNumberFormat="1" applyBorder="1"/>
    <xf numFmtId="173" fontId="8" fillId="4" borderId="2" xfId="55" applyNumberFormat="1" applyBorder="1">
      <alignment vertical="top"/>
    </xf>
    <xf numFmtId="173" fontId="8" fillId="0" borderId="2" xfId="60" applyNumberFormat="1" applyBorder="1" applyAlignment="1"/>
    <xf numFmtId="173" fontId="34" fillId="0" borderId="3" xfId="56" applyNumberFormat="1" applyBorder="1"/>
    <xf numFmtId="173" fontId="8" fillId="0" borderId="3" xfId="60" applyNumberFormat="1" applyBorder="1" applyAlignment="1"/>
    <xf numFmtId="166" fontId="0" fillId="2" borderId="0" xfId="51" applyNumberFormat="1" applyFont="1" applyBorder="1" applyAlignment="1" applyProtection="1">
      <alignment horizontal="left" vertical="top" wrapText="1"/>
      <protection locked="0"/>
    </xf>
    <xf numFmtId="0" fontId="8" fillId="2" borderId="0" xfId="51" applyFont="1" applyAlignment="1" applyProtection="1">
      <alignment wrapText="1"/>
      <protection locked="0"/>
    </xf>
    <xf numFmtId="0" fontId="0" fillId="0" borderId="0" xfId="0" applyFont="1" applyAlignment="1" applyProtection="1">
      <alignment vertical="center"/>
    </xf>
    <xf numFmtId="0" fontId="37" fillId="0" borderId="0" xfId="0" applyFont="1" applyAlignment="1">
      <alignment horizontal="left" indent="1"/>
    </xf>
    <xf numFmtId="49" fontId="33" fillId="3" borderId="0" xfId="1" applyFont="1" applyAlignment="1">
      <alignment horizontal="left" vertical="center"/>
    </xf>
    <xf numFmtId="49" fontId="1" fillId="3" borderId="0" xfId="1">
      <alignment horizontal="left" vertical="center" wrapText="1"/>
    </xf>
    <xf numFmtId="9" fontId="7" fillId="38" borderId="0" xfId="59" applyNumberFormat="1" applyAlignment="1" applyProtection="1">
      <protection locked="0"/>
    </xf>
    <xf numFmtId="9" fontId="8" fillId="4" borderId="0" xfId="55" applyNumberFormat="1">
      <alignment vertical="top"/>
    </xf>
    <xf numFmtId="0" fontId="7" fillId="38" borderId="0" xfId="59" applyAlignment="1" applyProtection="1">
      <alignment horizontal="right"/>
      <protection locked="0"/>
    </xf>
    <xf numFmtId="9" fontId="7" fillId="38" borderId="0" xfId="59" applyNumberFormat="1" applyAlignment="1" applyProtection="1">
      <alignment horizontal="right"/>
      <protection locked="0"/>
    </xf>
    <xf numFmtId="0" fontId="8" fillId="0" borderId="0" xfId="60" applyNumberFormat="1" applyAlignment="1"/>
    <xf numFmtId="4" fontId="8" fillId="4" borderId="0" xfId="55" applyNumberFormat="1">
      <alignment vertical="top"/>
    </xf>
    <xf numFmtId="0" fontId="0" fillId="0" borderId="0" xfId="64" applyFont="1"/>
    <xf numFmtId="0" fontId="2" fillId="0" borderId="0" xfId="64" applyFont="1"/>
    <xf numFmtId="0" fontId="7" fillId="0" borderId="0" xfId="64" applyAlignment="1">
      <alignment horizontal="left"/>
    </xf>
    <xf numFmtId="171" fontId="8" fillId="0" borderId="0" xfId="64" applyNumberFormat="1" applyFont="1" applyAlignment="1">
      <alignment vertical="top"/>
    </xf>
    <xf numFmtId="171" fontId="8" fillId="0" borderId="0" xfId="64" applyNumberFormat="1" applyFont="1"/>
    <xf numFmtId="0" fontId="34" fillId="0" borderId="0" xfId="56" applyNumberFormat="1"/>
    <xf numFmtId="10" fontId="8" fillId="4" borderId="0" xfId="55" applyNumberFormat="1">
      <alignment vertical="top"/>
    </xf>
    <xf numFmtId="4" fontId="8" fillId="0" borderId="0" xfId="60" applyNumberFormat="1" applyAlignment="1"/>
    <xf numFmtId="49" fontId="1" fillId="3" borderId="0" xfId="1" applyAlignment="1">
      <alignment horizontal="right" vertical="center" wrapText="1"/>
    </xf>
    <xf numFmtId="10" fontId="34" fillId="0" borderId="0" xfId="56" applyNumberFormat="1"/>
    <xf numFmtId="9" fontId="0" fillId="0" borderId="0" xfId="0" applyNumberFormat="1" applyAlignment="1">
      <alignment vertical="top"/>
    </xf>
    <xf numFmtId="0" fontId="7" fillId="0" borderId="0" xfId="50" applyAlignment="1">
      <alignment wrapText="1"/>
    </xf>
    <xf numFmtId="10" fontId="0" fillId="0" borderId="0" xfId="0" applyNumberFormat="1" applyAlignment="1">
      <alignment vertical="top"/>
    </xf>
    <xf numFmtId="10" fontId="0" fillId="0" borderId="18" xfId="0" applyNumberFormat="1" applyBorder="1"/>
    <xf numFmtId="49" fontId="1" fillId="3" borderId="2" xfId="1" applyBorder="1" applyAlignment="1">
      <alignment horizontal="right" vertical="center" wrapText="1"/>
    </xf>
    <xf numFmtId="9" fontId="34" fillId="0" borderId="3" xfId="56" applyBorder="1"/>
    <xf numFmtId="9" fontId="8" fillId="0" borderId="0" xfId="60" applyNumberFormat="1" applyAlignment="1"/>
    <xf numFmtId="3" fontId="34" fillId="0" borderId="0" xfId="56" applyNumberFormat="1" applyAlignment="1">
      <alignment horizontal="right"/>
    </xf>
    <xf numFmtId="4" fontId="34" fillId="0" borderId="0" xfId="56" applyNumberFormat="1"/>
    <xf numFmtId="172" fontId="34" fillId="0" borderId="0" xfId="56" applyNumberFormat="1"/>
    <xf numFmtId="172" fontId="8" fillId="4" borderId="0" xfId="55" applyNumberFormat="1">
      <alignment vertical="top"/>
    </xf>
    <xf numFmtId="9" fontId="7" fillId="0" borderId="0" xfId="50" applyNumberFormat="1"/>
    <xf numFmtId="0" fontId="34" fillId="0" borderId="0" xfId="56" applyNumberFormat="1" applyAlignment="1">
      <alignment horizontal="right"/>
    </xf>
    <xf numFmtId="0" fontId="5" fillId="0" borderId="0" xfId="0" applyFont="1" applyAlignment="1">
      <alignment horizontal="right"/>
    </xf>
    <xf numFmtId="165" fontId="0" fillId="0" borderId="0" xfId="0" applyNumberFormat="1"/>
    <xf numFmtId="3" fontId="34" fillId="0" borderId="0" xfId="56" applyNumberFormat="1"/>
    <xf numFmtId="165" fontId="8" fillId="0" borderId="0" xfId="60" applyNumberFormat="1" applyAlignment="1"/>
    <xf numFmtId="49" fontId="7" fillId="0" borderId="0" xfId="50" applyNumberFormat="1" applyAlignment="1">
      <alignment wrapText="1"/>
    </xf>
    <xf numFmtId="164" fontId="8" fillId="4" borderId="0" xfId="55">
      <alignment vertical="top"/>
    </xf>
    <xf numFmtId="165" fontId="34" fillId="0" borderId="0" xfId="56" applyNumberFormat="1"/>
    <xf numFmtId="165" fontId="8" fillId="4" borderId="0" xfId="55" applyNumberFormat="1">
      <alignment vertical="top"/>
    </xf>
    <xf numFmtId="171" fontId="8" fillId="0" borderId="0" xfId="60" applyNumberFormat="1" applyAlignment="1">
      <alignment vertical="center"/>
    </xf>
    <xf numFmtId="4" fontId="4" fillId="0" borderId="0" xfId="0" applyNumberFormat="1" applyFont="1" applyAlignment="1">
      <alignment vertical="top"/>
    </xf>
    <xf numFmtId="3" fontId="8" fillId="0" borderId="0" xfId="60" applyAlignment="1"/>
    <xf numFmtId="3" fontId="8" fillId="4" borderId="0" xfId="55" applyNumberFormat="1">
      <alignment vertical="top"/>
    </xf>
    <xf numFmtId="49" fontId="0" fillId="0" borderId="2" xfId="50" applyNumberFormat="1" applyFont="1" applyBorder="1"/>
    <xf numFmtId="49" fontId="7" fillId="0" borderId="0" xfId="50" applyNumberFormat="1"/>
    <xf numFmtId="171" fontId="34" fillId="0" borderId="0" xfId="56" applyNumberFormat="1" applyAlignment="1">
      <alignment horizontal="right"/>
    </xf>
    <xf numFmtId="49" fontId="7" fillId="0" borderId="3" xfId="50" applyNumberFormat="1" applyBorder="1"/>
    <xf numFmtId="171" fontId="8" fillId="4" borderId="0" xfId="55" applyNumberFormat="1" applyAlignment="1">
      <alignment horizontal="right" vertical="top"/>
    </xf>
    <xf numFmtId="3" fontId="8" fillId="0" borderId="0" xfId="60" applyAlignment="1">
      <alignment horizontal="right"/>
    </xf>
    <xf numFmtId="173" fontId="34" fillId="0" borderId="0" xfId="56" applyNumberFormat="1"/>
    <xf numFmtId="173" fontId="8" fillId="0" borderId="0" xfId="60" applyNumberFormat="1" applyAlignment="1"/>
    <xf numFmtId="173" fontId="8" fillId="4" borderId="0" xfId="55" applyNumberFormat="1">
      <alignment vertical="top"/>
    </xf>
    <xf numFmtId="0" fontId="1" fillId="0" borderId="0" xfId="0" applyFont="1"/>
    <xf numFmtId="0" fontId="0" fillId="0" borderId="0" xfId="0" applyAlignment="1">
      <alignment horizontal="left" vertical="center" wrapText="1"/>
    </xf>
    <xf numFmtId="9" fontId="34" fillId="0" borderId="4" xfId="56" applyBorder="1"/>
    <xf numFmtId="174" fontId="0" fillId="0" borderId="0" xfId="0" applyNumberFormat="1"/>
    <xf numFmtId="0" fontId="7" fillId="0" borderId="0" xfId="64"/>
    <xf numFmtId="171" fontId="34" fillId="0" borderId="0" xfId="64" applyNumberFormat="1" applyFont="1"/>
    <xf numFmtId="171" fontId="8" fillId="0" borderId="0" xfId="60" applyNumberFormat="1" applyAlignment="1">
      <alignment horizontal="right"/>
    </xf>
    <xf numFmtId="4" fontId="8" fillId="0" borderId="0" xfId="60" applyNumberFormat="1" applyAlignment="1">
      <alignment horizontal="right"/>
    </xf>
    <xf numFmtId="10" fontId="8" fillId="0" borderId="0" xfId="60" applyNumberFormat="1" applyAlignment="1">
      <alignment horizontal="right"/>
    </xf>
    <xf numFmtId="171" fontId="34" fillId="0" borderId="4" xfId="56" applyNumberFormat="1" applyBorder="1"/>
    <xf numFmtId="171" fontId="8" fillId="4" borderId="4" xfId="55" applyNumberFormat="1" applyBorder="1">
      <alignment vertical="top"/>
    </xf>
    <xf numFmtId="9" fontId="8" fillId="4" borderId="3" xfId="55" applyNumberFormat="1" applyBorder="1" applyAlignment="1">
      <alignment horizontal="right" vertical="top"/>
    </xf>
    <xf numFmtId="9" fontId="0" fillId="0" borderId="2" xfId="0" applyNumberFormat="1" applyBorder="1" applyAlignment="1">
      <alignment horizontal="right"/>
    </xf>
    <xf numFmtId="9" fontId="8" fillId="0" borderId="0" xfId="60" applyNumberFormat="1" applyBorder="1" applyAlignment="1">
      <alignment horizontal="right"/>
    </xf>
    <xf numFmtId="9" fontId="0" fillId="0" borderId="0" xfId="0" applyNumberFormat="1" applyAlignment="1">
      <alignment horizontal="right"/>
    </xf>
    <xf numFmtId="9" fontId="22" fillId="37" borderId="0" xfId="48" applyNumberFormat="1"/>
    <xf numFmtId="173" fontId="8" fillId="39" borderId="2" xfId="65" applyNumberFormat="1" applyFont="1" applyBorder="1" applyAlignment="1" applyProtection="1">
      <alignment horizontal="right"/>
      <protection locked="0"/>
    </xf>
    <xf numFmtId="173" fontId="8" fillId="39" borderId="3" xfId="65" applyNumberFormat="1" applyFont="1" applyBorder="1" applyAlignment="1" applyProtection="1">
      <alignment horizontal="right"/>
      <protection locked="0"/>
    </xf>
    <xf numFmtId="173" fontId="7" fillId="0" borderId="0" xfId="0" applyNumberFormat="1" applyFont="1" applyAlignment="1" applyProtection="1">
      <alignment horizontal="right"/>
      <protection locked="0"/>
    </xf>
    <xf numFmtId="173" fontId="8" fillId="4" borderId="3" xfId="55" applyNumberFormat="1" applyBorder="1" applyProtection="1">
      <alignment vertical="top"/>
      <protection locked="0"/>
    </xf>
    <xf numFmtId="173" fontId="2" fillId="0" borderId="0" xfId="53" applyNumberFormat="1"/>
    <xf numFmtId="173" fontId="22" fillId="37" borderId="0" xfId="48" applyNumberFormat="1"/>
    <xf numFmtId="173" fontId="0" fillId="0" borderId="0" xfId="0" applyNumberFormat="1" applyAlignment="1">
      <alignment horizontal="right"/>
    </xf>
    <xf numFmtId="10" fontId="8" fillId="0" borderId="0" xfId="55" applyNumberFormat="1" applyFill="1">
      <alignment vertical="top"/>
    </xf>
    <xf numFmtId="175" fontId="8" fillId="0" borderId="2" xfId="60" applyNumberFormat="1" applyBorder="1" applyAlignment="1"/>
    <xf numFmtId="4" fontId="34" fillId="0" borderId="0" xfId="56" applyNumberFormat="1" applyAlignment="1">
      <alignment horizontal="right"/>
    </xf>
    <xf numFmtId="0" fontId="2" fillId="0" borderId="0" xfId="53" quotePrefix="1"/>
    <xf numFmtId="171" fontId="8" fillId="2" borderId="0" xfId="51" applyNumberFormat="1" applyBorder="1" applyAlignment="1">
      <alignment vertical="top"/>
      <protection locked="0"/>
    </xf>
    <xf numFmtId="171" fontId="8" fillId="2" borderId="3" xfId="51" applyNumberFormat="1" applyBorder="1" applyAlignment="1">
      <alignment vertical="top"/>
      <protection locked="0"/>
    </xf>
    <xf numFmtId="171" fontId="35" fillId="0" borderId="0" xfId="52" applyNumberFormat="1" applyBorder="1" applyAlignment="1">
      <alignment vertical="top"/>
    </xf>
    <xf numFmtId="171" fontId="35" fillId="0" borderId="3" xfId="52" applyNumberFormat="1" applyBorder="1" applyAlignment="1">
      <alignment vertical="top"/>
    </xf>
    <xf numFmtId="173" fontId="8" fillId="39" borderId="0" xfId="65" applyNumberFormat="1" applyFont="1" applyAlignment="1" applyProtection="1">
      <alignment horizontal="right"/>
      <protection locked="0"/>
    </xf>
    <xf numFmtId="171" fontId="8" fillId="39" borderId="0" xfId="65" applyNumberFormat="1" applyFont="1" applyAlignment="1" applyProtection="1">
      <alignment horizontal="right"/>
      <protection locked="0"/>
    </xf>
    <xf numFmtId="173" fontId="8" fillId="4" borderId="0" xfId="55" applyNumberFormat="1" applyProtection="1">
      <alignment vertical="top"/>
      <protection locked="0"/>
    </xf>
    <xf numFmtId="171" fontId="8" fillId="4" borderId="0" xfId="55" applyNumberFormat="1" applyProtection="1">
      <alignment vertical="top"/>
      <protection locked="0"/>
    </xf>
    <xf numFmtId="171" fontId="8" fillId="39" borderId="0" xfId="65" applyNumberFormat="1" applyFont="1" applyAlignment="1">
      <alignment horizontal="right"/>
    </xf>
    <xf numFmtId="0" fontId="7" fillId="38" borderId="2" xfId="59" applyBorder="1" applyAlignment="1"/>
    <xf numFmtId="0" fontId="7" fillId="38" borderId="3" xfId="59" applyBorder="1" applyAlignment="1"/>
    <xf numFmtId="166" fontId="8" fillId="2" borderId="0" xfId="51" applyNumberFormat="1" applyAlignment="1" applyProtection="1">
      <alignment horizontal="left" vertical="top" wrapText="1"/>
      <protection locked="0"/>
    </xf>
    <xf numFmtId="0" fontId="8" fillId="2" borderId="0" xfId="51" applyAlignment="1" applyProtection="1">
      <alignment horizontal="left" vertical="top" wrapText="1"/>
      <protection locked="0"/>
    </xf>
    <xf numFmtId="166" fontId="0" fillId="2" borderId="0" xfId="51" applyNumberFormat="1" applyFont="1" applyAlignment="1" applyProtection="1">
      <alignment horizontal="left" vertical="top" wrapText="1"/>
      <protection locked="0"/>
    </xf>
    <xf numFmtId="0" fontId="25" fillId="0" borderId="0" xfId="0" applyFont="1" applyAlignment="1">
      <alignment horizontal="left" vertical="center" wrapText="1"/>
    </xf>
    <xf numFmtId="171" fontId="8" fillId="2" borderId="2" xfId="51" applyNumberFormat="1" applyBorder="1">
      <protection locked="0"/>
    </xf>
    <xf numFmtId="171" fontId="8" fillId="2" borderId="0" xfId="51" applyNumberFormat="1" applyBorder="1">
      <protection locked="0"/>
    </xf>
    <xf numFmtId="0" fontId="7" fillId="0" borderId="0" xfId="53" applyFont="1" applyBorder="1"/>
    <xf numFmtId="173" fontId="8" fillId="0" borderId="0" xfId="60" applyNumberFormat="1" applyBorder="1" applyAlignment="1"/>
    <xf numFmtId="9" fontId="34" fillId="0" borderId="0" xfId="56" applyNumberFormat="1"/>
    <xf numFmtId="0" fontId="7" fillId="38" borderId="2" xfId="59" applyBorder="1" applyAlignment="1">
      <alignment horizontal="right"/>
    </xf>
    <xf numFmtId="0" fontId="7" fillId="38" borderId="0" xfId="59" applyBorder="1" applyAlignment="1">
      <alignment horizontal="right"/>
    </xf>
    <xf numFmtId="0" fontId="7" fillId="38" borderId="3" xfId="59" applyBorder="1" applyAlignment="1">
      <alignment horizontal="right"/>
    </xf>
    <xf numFmtId="0" fontId="7" fillId="38" borderId="0" xfId="59" applyBorder="1" applyAlignment="1"/>
    <xf numFmtId="0" fontId="36" fillId="0" borderId="0" xfId="58" applyAlignment="1">
      <alignment vertical="top"/>
    </xf>
    <xf numFmtId="9" fontId="8" fillId="0" borderId="2" xfId="60" applyNumberFormat="1" applyBorder="1" applyAlignment="1">
      <alignment horizontal="right"/>
    </xf>
    <xf numFmtId="171" fontId="34" fillId="0" borderId="0" xfId="56" applyNumberFormat="1" applyBorder="1"/>
    <xf numFmtId="171" fontId="8" fillId="0" borderId="0" xfId="60" applyNumberFormat="1" applyBorder="1" applyAlignment="1">
      <alignment vertical="top"/>
    </xf>
    <xf numFmtId="9" fontId="8" fillId="0" borderId="0" xfId="60" applyNumberFormat="1" applyBorder="1" applyAlignment="1"/>
    <xf numFmtId="9" fontId="8" fillId="0" borderId="0" xfId="60" applyNumberFormat="1" applyBorder="1" applyAlignment="1">
      <alignment vertical="top"/>
    </xf>
    <xf numFmtId="171" fontId="35" fillId="0" borderId="4" xfId="52" applyNumberFormat="1" applyBorder="1"/>
    <xf numFmtId="0" fontId="5" fillId="0" borderId="3" xfId="0" applyFont="1" applyBorder="1"/>
    <xf numFmtId="9" fontId="1" fillId="3" borderId="2" xfId="1" applyNumberFormat="1" applyBorder="1" applyAlignment="1">
      <alignment horizontal="right"/>
    </xf>
    <xf numFmtId="9" fontId="34" fillId="0" borderId="2" xfId="56" applyNumberFormat="1" applyBorder="1"/>
    <xf numFmtId="9" fontId="34" fillId="0" borderId="0" xfId="56" applyNumberFormat="1" applyBorder="1"/>
    <xf numFmtId="9" fontId="34" fillId="0" borderId="3" xfId="56" applyNumberFormat="1" applyBorder="1"/>
    <xf numFmtId="171" fontId="7" fillId="0" borderId="2" xfId="50" applyNumberFormat="1" applyBorder="1"/>
    <xf numFmtId="171" fontId="7" fillId="0" borderId="0" xfId="50" applyNumberFormat="1" applyBorder="1"/>
    <xf numFmtId="171" fontId="7" fillId="0" borderId="3" xfId="50" applyNumberFormat="1" applyBorder="1"/>
    <xf numFmtId="9" fontId="1" fillId="3" borderId="0" xfId="1" applyNumberFormat="1" applyBorder="1" applyAlignment="1">
      <alignment horizontal="right"/>
    </xf>
    <xf numFmtId="0" fontId="1" fillId="3" borderId="0" xfId="1" applyNumberFormat="1" applyAlignment="1">
      <alignment horizontal="right" wrapText="1"/>
    </xf>
    <xf numFmtId="173" fontId="34" fillId="0" borderId="0" xfId="56" applyNumberFormat="1" applyBorder="1"/>
    <xf numFmtId="171" fontId="34" fillId="0" borderId="0" xfId="56" applyNumberFormat="1" applyBorder="1" applyAlignment="1">
      <alignment horizontal="right"/>
    </xf>
    <xf numFmtId="0" fontId="2" fillId="0" borderId="0" xfId="53" applyNumberFormat="1" applyAlignment="1">
      <alignment horizontal="left"/>
    </xf>
    <xf numFmtId="0" fontId="7" fillId="38" borderId="0" xfId="59" applyAlignment="1"/>
    <xf numFmtId="174" fontId="0" fillId="0" borderId="0" xfId="0" applyNumberFormat="1" applyAlignment="1">
      <alignment horizontal="right"/>
    </xf>
    <xf numFmtId="172" fontId="34" fillId="0" borderId="2" xfId="56" applyNumberFormat="1" applyBorder="1"/>
    <xf numFmtId="172" fontId="8" fillId="4" borderId="2" xfId="55" applyNumberFormat="1" applyBorder="1">
      <alignment vertical="top"/>
    </xf>
    <xf numFmtId="172" fontId="34" fillId="0" borderId="0" xfId="56" applyNumberFormat="1" applyBorder="1"/>
    <xf numFmtId="172" fontId="8" fillId="4" borderId="0" xfId="55" applyNumberFormat="1" applyBorder="1">
      <alignment vertical="top"/>
    </xf>
    <xf numFmtId="172" fontId="34" fillId="0" borderId="3" xfId="56" applyNumberFormat="1" applyBorder="1"/>
    <xf numFmtId="172" fontId="8" fillId="4" borderId="3" xfId="55" applyNumberFormat="1" applyBorder="1">
      <alignment vertical="top"/>
    </xf>
    <xf numFmtId="172" fontId="0" fillId="0" borderId="2" xfId="0" applyNumberFormat="1" applyBorder="1" applyAlignment="1">
      <alignment horizontal="right"/>
    </xf>
    <xf numFmtId="172" fontId="0" fillId="0" borderId="0" xfId="0" applyNumberFormat="1" applyAlignment="1">
      <alignment horizontal="right"/>
    </xf>
    <xf numFmtId="172" fontId="0" fillId="0" borderId="3" xfId="0" applyNumberFormat="1" applyBorder="1" applyAlignment="1">
      <alignment horizontal="right"/>
    </xf>
    <xf numFmtId="172" fontId="8" fillId="0" borderId="0" xfId="60" applyNumberFormat="1" applyAlignment="1"/>
    <xf numFmtId="177" fontId="8" fillId="0" borderId="0" xfId="60" applyNumberFormat="1" applyAlignment="1">
      <alignment horizontal="right"/>
    </xf>
    <xf numFmtId="9" fontId="7" fillId="38" borderId="0" xfId="59" applyNumberFormat="1" applyAlignment="1">
      <alignment horizontal="right"/>
    </xf>
    <xf numFmtId="9" fontId="8" fillId="0" borderId="0" xfId="60" applyNumberFormat="1" applyAlignment="1">
      <alignment horizontal="right"/>
    </xf>
    <xf numFmtId="0" fontId="0" fillId="0" borderId="0" xfId="50" applyFont="1"/>
    <xf numFmtId="173" fontId="0" fillId="0" borderId="2" xfId="0" applyNumberFormat="1" applyBorder="1" applyAlignment="1">
      <alignment horizontal="right"/>
    </xf>
    <xf numFmtId="173" fontId="0" fillId="0" borderId="3" xfId="0" applyNumberFormat="1" applyBorder="1" applyAlignment="1">
      <alignment horizontal="right"/>
    </xf>
    <xf numFmtId="0" fontId="0" fillId="0" borderId="0" xfId="53" applyFont="1"/>
    <xf numFmtId="0" fontId="8" fillId="4" borderId="2" xfId="55" applyNumberFormat="1" applyBorder="1" applyAlignment="1">
      <alignment horizontal="right" vertical="top"/>
    </xf>
    <xf numFmtId="0" fontId="8" fillId="4" borderId="0" xfId="55" applyNumberFormat="1" applyBorder="1" applyAlignment="1">
      <alignment horizontal="right" vertical="top"/>
    </xf>
    <xf numFmtId="173" fontId="0" fillId="0" borderId="4" xfId="0" applyNumberFormat="1" applyBorder="1" applyAlignment="1">
      <alignment horizontal="right"/>
    </xf>
    <xf numFmtId="0" fontId="7" fillId="0" borderId="0" xfId="50" applyNumberFormat="1"/>
    <xf numFmtId="0" fontId="36" fillId="0" borderId="3" xfId="58" applyBorder="1"/>
    <xf numFmtId="171" fontId="8" fillId="39" borderId="0" xfId="65" applyNumberFormat="1" applyFont="1" applyBorder="1" applyAlignment="1">
      <alignment horizontal="right"/>
    </xf>
    <xf numFmtId="3" fontId="8" fillId="0" borderId="4" xfId="60" applyNumberFormat="1" applyBorder="1" applyAlignment="1"/>
    <xf numFmtId="171" fontId="34" fillId="0" borderId="0" xfId="56" applyNumberFormat="1" applyProtection="1">
      <protection locked="0"/>
    </xf>
    <xf numFmtId="176" fontId="34" fillId="0" borderId="0" xfId="56" applyNumberFormat="1"/>
    <xf numFmtId="171" fontId="22" fillId="4" borderId="0" xfId="55" applyNumberFormat="1" applyFont="1" applyBorder="1">
      <alignment vertical="top"/>
    </xf>
    <xf numFmtId="171" fontId="2" fillId="0" borderId="0" xfId="0" applyNumberFormat="1" applyFont="1" applyBorder="1" applyAlignment="1">
      <alignment horizontal="right"/>
    </xf>
    <xf numFmtId="171" fontId="8" fillId="4" borderId="0" xfId="55" applyNumberFormat="1" applyBorder="1" applyProtection="1">
      <alignment vertical="top"/>
      <protection locked="0"/>
    </xf>
    <xf numFmtId="9" fontId="0" fillId="0" borderId="2" xfId="0" applyNumberFormat="1" applyFont="1" applyBorder="1" applyAlignment="1">
      <alignment horizontal="right"/>
    </xf>
    <xf numFmtId="9" fontId="8" fillId="2" borderId="2" xfId="51" applyNumberFormat="1" applyBorder="1">
      <protection locked="0"/>
    </xf>
    <xf numFmtId="9" fontId="0" fillId="0" borderId="0" xfId="0" applyNumberFormat="1" applyFont="1" applyBorder="1" applyAlignment="1">
      <alignment horizontal="right"/>
    </xf>
    <xf numFmtId="9" fontId="8" fillId="2" borderId="0" xfId="51" applyNumberFormat="1" applyBorder="1">
      <protection locked="0"/>
    </xf>
    <xf numFmtId="9" fontId="8" fillId="2" borderId="0" xfId="51" applyNumberFormat="1" applyBorder="1" applyAlignment="1">
      <alignment vertical="top"/>
      <protection locked="0"/>
    </xf>
    <xf numFmtId="9" fontId="35" fillId="0" borderId="3" xfId="52" applyNumberFormat="1" applyBorder="1" applyAlignment="1">
      <alignment vertical="top"/>
    </xf>
    <xf numFmtId="9" fontId="0" fillId="0" borderId="3" xfId="0" applyNumberFormat="1" applyFont="1" applyBorder="1" applyAlignment="1">
      <alignment horizontal="right"/>
    </xf>
    <xf numFmtId="9" fontId="8" fillId="2" borderId="3" xfId="51" applyNumberFormat="1" applyBorder="1" applyAlignment="1">
      <alignment vertical="top"/>
      <protection locked="0"/>
    </xf>
    <xf numFmtId="171" fontId="34" fillId="0" borderId="4" xfId="56" applyNumberFormat="1" applyBorder="1" applyAlignment="1">
      <alignment horizontal="right"/>
    </xf>
    <xf numFmtId="173" fontId="8" fillId="0" borderId="4" xfId="60" applyNumberFormat="1" applyBorder="1" applyAlignment="1"/>
    <xf numFmtId="173" fontId="35" fillId="0" borderId="4" xfId="52" applyNumberFormat="1" applyBorder="1"/>
    <xf numFmtId="0" fontId="34" fillId="0" borderId="4" xfId="56" applyNumberFormat="1" applyBorder="1" applyAlignment="1">
      <alignment horizontal="right"/>
    </xf>
    <xf numFmtId="0" fontId="0" fillId="49" borderId="0" xfId="0" applyFill="1"/>
    <xf numFmtId="0" fontId="0" fillId="49" borderId="0" xfId="0" applyFill="1" applyBorder="1"/>
    <xf numFmtId="171" fontId="35" fillId="49" borderId="0" xfId="52" applyNumberFormat="1" applyFill="1" applyBorder="1"/>
    <xf numFmtId="171" fontId="0" fillId="49" borderId="0" xfId="0" applyNumberFormat="1" applyFont="1" applyFill="1" applyBorder="1"/>
    <xf numFmtId="0" fontId="2" fillId="49" borderId="0" xfId="0" applyFont="1" applyFill="1"/>
    <xf numFmtId="0" fontId="5" fillId="49" borderId="0" xfId="0" applyFont="1" applyFill="1"/>
    <xf numFmtId="0" fontId="34" fillId="49" borderId="0" xfId="56" applyNumberFormat="1" applyFill="1" applyBorder="1"/>
    <xf numFmtId="171" fontId="34" fillId="49" borderId="0" xfId="56" applyNumberFormat="1" applyFill="1"/>
    <xf numFmtId="171" fontId="34" fillId="49" borderId="0" xfId="56" applyNumberFormat="1" applyFill="1" applyBorder="1"/>
    <xf numFmtId="171" fontId="0" fillId="49" borderId="0" xfId="0" applyNumberFormat="1" applyFill="1" applyBorder="1"/>
    <xf numFmtId="0" fontId="0" fillId="49" borderId="0" xfId="0" applyFill="1" applyAlignment="1">
      <alignment horizontal="right"/>
    </xf>
    <xf numFmtId="171" fontId="34" fillId="49" borderId="0" xfId="56" applyNumberFormat="1" applyFill="1" applyAlignment="1">
      <alignment horizontal="right"/>
    </xf>
    <xf numFmtId="171" fontId="8" fillId="49" borderId="0" xfId="60" applyNumberFormat="1" applyFill="1" applyBorder="1" applyAlignment="1">
      <alignment horizontal="right"/>
    </xf>
    <xf numFmtId="0" fontId="0" fillId="49" borderId="4" xfId="0" applyFill="1" applyBorder="1"/>
    <xf numFmtId="171" fontId="8" fillId="49" borderId="4" xfId="60" applyNumberFormat="1" applyFill="1" applyBorder="1" applyAlignment="1">
      <alignment horizontal="right"/>
    </xf>
    <xf numFmtId="4" fontId="0" fillId="49" borderId="0" xfId="0" applyNumberFormat="1" applyFill="1" applyAlignment="1">
      <alignment horizontal="right"/>
    </xf>
    <xf numFmtId="171" fontId="0" fillId="49" borderId="0" xfId="0" applyNumberFormat="1" applyFill="1"/>
    <xf numFmtId="0" fontId="2" fillId="0" borderId="0" xfId="0" applyFont="1" applyFill="1"/>
    <xf numFmtId="0" fontId="5" fillId="0" borderId="0" xfId="0" applyFont="1" applyFill="1"/>
    <xf numFmtId="171" fontId="0" fillId="0" borderId="0" xfId="0" applyNumberFormat="1" applyFill="1"/>
    <xf numFmtId="0" fontId="0" fillId="0" borderId="2" xfId="0" applyFill="1" applyBorder="1"/>
    <xf numFmtId="0" fontId="0" fillId="0" borderId="4" xfId="0" applyFill="1" applyBorder="1"/>
    <xf numFmtId="0" fontId="2" fillId="0" borderId="0" xfId="53" applyFill="1"/>
    <xf numFmtId="171" fontId="35" fillId="0" borderId="4" xfId="52" applyNumberFormat="1" applyBorder="1" applyAlignment="1">
      <alignment horizontal="right"/>
    </xf>
    <xf numFmtId="171" fontId="8" fillId="2" borderId="0" xfId="51" applyNumberFormat="1" applyBorder="1" applyAlignment="1" applyProtection="1">
      <alignment vertical="top"/>
      <protection locked="0"/>
    </xf>
    <xf numFmtId="9" fontId="8" fillId="2" borderId="2" xfId="51" applyNumberFormat="1" applyBorder="1" applyProtection="1">
      <protection locked="0"/>
    </xf>
    <xf numFmtId="9" fontId="8" fillId="2" borderId="0" xfId="51" applyNumberFormat="1" applyBorder="1" applyProtection="1">
      <protection locked="0"/>
    </xf>
    <xf numFmtId="9" fontId="8" fillId="2" borderId="0" xfId="51" applyNumberFormat="1" applyBorder="1" applyAlignment="1" applyProtection="1">
      <alignment vertical="top"/>
      <protection locked="0"/>
    </xf>
    <xf numFmtId="9" fontId="8" fillId="2" borderId="3" xfId="51" applyNumberFormat="1" applyBorder="1" applyAlignment="1" applyProtection="1">
      <alignment vertical="top"/>
      <protection locked="0"/>
    </xf>
    <xf numFmtId="171" fontId="8" fillId="2" borderId="0" xfId="51" applyNumberFormat="1" applyProtection="1">
      <protection locked="0"/>
    </xf>
    <xf numFmtId="9" fontId="8" fillId="2" borderId="0" xfId="51" applyNumberFormat="1" applyProtection="1">
      <protection locked="0"/>
    </xf>
    <xf numFmtId="0" fontId="8" fillId="2" borderId="15" xfId="51" applyBorder="1" applyAlignment="1" applyProtection="1">
      <alignment horizontal="left" vertical="top" wrapText="1"/>
      <protection locked="0"/>
    </xf>
    <xf numFmtId="0" fontId="8" fillId="2" borderId="16" xfId="51" applyBorder="1" applyAlignment="1" applyProtection="1">
      <alignment horizontal="left" vertical="top" wrapText="1"/>
      <protection locked="0"/>
    </xf>
    <xf numFmtId="0" fontId="8" fillId="2" borderId="17" xfId="51" applyBorder="1" applyAlignment="1" applyProtection="1">
      <alignment horizontal="left" vertical="top" wrapText="1"/>
      <protection locked="0"/>
    </xf>
  </cellXfs>
  <cellStyles count="68">
    <cellStyle name="20% - Accent1" xfId="25" builtinId="30" hidden="1"/>
    <cellStyle name="20% - Accent2" xfId="29" builtinId="34" hidden="1"/>
    <cellStyle name="20% - Accent3" xfId="33" builtinId="38" hidden="1"/>
    <cellStyle name="20% - Accent4" xfId="37" builtinId="42" hidden="1"/>
    <cellStyle name="20% - Accent5" xfId="41" builtinId="46" hidden="1"/>
    <cellStyle name="20% - Accent6" xfId="45" builtinId="50" hidden="1"/>
    <cellStyle name="40% - Accent1" xfId="26" builtinId="31" hidden="1"/>
    <cellStyle name="40% - Accent2" xfId="30" builtinId="35" hidden="1"/>
    <cellStyle name="40% - Accent3" xfId="34" builtinId="39" hidden="1"/>
    <cellStyle name="40% - Accent4" xfId="38" builtinId="43" hidden="1"/>
    <cellStyle name="40% - Accent5" xfId="42" builtinId="47" hidden="1"/>
    <cellStyle name="40% - Accent6" xfId="46" builtinId="51" hidden="1"/>
    <cellStyle name="60% - Accent1" xfId="27" builtinId="32" hidden="1"/>
    <cellStyle name="60% - Accent2" xfId="31" builtinId="36" hidden="1"/>
    <cellStyle name="60% - Accent3" xfId="35" builtinId="40" hidden="1"/>
    <cellStyle name="60% - Accent4" xfId="39" builtinId="44" hidden="1"/>
    <cellStyle name="60% - Accent5" xfId="43" builtinId="48" hidden="1"/>
    <cellStyle name="60% - Accent6" xfId="47" builtinId="52" hidden="1"/>
    <cellStyle name="Accent1" xfId="24" builtinId="29" hidden="1"/>
    <cellStyle name="Accent2" xfId="28" builtinId="33" hidden="1"/>
    <cellStyle name="Accent3" xfId="32" builtinId="37" hidden="1"/>
    <cellStyle name="Accent4" xfId="36" builtinId="41" hidden="1"/>
    <cellStyle name="Accent5" xfId="40" builtinId="45" hidden="1"/>
    <cellStyle name="Accent6" xfId="44" builtinId="49" hidden="1"/>
    <cellStyle name="Annotation_CEPATNEI" xfId="58" xr:uid="{00000000-0005-0000-0000-000018000000}"/>
    <cellStyle name="Bad" xfId="13" builtinId="27" hidden="1"/>
    <cellStyle name="Bad" xfId="61" builtinId="27" hidden="1"/>
    <cellStyle name="Blank_CEPATNEI" xfId="55" xr:uid="{00000000-0005-0000-0000-00001B000000}"/>
    <cellStyle name="Calculation" xfId="17" builtinId="22" hidden="1"/>
    <cellStyle name="Calculation_CEPATNEI" xfId="60" xr:uid="{00000000-0005-0000-0000-00001D000000}"/>
    <cellStyle name="Check Cell" xfId="19" builtinId="23" hidden="1"/>
    <cellStyle name="ColumnHeading_CEPATNEI" xfId="1" xr:uid="{00000000-0005-0000-0000-00001F000000}"/>
    <cellStyle name="Comma" xfId="2" builtinId="3" hidden="1"/>
    <cellStyle name="Comma" xfId="57" builtinId="3" hidden="1"/>
    <cellStyle name="Comma [0]" xfId="3" builtinId="6" hidden="1"/>
    <cellStyle name="Currency" xfId="4" builtinId="4" hidden="1"/>
    <cellStyle name="Currency [0]" xfId="5" builtinId="7" hidden="1"/>
    <cellStyle name="EmptyCell_CEPATNEI" xfId="64" xr:uid="{00000000-0005-0000-0000-000025000000}"/>
    <cellStyle name="Explanatory Text" xfId="22" builtinId="53" hidden="1"/>
    <cellStyle name="Fixed_CEPATNEI" xfId="59" xr:uid="{00000000-0005-0000-0000-000027000000}"/>
    <cellStyle name="Followed Hyperlink 2" xfId="67" xr:uid="{00000000-0005-0000-0000-000046000000}"/>
    <cellStyle name="Good" xfId="12" builtinId="26" hidden="1"/>
    <cellStyle name="Heading 1" xfId="8" builtinId="16" hidden="1"/>
    <cellStyle name="Heading 2" xfId="9" builtinId="17" hidden="1"/>
    <cellStyle name="Heading 3" xfId="10" builtinId="18" hidden="1"/>
    <cellStyle name="Heading 4" xfId="11" builtinId="19" hidden="1"/>
    <cellStyle name="Hyperlink" xfId="54" builtinId="8"/>
    <cellStyle name="Hyperlink 2" xfId="66" xr:uid="{00000000-0005-0000-0000-000047000000}"/>
    <cellStyle name="Input" xfId="15" builtinId="20" hidden="1"/>
    <cellStyle name="Input_CEPATNEI" xfId="51" xr:uid="{00000000-0005-0000-0000-00002F000000}"/>
    <cellStyle name="Linked Cell" xfId="18" builtinId="24" hidden="1"/>
    <cellStyle name="LinkedTo_CEPATNEI" xfId="52" xr:uid="{00000000-0005-0000-0000-000031000000}"/>
    <cellStyle name="LinksFrom_CEPATNEI" xfId="56" xr:uid="{00000000-0005-0000-0000-000032000000}"/>
    <cellStyle name="Neutral" xfId="14" builtinId="28" hidden="1"/>
    <cellStyle name="Neutral" xfId="63" builtinId="28" hidden="1"/>
    <cellStyle name="Normal" xfId="0" builtinId="0" customBuiltin="1"/>
    <cellStyle name="Note" xfId="21" builtinId="10" hidden="1"/>
    <cellStyle name="Output" xfId="16" builtinId="21" hidden="1"/>
    <cellStyle name="Output_CEPATNEI" xfId="65" xr:uid="{00000000-0005-0000-0000-000038000000}"/>
    <cellStyle name="Percent" xfId="6" builtinId="5" hidden="1"/>
    <cellStyle name="Percent" xfId="62" builtinId="5" hidden="1"/>
    <cellStyle name="RowHeading_CEPATNEI" xfId="53" xr:uid="{00000000-0005-0000-0000-00003B000000}"/>
    <cellStyle name="SectionHeading_CEPATNEI" xfId="49" xr:uid="{00000000-0005-0000-0000-00003C000000}"/>
    <cellStyle name="SubSection_CEPATNEI" xfId="48" xr:uid="{00000000-0005-0000-0000-00003D000000}"/>
    <cellStyle name="Text_CEPATNEI" xfId="50" xr:uid="{00000000-0005-0000-0000-00003E000000}"/>
    <cellStyle name="Title" xfId="7" builtinId="15" hidden="1"/>
    <cellStyle name="Total" xfId="23" builtinId="25" hidden="1"/>
    <cellStyle name="Warning Text" xfId="20" builtinId="11" hidden="1"/>
  </cellStyles>
  <dxfs count="256"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b/>
        <i/>
        <color auto="1"/>
      </font>
      <fill>
        <patternFill>
          <bgColor rgb="FFFF0000"/>
        </patternFill>
      </fill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b/>
        <i/>
        <color auto="1"/>
      </font>
      <fill>
        <patternFill>
          <bgColor rgb="FFFF0000"/>
        </patternFill>
      </fill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b/>
        <i/>
        <color auto="1"/>
      </font>
      <fill>
        <patternFill>
          <bgColor rgb="FFFF0000"/>
        </patternFill>
      </fill>
    </dxf>
    <dxf>
      <font>
        <b/>
        <i/>
        <color auto="1"/>
      </font>
      <fill>
        <patternFill>
          <bgColor rgb="FFFF0000"/>
        </patternFill>
      </fill>
    </dxf>
    <dxf>
      <font>
        <b/>
        <i/>
        <color auto="1"/>
      </font>
      <fill>
        <patternFill>
          <bgColor rgb="FFFF0000"/>
        </patternFill>
      </fill>
    </dxf>
    <dxf>
      <font>
        <b/>
        <i/>
        <color auto="1"/>
      </font>
      <fill>
        <patternFill>
          <bgColor rgb="FFFF0000"/>
        </patternFill>
      </fill>
    </dxf>
    <dxf>
      <font>
        <b/>
        <i/>
        <color auto="1"/>
      </font>
      <fill>
        <patternFill>
          <bgColor rgb="FFFF0000"/>
        </patternFill>
      </fill>
    </dxf>
    <dxf>
      <font>
        <b/>
        <i/>
        <color auto="1"/>
      </font>
      <fill>
        <patternFill>
          <bgColor rgb="FFFF0000"/>
        </patternFill>
      </fill>
    </dxf>
    <dxf>
      <font>
        <b/>
        <i/>
        <color auto="1"/>
      </font>
      <fill>
        <patternFill>
          <bgColor rgb="FFFF0000"/>
        </patternFill>
      </fill>
    </dxf>
    <dxf>
      <font>
        <b/>
        <i/>
        <color auto="1"/>
      </font>
      <fill>
        <patternFill>
          <bgColor rgb="FFFF0000"/>
        </patternFill>
      </fill>
    </dxf>
    <dxf>
      <font>
        <b/>
        <i/>
        <color auto="1"/>
      </font>
      <fill>
        <patternFill>
          <bgColor rgb="FFFF0000"/>
        </patternFill>
      </fill>
    </dxf>
    <dxf>
      <font>
        <b/>
        <i/>
        <color auto="1"/>
      </font>
      <fill>
        <patternFill>
          <bgColor rgb="FFFF0000"/>
        </patternFill>
      </fill>
    </dxf>
    <dxf>
      <font>
        <b/>
        <i/>
        <color auto="1"/>
      </font>
      <fill>
        <patternFill>
          <bgColor rgb="FFFF0000"/>
        </patternFill>
      </fill>
    </dxf>
    <dxf>
      <font>
        <b/>
        <i/>
        <color auto="1"/>
      </font>
      <fill>
        <patternFill>
          <bgColor rgb="FFFF0000"/>
        </patternFill>
      </fill>
    </dxf>
    <dxf>
      <font>
        <b/>
        <i/>
        <color auto="1"/>
      </font>
      <fill>
        <patternFill>
          <bgColor rgb="FFFF0000"/>
        </patternFill>
      </fill>
    </dxf>
    <dxf>
      <font>
        <b/>
        <i/>
        <color auto="1"/>
      </font>
      <fill>
        <patternFill>
          <bgColor rgb="FFFF0000"/>
        </patternFill>
      </fill>
    </dxf>
    <dxf>
      <font>
        <b/>
        <i/>
        <color auto="1"/>
      </font>
      <fill>
        <patternFill>
          <bgColor rgb="FFFF0000"/>
        </patternFill>
      </fill>
    </dxf>
    <dxf>
      <font>
        <b/>
        <i/>
        <color auto="1"/>
      </font>
      <fill>
        <patternFill>
          <bgColor rgb="FFFF0000"/>
        </patternFill>
      </fill>
    </dxf>
    <dxf>
      <font>
        <b/>
        <i/>
        <color auto="1"/>
      </font>
      <fill>
        <patternFill>
          <bgColor rgb="FFFF0000"/>
        </patternFill>
      </fill>
    </dxf>
    <dxf>
      <font>
        <b/>
        <i/>
        <color auto="1"/>
      </font>
      <fill>
        <patternFill>
          <bgColor rgb="FFFF0000"/>
        </patternFill>
      </fill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b/>
        <i/>
        <color auto="1"/>
      </font>
      <fill>
        <patternFill>
          <bgColor rgb="FFFF0000"/>
        </patternFill>
      </fill>
    </dxf>
    <dxf>
      <font>
        <b/>
        <i/>
        <color auto="1"/>
      </font>
      <fill>
        <patternFill>
          <bgColor rgb="FFFF0000"/>
        </patternFill>
      </fill>
    </dxf>
    <dxf>
      <font>
        <b/>
        <i/>
        <color auto="1"/>
      </font>
      <fill>
        <patternFill>
          <bgColor rgb="FFFF0000"/>
        </patternFill>
      </fill>
    </dxf>
    <dxf>
      <font>
        <b/>
        <i/>
        <color auto="1"/>
      </font>
      <fill>
        <patternFill>
          <bgColor rgb="FFFF0000"/>
        </patternFill>
      </fill>
    </dxf>
    <dxf>
      <font>
        <b/>
        <i/>
        <color auto="1"/>
      </font>
      <fill>
        <patternFill>
          <bgColor rgb="FFFF0000"/>
        </patternFill>
      </fill>
    </dxf>
    <dxf>
      <font>
        <b/>
        <i/>
        <color auto="1"/>
      </font>
      <fill>
        <patternFill>
          <bgColor rgb="FFFF0000"/>
        </patternFill>
      </fill>
    </dxf>
    <dxf>
      <font>
        <b/>
        <i/>
        <color auto="1"/>
      </font>
      <fill>
        <patternFill>
          <bgColor rgb="FFFF0000"/>
        </patternFill>
      </fill>
    </dxf>
    <dxf>
      <font>
        <b/>
        <i/>
        <color auto="1"/>
      </font>
      <fill>
        <patternFill>
          <bgColor rgb="FFFF0000"/>
        </patternFill>
      </fill>
    </dxf>
    <dxf>
      <font>
        <b/>
        <i/>
        <color auto="1"/>
      </font>
      <fill>
        <patternFill>
          <bgColor rgb="FFFF0000"/>
        </patternFill>
      </fill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b/>
        <i/>
        <color auto="1"/>
      </font>
      <fill>
        <patternFill>
          <bgColor rgb="FFFF0000"/>
        </patternFill>
      </fill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b/>
        <i/>
        <color auto="1"/>
      </font>
      <fill>
        <patternFill>
          <bgColor rgb="FFFF0000"/>
        </patternFill>
      </fill>
    </dxf>
    <dxf>
      <font>
        <b/>
        <i/>
        <color auto="1"/>
      </font>
      <fill>
        <patternFill>
          <bgColor rgb="FFFF0000"/>
        </patternFill>
      </fill>
    </dxf>
    <dxf>
      <font>
        <b/>
        <i/>
        <color auto="1"/>
      </font>
      <fill>
        <patternFill>
          <bgColor rgb="FFFF0000"/>
        </patternFill>
      </fill>
    </dxf>
    <dxf>
      <font>
        <b/>
        <i/>
        <color auto="1"/>
      </font>
      <fill>
        <patternFill>
          <bgColor rgb="FFFF0000"/>
        </patternFill>
      </fill>
    </dxf>
    <dxf>
      <font>
        <b/>
        <i/>
        <color auto="1"/>
      </font>
      <fill>
        <patternFill>
          <bgColor rgb="FFFF0000"/>
        </patternFill>
      </fill>
    </dxf>
    <dxf>
      <font>
        <b/>
        <i/>
        <color auto="1"/>
      </font>
      <fill>
        <patternFill>
          <bgColor rgb="FFFF0000"/>
        </patternFill>
      </fill>
    </dxf>
    <dxf>
      <font>
        <b/>
        <i/>
        <color auto="1"/>
      </font>
      <fill>
        <patternFill>
          <bgColor rgb="FFFF0000"/>
        </patternFill>
      </fill>
    </dxf>
    <dxf>
      <font>
        <b/>
        <i/>
        <color auto="1"/>
      </font>
      <fill>
        <patternFill>
          <bgColor rgb="FFFF0000"/>
        </patternFill>
      </fill>
    </dxf>
    <dxf>
      <font>
        <b/>
        <i/>
        <color auto="1"/>
      </font>
      <fill>
        <patternFill>
          <bgColor rgb="FFFF0000"/>
        </patternFill>
      </fill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b/>
        <i/>
        <color auto="1"/>
      </font>
      <fill>
        <patternFill>
          <bgColor rgb="FFFF0000"/>
        </patternFill>
      </fill>
    </dxf>
    <dxf>
      <font>
        <b/>
        <i/>
        <color auto="1"/>
      </font>
      <fill>
        <patternFill>
          <bgColor rgb="FFFF0000"/>
        </patternFill>
      </fill>
    </dxf>
    <dxf>
      <font>
        <b/>
        <i/>
        <color auto="1"/>
      </font>
      <fill>
        <patternFill>
          <bgColor rgb="FFFF0000"/>
        </patternFill>
      </fill>
    </dxf>
    <dxf>
      <font>
        <b/>
        <i/>
        <color auto="1"/>
      </font>
      <fill>
        <patternFill>
          <bgColor rgb="FFFF0000"/>
        </patternFill>
      </fill>
    </dxf>
    <dxf>
      <font>
        <b/>
        <i/>
        <color auto="1"/>
      </font>
      <fill>
        <patternFill>
          <bgColor rgb="FFFF0000"/>
        </patternFill>
      </fill>
    </dxf>
    <dxf>
      <font>
        <b/>
        <i/>
        <color auto="1"/>
      </font>
      <fill>
        <patternFill>
          <bgColor rgb="FFFF0000"/>
        </patternFill>
      </fill>
    </dxf>
    <dxf>
      <font>
        <b/>
        <i/>
        <color auto="1"/>
      </font>
      <fill>
        <patternFill>
          <bgColor rgb="FFFF0000"/>
        </patternFill>
      </fill>
    </dxf>
    <dxf>
      <font>
        <b/>
        <i/>
        <color auto="1"/>
      </font>
      <fill>
        <patternFill>
          <bgColor rgb="FFFF0000"/>
        </patternFill>
      </fill>
    </dxf>
    <dxf>
      <font>
        <b/>
        <i/>
        <color auto="1"/>
      </font>
      <fill>
        <patternFill>
          <bgColor rgb="FFFF0000"/>
        </patternFill>
      </fill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b/>
        <i/>
        <color auto="1"/>
      </font>
      <fill>
        <patternFill>
          <bgColor rgb="FFFF0000"/>
        </patternFill>
      </fill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b/>
        <i/>
        <color auto="1"/>
      </font>
      <fill>
        <patternFill>
          <bgColor rgb="FFFF0000"/>
        </patternFill>
      </fill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b/>
        <i/>
        <color auto="1"/>
      </font>
      <fill>
        <patternFill>
          <bgColor rgb="FFFF0000"/>
        </patternFill>
      </fill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b/>
        <i/>
        <color auto="1"/>
      </font>
      <fill>
        <patternFill>
          <bgColor rgb="FFFF0000"/>
        </patternFill>
      </fill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b/>
        <i/>
        <color auto="1"/>
      </font>
      <fill>
        <patternFill>
          <bgColor rgb="FFFF0000"/>
        </patternFill>
      </fill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b/>
        <i/>
        <color auto="1"/>
      </font>
      <fill>
        <patternFill>
          <bgColor rgb="FFFF0000"/>
        </patternFill>
      </fill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b/>
        <i/>
        <color auto="1"/>
      </font>
      <fill>
        <patternFill>
          <bgColor rgb="FFFF0000"/>
        </patternFill>
      </fill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b/>
        <i/>
        <color auto="1"/>
      </font>
      <fill>
        <patternFill>
          <bgColor rgb="FFFF0000"/>
        </patternFill>
      </fill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b/>
        <i/>
        <color auto="1"/>
      </font>
      <fill>
        <patternFill>
          <bgColor rgb="FFFF0000"/>
        </patternFill>
      </fill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b/>
        <i/>
        <color auto="1"/>
      </font>
      <fill>
        <patternFill>
          <bgColor rgb="FFFF0000"/>
        </patternFill>
      </fill>
    </dxf>
    <dxf>
      <font>
        <b/>
        <i/>
        <color auto="1"/>
      </font>
      <fill>
        <patternFill>
          <bgColor rgb="FFFF0000"/>
        </patternFill>
      </fill>
    </dxf>
    <dxf>
      <font>
        <b/>
        <i/>
        <color auto="1"/>
      </font>
      <fill>
        <patternFill>
          <bgColor rgb="FFFF0000"/>
        </patternFill>
      </fill>
    </dxf>
    <dxf>
      <font>
        <b/>
        <i/>
        <color auto="1"/>
      </font>
      <fill>
        <patternFill>
          <bgColor rgb="FFFF0000"/>
        </patternFill>
      </fill>
    </dxf>
    <dxf>
      <font>
        <b/>
        <i/>
        <color auto="1"/>
      </font>
      <fill>
        <patternFill>
          <bgColor rgb="FFFF0000"/>
        </patternFill>
      </fill>
    </dxf>
    <dxf>
      <font>
        <b/>
        <i/>
        <color auto="1"/>
      </font>
      <fill>
        <patternFill>
          <bgColor rgb="FFFF0000"/>
        </patternFill>
      </fill>
    </dxf>
    <dxf>
      <font>
        <b/>
        <i/>
        <color auto="1"/>
      </font>
      <fill>
        <patternFill>
          <bgColor rgb="FFFF0000"/>
        </patternFill>
      </fill>
    </dxf>
    <dxf>
      <font>
        <b/>
        <i/>
        <color auto="1"/>
      </font>
      <fill>
        <patternFill>
          <bgColor rgb="FFFF0000"/>
        </patternFill>
      </fill>
    </dxf>
    <dxf>
      <font>
        <b/>
        <i/>
        <color auto="1"/>
      </font>
      <fill>
        <patternFill>
          <bgColor rgb="FFFF0000"/>
        </patternFill>
      </fill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b/>
        <i/>
        <color auto="1"/>
      </font>
      <fill>
        <patternFill>
          <bgColor rgb="FFFF0000"/>
        </patternFill>
      </fill>
    </dxf>
    <dxf>
      <font>
        <b/>
        <i/>
        <color auto="1"/>
      </font>
      <fill>
        <patternFill>
          <bgColor rgb="FFFF0000"/>
        </patternFill>
      </fill>
    </dxf>
    <dxf>
      <font>
        <b/>
        <i/>
        <color auto="1"/>
      </font>
      <fill>
        <patternFill>
          <bgColor rgb="FFFF0000"/>
        </patternFill>
      </fill>
    </dxf>
    <dxf>
      <font>
        <b/>
        <i/>
        <color auto="1"/>
      </font>
      <fill>
        <patternFill>
          <bgColor rgb="FFFF0000"/>
        </patternFill>
      </fill>
    </dxf>
    <dxf>
      <font>
        <b/>
        <i/>
        <color auto="1"/>
      </font>
      <fill>
        <patternFill>
          <bgColor rgb="FFFF0000"/>
        </patternFill>
      </fill>
    </dxf>
    <dxf>
      <font>
        <b/>
        <i/>
        <color auto="1"/>
      </font>
      <fill>
        <patternFill>
          <bgColor rgb="FFFF0000"/>
        </patternFill>
      </fill>
    </dxf>
    <dxf>
      <font>
        <b/>
        <i/>
        <color auto="1"/>
      </font>
      <fill>
        <patternFill>
          <bgColor rgb="FFFF0000"/>
        </patternFill>
      </fill>
    </dxf>
    <dxf>
      <font>
        <b/>
        <i/>
        <color auto="1"/>
      </font>
      <fill>
        <patternFill>
          <bgColor rgb="FFFF0000"/>
        </patternFill>
      </fill>
    </dxf>
    <dxf>
      <font>
        <b/>
        <i/>
        <color auto="1"/>
      </font>
      <fill>
        <patternFill>
          <bgColor rgb="FFFF0000"/>
        </patternFill>
      </fill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b/>
        <i/>
        <color auto="1"/>
      </font>
      <fill>
        <patternFill>
          <bgColor rgb="FFFF0000"/>
        </patternFill>
      </fill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b/>
        <i/>
        <color auto="1"/>
      </font>
      <fill>
        <patternFill>
          <bgColor rgb="FFFF0000"/>
        </patternFill>
      </fill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b/>
        <i/>
        <color auto="1"/>
      </font>
      <fill>
        <patternFill>
          <bgColor rgb="FFFF0000"/>
        </patternFill>
      </fill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b/>
        <i/>
        <color auto="1"/>
      </font>
      <fill>
        <patternFill>
          <bgColor rgb="FFFF0000"/>
        </patternFill>
      </fill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b/>
        <i/>
        <color auto="1"/>
      </font>
      <fill>
        <patternFill>
          <bgColor rgb="FFFF0000"/>
        </patternFill>
      </fill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b/>
        <i/>
        <color auto="1"/>
      </font>
      <fill>
        <patternFill>
          <bgColor rgb="FFFF0000"/>
        </patternFill>
      </fill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b/>
        <i/>
        <color auto="1"/>
      </font>
      <fill>
        <patternFill>
          <bgColor rgb="FFFF0000"/>
        </patternFill>
      </fill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b/>
        <i/>
        <color auto="1"/>
      </font>
      <fill>
        <patternFill>
          <bgColor rgb="FFFF0000"/>
        </patternFill>
      </fill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b/>
        <i/>
        <color auto="1"/>
      </font>
      <fill>
        <patternFill>
          <bgColor rgb="FFFF0000"/>
        </patternFill>
      </fill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b/>
        <i/>
        <color auto="1"/>
      </font>
      <fill>
        <patternFill>
          <bgColor rgb="FFFF0000"/>
        </patternFill>
      </fill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b/>
        <i/>
        <color auto="1"/>
      </font>
      <fill>
        <patternFill>
          <bgColor rgb="FFFF0000"/>
        </patternFill>
      </fill>
    </dxf>
    <dxf>
      <font>
        <b/>
        <i/>
        <color auto="1"/>
      </font>
      <fill>
        <patternFill>
          <bgColor rgb="FFFF0000"/>
        </patternFill>
      </fill>
    </dxf>
    <dxf>
      <font>
        <b/>
        <i/>
        <color auto="1"/>
      </font>
      <fill>
        <patternFill>
          <bgColor rgb="FFFF0000"/>
        </patternFill>
      </fill>
    </dxf>
    <dxf>
      <font>
        <b/>
        <i/>
        <color auto="1"/>
      </font>
      <fill>
        <patternFill>
          <bgColor rgb="FFFF0000"/>
        </patternFill>
      </fill>
    </dxf>
    <dxf>
      <font>
        <b/>
        <i/>
        <color auto="1"/>
      </font>
      <fill>
        <patternFill>
          <bgColor rgb="FFFF0000"/>
        </patternFill>
      </fill>
    </dxf>
    <dxf>
      <font>
        <b/>
        <i/>
        <color auto="1"/>
      </font>
      <fill>
        <patternFill>
          <bgColor rgb="FFFF0000"/>
        </patternFill>
      </fill>
    </dxf>
    <dxf>
      <font>
        <b/>
        <i/>
        <color auto="1"/>
      </font>
      <fill>
        <patternFill>
          <bgColor rgb="FFFF0000"/>
        </patternFill>
      </fill>
    </dxf>
    <dxf>
      <font>
        <b/>
        <i/>
        <color auto="1"/>
      </font>
      <fill>
        <patternFill>
          <bgColor rgb="FFFF0000"/>
        </patternFill>
      </fill>
    </dxf>
    <dxf>
      <font>
        <b/>
        <i/>
        <color auto="1"/>
      </font>
      <fill>
        <patternFill>
          <bgColor rgb="FFFF0000"/>
        </patternFill>
      </fill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b/>
        <i/>
        <color auto="1"/>
      </font>
      <fill>
        <patternFill>
          <bgColor rgb="FFFF0000"/>
        </patternFill>
      </fill>
    </dxf>
    <dxf>
      <font>
        <b/>
        <i/>
        <color auto="1"/>
      </font>
      <fill>
        <patternFill>
          <bgColor rgb="FFFF0000"/>
        </patternFill>
      </fill>
    </dxf>
    <dxf>
      <font>
        <b/>
        <i/>
        <color auto="1"/>
      </font>
      <fill>
        <patternFill>
          <bgColor rgb="FFFF0000"/>
        </patternFill>
      </fill>
    </dxf>
    <dxf>
      <font>
        <b/>
        <i/>
        <color auto="1"/>
      </font>
      <fill>
        <patternFill>
          <bgColor rgb="FFFF0000"/>
        </patternFill>
      </fill>
    </dxf>
    <dxf>
      <font>
        <b/>
        <i/>
        <color auto="1"/>
      </font>
      <fill>
        <patternFill>
          <bgColor rgb="FFFF0000"/>
        </patternFill>
      </fill>
    </dxf>
    <dxf>
      <font>
        <b/>
        <i/>
        <color auto="1"/>
      </font>
      <fill>
        <patternFill>
          <bgColor rgb="FFFF0000"/>
        </patternFill>
      </fill>
    </dxf>
    <dxf>
      <font>
        <b/>
        <i/>
        <color auto="1"/>
      </font>
      <fill>
        <patternFill>
          <bgColor rgb="FFFF0000"/>
        </patternFill>
      </fill>
    </dxf>
    <dxf>
      <font>
        <b/>
        <i/>
        <color auto="1"/>
      </font>
      <fill>
        <patternFill>
          <bgColor rgb="FFFF0000"/>
        </patternFill>
      </fill>
    </dxf>
    <dxf>
      <font>
        <b/>
        <i/>
        <color auto="1"/>
      </font>
      <fill>
        <patternFill>
          <bgColor rgb="FFFF0000"/>
        </patternFill>
      </fill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b/>
        <i/>
        <color auto="1"/>
      </font>
      <fill>
        <patternFill>
          <bgColor rgb="FFFF0000"/>
        </patternFill>
      </fill>
    </dxf>
    <dxf>
      <font>
        <b/>
        <i/>
        <color auto="1"/>
      </font>
      <fill>
        <patternFill>
          <bgColor rgb="FFFF0000"/>
        </patternFill>
      </fill>
    </dxf>
    <dxf>
      <font>
        <b/>
        <i/>
        <color auto="1"/>
      </font>
      <fill>
        <patternFill>
          <bgColor rgb="FFFF0000"/>
        </patternFill>
      </fill>
    </dxf>
    <dxf>
      <font>
        <b/>
        <i/>
        <color auto="1"/>
      </font>
      <fill>
        <patternFill>
          <bgColor rgb="FFFF0000"/>
        </patternFill>
      </fill>
    </dxf>
    <dxf>
      <font>
        <b/>
        <i/>
        <color auto="1"/>
      </font>
      <fill>
        <patternFill>
          <bgColor rgb="FFFF0000"/>
        </patternFill>
      </fill>
    </dxf>
    <dxf>
      <font>
        <b/>
        <i/>
        <color auto="1"/>
      </font>
      <fill>
        <patternFill>
          <bgColor rgb="FFFF0000"/>
        </patternFill>
      </fill>
    </dxf>
    <dxf>
      <font>
        <b/>
        <i/>
        <color auto="1"/>
      </font>
      <fill>
        <patternFill>
          <bgColor rgb="FFFF0000"/>
        </patternFill>
      </fill>
    </dxf>
    <dxf>
      <font>
        <b/>
        <i/>
        <color auto="1"/>
      </font>
      <fill>
        <patternFill>
          <bgColor rgb="FFFF0000"/>
        </patternFill>
      </fill>
    </dxf>
    <dxf>
      <font>
        <b/>
        <i/>
        <color auto="1"/>
      </font>
      <fill>
        <patternFill>
          <bgColor rgb="FFFF0000"/>
        </patternFill>
      </fill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b/>
        <i/>
        <color auto="1"/>
      </font>
      <fill>
        <patternFill>
          <bgColor rgb="FFFF0000"/>
        </patternFill>
      </fill>
    </dxf>
    <dxf>
      <font>
        <b/>
        <i/>
        <color auto="1"/>
      </font>
      <fill>
        <patternFill>
          <bgColor rgb="FFFF0000"/>
        </patternFill>
      </fill>
    </dxf>
    <dxf>
      <font>
        <b/>
        <i/>
        <color auto="1"/>
      </font>
      <fill>
        <patternFill>
          <bgColor rgb="FFFF0000"/>
        </patternFill>
      </fill>
    </dxf>
    <dxf>
      <font>
        <b/>
        <i/>
        <color auto="1"/>
      </font>
      <fill>
        <patternFill>
          <bgColor rgb="FFFF0000"/>
        </patternFill>
      </fill>
    </dxf>
    <dxf>
      <font>
        <b/>
        <i/>
        <color auto="1"/>
      </font>
      <fill>
        <patternFill>
          <bgColor rgb="FFFF0000"/>
        </patternFill>
      </fill>
    </dxf>
    <dxf>
      <font>
        <b/>
        <i/>
        <color auto="1"/>
      </font>
      <fill>
        <patternFill>
          <bgColor rgb="FFFF0000"/>
        </patternFill>
      </fill>
    </dxf>
    <dxf>
      <font>
        <b/>
        <i/>
        <color auto="1"/>
      </font>
      <fill>
        <patternFill>
          <bgColor rgb="FFFF0000"/>
        </patternFill>
      </fill>
    </dxf>
    <dxf>
      <font>
        <b/>
        <i/>
        <color auto="1"/>
      </font>
      <fill>
        <patternFill>
          <bgColor rgb="FFFF0000"/>
        </patternFill>
      </fill>
    </dxf>
    <dxf>
      <font>
        <b/>
        <i/>
        <color auto="1"/>
      </font>
      <fill>
        <patternFill>
          <bgColor rgb="FFFF0000"/>
        </patternFill>
      </fill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b/>
        <i/>
        <color auto="1"/>
      </font>
      <fill>
        <patternFill>
          <bgColor rgb="FFFF0000"/>
        </patternFill>
      </fill>
    </dxf>
    <dxf>
      <font>
        <b/>
        <i/>
        <color auto="1"/>
      </font>
      <fill>
        <patternFill>
          <bgColor rgb="FFFF0000"/>
        </patternFill>
      </fill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b/>
        <i/>
        <color auto="1"/>
      </font>
      <fill>
        <patternFill>
          <bgColor rgb="FFFF0000"/>
        </patternFill>
      </fill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b/>
        <i/>
        <color auto="1"/>
      </font>
      <fill>
        <patternFill>
          <bgColor rgb="FFFF0000"/>
        </patternFill>
      </fill>
    </dxf>
    <dxf>
      <font>
        <b/>
        <i/>
        <color auto="1"/>
      </font>
      <fill>
        <patternFill>
          <bgColor rgb="FFFF0000"/>
        </patternFill>
      </fill>
    </dxf>
    <dxf>
      <font>
        <b/>
        <i/>
        <color auto="1"/>
      </font>
      <fill>
        <patternFill>
          <bgColor rgb="FFFF0000"/>
        </patternFill>
      </fill>
    </dxf>
    <dxf>
      <font>
        <b/>
        <i/>
        <color auto="1"/>
      </font>
      <fill>
        <patternFill>
          <bgColor rgb="FFFF0000"/>
        </patternFill>
      </fill>
    </dxf>
    <dxf>
      <font>
        <b/>
        <i/>
        <color auto="1"/>
      </font>
      <fill>
        <patternFill>
          <bgColor rgb="FFFF0000"/>
        </patternFill>
      </fill>
    </dxf>
    <dxf>
      <font>
        <b/>
        <i/>
        <color auto="1"/>
      </font>
      <fill>
        <patternFill>
          <bgColor rgb="FFFF0000"/>
        </patternFill>
      </fill>
    </dxf>
    <dxf>
      <font>
        <b/>
        <i/>
        <color auto="1"/>
      </font>
      <fill>
        <patternFill>
          <bgColor rgb="FFFF0000"/>
        </patternFill>
      </fill>
    </dxf>
    <dxf>
      <font>
        <b/>
        <i/>
        <color auto="1"/>
      </font>
      <fill>
        <patternFill>
          <bgColor rgb="FFFF0000"/>
        </patternFill>
      </fill>
    </dxf>
    <dxf>
      <font>
        <b/>
        <i/>
        <color auto="1"/>
      </font>
      <fill>
        <patternFill>
          <bgColor rgb="FFFF0000"/>
        </patternFill>
      </fill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b/>
        <i/>
        <color auto="1"/>
      </font>
      <fill>
        <patternFill>
          <bgColor rgb="FFFF0000"/>
        </patternFill>
      </fill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b/>
        <i/>
        <color auto="1"/>
      </font>
      <fill>
        <patternFill>
          <bgColor rgb="FFFF0000"/>
        </patternFill>
      </fill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b/>
        <i/>
        <color auto="1"/>
      </font>
      <fill>
        <patternFill>
          <bgColor rgb="FFFF0000"/>
        </patternFill>
      </fill>
    </dxf>
    <dxf>
      <font>
        <b/>
        <i/>
        <color auto="1"/>
      </font>
      <fill>
        <patternFill>
          <bgColor rgb="FFFF0000"/>
        </patternFill>
      </fill>
    </dxf>
    <dxf>
      <font>
        <b/>
        <i/>
        <color auto="1"/>
      </font>
      <fill>
        <patternFill>
          <bgColor rgb="FFFF0000"/>
        </patternFill>
      </fill>
    </dxf>
    <dxf>
      <font>
        <b/>
        <i/>
        <color auto="1"/>
      </font>
      <fill>
        <patternFill>
          <bgColor rgb="FFFF0000"/>
        </patternFill>
      </fill>
    </dxf>
    <dxf>
      <font>
        <b/>
        <i/>
        <color auto="1"/>
      </font>
      <fill>
        <patternFill>
          <bgColor rgb="FFFF0000"/>
        </patternFill>
      </fill>
    </dxf>
    <dxf>
      <font>
        <b/>
        <i/>
        <color auto="1"/>
      </font>
      <fill>
        <patternFill>
          <bgColor rgb="FFFF0000"/>
        </patternFill>
      </fill>
    </dxf>
    <dxf>
      <font>
        <b/>
        <i/>
        <color auto="1"/>
      </font>
      <fill>
        <patternFill>
          <bgColor rgb="FFFF0000"/>
        </patternFill>
      </fill>
    </dxf>
    <dxf>
      <font>
        <b/>
        <i/>
        <color auto="1"/>
      </font>
      <fill>
        <patternFill>
          <bgColor rgb="FFFF0000"/>
        </patternFill>
      </fill>
    </dxf>
    <dxf>
      <font>
        <b/>
        <i/>
        <color auto="1"/>
      </font>
      <fill>
        <patternFill>
          <bgColor rgb="FFFF0000"/>
        </patternFill>
      </fill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b/>
        <i/>
        <color auto="1"/>
      </font>
      <fill>
        <patternFill>
          <bgColor rgb="FFFF0000"/>
        </patternFill>
      </fill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b/>
        <i/>
        <color auto="1"/>
      </font>
      <fill>
        <patternFill>
          <bgColor rgb="FFFF0000"/>
        </patternFill>
      </fill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b/>
        <i/>
        <color auto="1"/>
      </font>
      <fill>
        <patternFill>
          <bgColor rgb="FFFF0000"/>
        </patternFill>
      </fill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b/>
        <i/>
        <color auto="1"/>
      </font>
      <fill>
        <patternFill>
          <bgColor rgb="FFFF0000"/>
        </patternFill>
      </fill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b/>
        <i/>
        <color auto="1"/>
      </font>
      <fill>
        <patternFill>
          <bgColor rgb="FFFF0000"/>
        </patternFill>
      </fill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b/>
        <i/>
        <color auto="1"/>
      </font>
      <fill>
        <patternFill>
          <bgColor rgb="FFFF0000"/>
        </patternFill>
      </fill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b/>
        <i/>
        <color auto="1"/>
      </font>
      <fill>
        <patternFill>
          <bgColor rgb="FFFF0000"/>
        </patternFill>
      </fill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b/>
        <i/>
        <color auto="1"/>
      </font>
      <fill>
        <patternFill>
          <bgColor rgb="FFFF0000"/>
        </patternFill>
      </fill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b/>
        <i/>
        <color auto="1"/>
      </font>
      <fill>
        <patternFill>
          <bgColor rgb="FFFF0000"/>
        </patternFill>
      </fill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b/>
        <i/>
        <color auto="1"/>
      </font>
      <fill>
        <patternFill>
          <bgColor rgb="FFFF0000"/>
        </patternFill>
      </fill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b/>
        <i/>
        <color auto="1"/>
      </font>
      <fill>
        <patternFill>
          <bgColor rgb="FFFF0000"/>
        </patternFill>
      </fill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b/>
        <i/>
        <color auto="1"/>
      </font>
      <fill>
        <patternFill>
          <bgColor rgb="FFFF0000"/>
        </patternFill>
      </fill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b/>
        <i/>
        <color auto="1"/>
      </font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FF4343"/>
      <color rgb="FFCC3399"/>
      <color rgb="FFFF9999"/>
      <color rgb="FFD086CC"/>
      <color rgb="FFFFAFAF"/>
      <color rgb="FF333F4F"/>
      <color rgb="FFF1DBF0"/>
      <color rgb="FF92D2EE"/>
      <color rgb="FF4B86CD"/>
      <color rgb="FF2757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sheetMetadata" Target="metadata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sharedStrings" Target="sharedStrings.xml"/><Relationship Id="rId45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customXml" Target="../customXml/item1.xml"/></Relationships>
</file>

<file path=xl/ctrlProps/ctrlProp1.xml><?xml version="1.0" encoding="utf-8"?>
<formControlPr xmlns="http://schemas.microsoft.com/office/spreadsheetml/2009/9/main" objectType="Button" lockText="1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hyperlink" Target="#'Model map'!A1"/><Relationship Id="rId13" Type="http://schemas.openxmlformats.org/officeDocument/2006/relationships/hyperlink" Target="#'ARP_Load characteristics'!A1"/><Relationship Id="rId18" Type="http://schemas.openxmlformats.org/officeDocument/2006/relationships/hyperlink" Target="#'Fixed charges'!A1"/><Relationship Id="rId26" Type="http://schemas.openxmlformats.org/officeDocument/2006/relationships/hyperlink" Target="#'Standing Charge Factors'!A1"/><Relationship Id="rId3" Type="http://schemas.openxmlformats.org/officeDocument/2006/relationships/hyperlink" Target="#'Inputs by customer type'!A1"/><Relationship Id="rId21" Type="http://schemas.openxmlformats.org/officeDocument/2006/relationships/hyperlink" Target="#'Service model charges'!A1"/><Relationship Id="rId34" Type="http://schemas.openxmlformats.org/officeDocument/2006/relationships/hyperlink" Target="#'Fixed inputs'!A1"/><Relationship Id="rId7" Type="http://schemas.openxmlformats.org/officeDocument/2006/relationships/hyperlink" Target="#'Version control'!A1"/><Relationship Id="rId12" Type="http://schemas.openxmlformats.org/officeDocument/2006/relationships/hyperlink" Target="#'ARP_CDCM timebands'!A1"/><Relationship Id="rId17" Type="http://schemas.openxmlformats.org/officeDocument/2006/relationships/hyperlink" Target="#'Capacity charges'!A1"/><Relationship Id="rId25" Type="http://schemas.openxmlformats.org/officeDocument/2006/relationships/hyperlink" Target="#'Pseudo-load coefficients'!A1"/><Relationship Id="rId33" Type="http://schemas.openxmlformats.org/officeDocument/2006/relationships/hyperlink" Target="#'ARP_Inputs by network level'!A1"/><Relationship Id="rId2" Type="http://schemas.openxmlformats.org/officeDocument/2006/relationships/hyperlink" Target="#'Inputs by network level'!A1"/><Relationship Id="rId16" Type="http://schemas.openxmlformats.org/officeDocument/2006/relationships/hyperlink" Target="#'Unit rate charges'!A1"/><Relationship Id="rId20" Type="http://schemas.openxmlformats.org/officeDocument/2006/relationships/hyperlink" Target="#'Unit costs'!A1"/><Relationship Id="rId29" Type="http://schemas.openxmlformats.org/officeDocument/2006/relationships/hyperlink" Target="#'Revenue matching'!A1"/><Relationship Id="rId1" Type="http://schemas.openxmlformats.org/officeDocument/2006/relationships/hyperlink" Target="#'General inputs'!A1"/><Relationship Id="rId6" Type="http://schemas.openxmlformats.org/officeDocument/2006/relationships/hyperlink" Target="#Cover!A1"/><Relationship Id="rId11" Type="http://schemas.openxmlformats.org/officeDocument/2006/relationships/hyperlink" Target="#'ARP_DNO commentary'!A1"/><Relationship Id="rId24" Type="http://schemas.openxmlformats.org/officeDocument/2006/relationships/hyperlink" Target="#'Volume adjustments'!A1"/><Relationship Id="rId32" Type="http://schemas.openxmlformats.org/officeDocument/2006/relationships/hyperlink" Target="#'ARP_General inputs'!A1"/><Relationship Id="rId37" Type="http://schemas.openxmlformats.org/officeDocument/2006/relationships/hyperlink" Target="#'Fixed charge adder'!A1"/><Relationship Id="rId5" Type="http://schemas.openxmlformats.org/officeDocument/2006/relationships/hyperlink" Target="#'Typical bills'!A1"/><Relationship Id="rId15" Type="http://schemas.openxmlformats.org/officeDocument/2006/relationships/hyperlink" Target="#'Initial unit rates'!A1"/><Relationship Id="rId23" Type="http://schemas.openxmlformats.org/officeDocument/2006/relationships/hyperlink" Target="#'Customer contributions'!A1"/><Relationship Id="rId28" Type="http://schemas.openxmlformats.org/officeDocument/2006/relationships/hyperlink" Target="#'System peak demand'!A1"/><Relationship Id="rId36" Type="http://schemas.openxmlformats.org/officeDocument/2006/relationships/image" Target="../media/image3.png"/><Relationship Id="rId10" Type="http://schemas.openxmlformats.org/officeDocument/2006/relationships/hyperlink" Target="#'Named ranges'!A1"/><Relationship Id="rId19" Type="http://schemas.openxmlformats.org/officeDocument/2006/relationships/hyperlink" Target="#'Reactive power charges'!A1"/><Relationship Id="rId31" Type="http://schemas.openxmlformats.org/officeDocument/2006/relationships/hyperlink" Target="#'Net revenue summary'!A1"/><Relationship Id="rId4" Type="http://schemas.openxmlformats.org/officeDocument/2006/relationships/hyperlink" Target="#'Tariff summary'!A1"/><Relationship Id="rId9" Type="http://schemas.openxmlformats.org/officeDocument/2006/relationships/hyperlink" Target="#Index!A1"/><Relationship Id="rId14" Type="http://schemas.openxmlformats.org/officeDocument/2006/relationships/hyperlink" Target="#'ARP_Peaking probabilities'!A1"/><Relationship Id="rId22" Type="http://schemas.openxmlformats.org/officeDocument/2006/relationships/hyperlink" Target="#'Service model assets'!A1"/><Relationship Id="rId27" Type="http://schemas.openxmlformats.org/officeDocument/2006/relationships/hyperlink" Target="#'Load &amp; loss characteristics'!A1"/><Relationship Id="rId30" Type="http://schemas.openxmlformats.org/officeDocument/2006/relationships/hyperlink" Target="#Rounding!A1"/><Relationship Id="rId35" Type="http://schemas.openxmlformats.org/officeDocument/2006/relationships/hyperlink" Target="#'ARP_User control'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10715</xdr:colOff>
      <xdr:row>1</xdr:row>
      <xdr:rowOff>0</xdr:rowOff>
    </xdr:from>
    <xdr:to>
      <xdr:col>1</xdr:col>
      <xdr:colOff>587692</xdr:colOff>
      <xdr:row>3</xdr:row>
      <xdr:rowOff>20633</xdr:rowOff>
    </xdr:to>
    <xdr:pic>
      <xdr:nvPicPr>
        <xdr:cNvPr id="4" name="Picture 3" descr="S:\Administration\Logos\CEPA\CEPA 4 squares only.bmp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9309" y="190500"/>
          <a:ext cx="565547" cy="5734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3</xdr:row>
      <xdr:rowOff>101201</xdr:rowOff>
    </xdr:from>
    <xdr:to>
      <xdr:col>1</xdr:col>
      <xdr:colOff>698738</xdr:colOff>
      <xdr:row>4</xdr:row>
      <xdr:rowOff>98940</xdr:rowOff>
    </xdr:to>
    <xdr:pic>
      <xdr:nvPicPr>
        <xdr:cNvPr id="7" name="Picture 6" descr="Image result for tnei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8594" y="839389"/>
          <a:ext cx="701278" cy="2584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1098081</xdr:colOff>
      <xdr:row>39</xdr:row>
      <xdr:rowOff>71468</xdr:rowOff>
    </xdr:from>
    <xdr:to>
      <xdr:col>7</xdr:col>
      <xdr:colOff>1103757</xdr:colOff>
      <xdr:row>40</xdr:row>
      <xdr:rowOff>26336</xdr:rowOff>
    </xdr:to>
    <xdr:cxnSp macro="">
      <xdr:nvCxnSpPr>
        <xdr:cNvPr id="151" name="Straight Arrow Connector 150">
          <a:extLst>
            <a:ext uri="{FF2B5EF4-FFF2-40B4-BE49-F238E27FC236}">
              <a16:creationId xmlns:a16="http://schemas.microsoft.com/office/drawing/2014/main" id="{00000000-0008-0000-0200-000097000000}"/>
            </a:ext>
          </a:extLst>
        </xdr:cNvPr>
        <xdr:cNvCxnSpPr>
          <a:cxnSpLocks/>
          <a:stCxn id="177" idx="2"/>
          <a:endCxn id="141" idx="0"/>
        </xdr:cNvCxnSpPr>
      </xdr:nvCxnSpPr>
      <xdr:spPr>
        <a:xfrm flipH="1">
          <a:off x="4309367" y="7593497"/>
          <a:ext cx="5676" cy="139925"/>
        </a:xfrm>
        <a:prstGeom prst="straightConnector1">
          <a:avLst/>
        </a:prstGeom>
        <a:noFill/>
        <a:ln w="6350" cap="flat" cmpd="sng" algn="ctr">
          <a:solidFill>
            <a:sysClr val="windowText" lastClr="000000"/>
          </a:solidFill>
          <a:prstDash val="solid"/>
          <a:miter lim="800000"/>
          <a:tailEnd type="triangle"/>
        </a:ln>
        <a:effectLst/>
      </xdr:spPr>
    </xdr:cxnSp>
    <xdr:clientData/>
  </xdr:twoCellAnchor>
  <xdr:twoCellAnchor>
    <xdr:from>
      <xdr:col>8</xdr:col>
      <xdr:colOff>1732072</xdr:colOff>
      <xdr:row>39</xdr:row>
      <xdr:rowOff>48550</xdr:rowOff>
    </xdr:from>
    <xdr:to>
      <xdr:col>8</xdr:col>
      <xdr:colOff>1733524</xdr:colOff>
      <xdr:row>43</xdr:row>
      <xdr:rowOff>135204</xdr:rowOff>
    </xdr:to>
    <xdr:cxnSp macro="">
      <xdr:nvCxnSpPr>
        <xdr:cNvPr id="152" name="Straight Arrow Connector 151">
          <a:extLst>
            <a:ext uri="{FF2B5EF4-FFF2-40B4-BE49-F238E27FC236}">
              <a16:creationId xmlns:a16="http://schemas.microsoft.com/office/drawing/2014/main" id="{00000000-0008-0000-0200-000098000000}"/>
            </a:ext>
          </a:extLst>
        </xdr:cNvPr>
        <xdr:cNvCxnSpPr>
          <a:cxnSpLocks/>
          <a:stCxn id="178" idx="2"/>
          <a:endCxn id="147" idx="0"/>
        </xdr:cNvCxnSpPr>
      </xdr:nvCxnSpPr>
      <xdr:spPr>
        <a:xfrm>
          <a:off x="6579796" y="7478050"/>
          <a:ext cx="1452" cy="848654"/>
        </a:xfrm>
        <a:prstGeom prst="straightConnector1">
          <a:avLst/>
        </a:prstGeom>
        <a:noFill/>
        <a:ln w="6350" cap="flat" cmpd="sng" algn="ctr">
          <a:solidFill>
            <a:sysClr val="windowText" lastClr="000000"/>
          </a:solidFill>
          <a:prstDash val="solid"/>
          <a:miter lim="800000"/>
          <a:tailEnd type="triangle"/>
        </a:ln>
        <a:effectLst/>
      </xdr:spPr>
    </xdr:cxnSp>
    <xdr:clientData/>
  </xdr:twoCellAnchor>
  <xdr:twoCellAnchor>
    <xdr:from>
      <xdr:col>8</xdr:col>
      <xdr:colOff>869800</xdr:colOff>
      <xdr:row>24</xdr:row>
      <xdr:rowOff>154531</xdr:rowOff>
    </xdr:from>
    <xdr:to>
      <xdr:col>8</xdr:col>
      <xdr:colOff>871279</xdr:colOff>
      <xdr:row>25</xdr:row>
      <xdr:rowOff>173835</xdr:rowOff>
    </xdr:to>
    <xdr:cxnSp macro="">
      <xdr:nvCxnSpPr>
        <xdr:cNvPr id="162" name="Straight Arrow Connector 161">
          <a:extLst>
            <a:ext uri="{FF2B5EF4-FFF2-40B4-BE49-F238E27FC236}">
              <a16:creationId xmlns:a16="http://schemas.microsoft.com/office/drawing/2014/main" id="{00000000-0008-0000-0200-0000A2000000}"/>
            </a:ext>
          </a:extLst>
        </xdr:cNvPr>
        <xdr:cNvCxnSpPr>
          <a:cxnSpLocks/>
          <a:stCxn id="158" idx="2"/>
          <a:endCxn id="137" idx="0"/>
        </xdr:cNvCxnSpPr>
      </xdr:nvCxnSpPr>
      <xdr:spPr>
        <a:xfrm flipH="1">
          <a:off x="5965675" y="4678906"/>
          <a:ext cx="1479" cy="209804"/>
        </a:xfrm>
        <a:prstGeom prst="straightConnector1">
          <a:avLst/>
        </a:prstGeom>
        <a:noFill/>
        <a:ln w="6350" cap="flat" cmpd="sng" algn="ctr">
          <a:solidFill>
            <a:sysClr val="windowText" lastClr="000000"/>
          </a:solidFill>
          <a:prstDash val="solid"/>
          <a:miter lim="800000"/>
          <a:tailEnd type="triangle"/>
        </a:ln>
        <a:effectLst/>
      </xdr:spPr>
    </xdr:cxnSp>
    <xdr:clientData/>
  </xdr:twoCellAnchor>
  <xdr:twoCellAnchor>
    <xdr:from>
      <xdr:col>8</xdr:col>
      <xdr:colOff>867809</xdr:colOff>
      <xdr:row>57</xdr:row>
      <xdr:rowOff>158571</xdr:rowOff>
    </xdr:from>
    <xdr:to>
      <xdr:col>8</xdr:col>
      <xdr:colOff>869800</xdr:colOff>
      <xdr:row>58</xdr:row>
      <xdr:rowOff>137220</xdr:rowOff>
    </xdr:to>
    <xdr:cxnSp macro="">
      <xdr:nvCxnSpPr>
        <xdr:cNvPr id="163" name="Straight Arrow Connector 162">
          <a:extLst>
            <a:ext uri="{FF2B5EF4-FFF2-40B4-BE49-F238E27FC236}">
              <a16:creationId xmlns:a16="http://schemas.microsoft.com/office/drawing/2014/main" id="{00000000-0008-0000-0200-0000A3000000}"/>
            </a:ext>
          </a:extLst>
        </xdr:cNvPr>
        <xdr:cNvCxnSpPr>
          <a:cxnSpLocks/>
          <a:stCxn id="137" idx="2"/>
          <a:endCxn id="155" idx="0"/>
        </xdr:cNvCxnSpPr>
      </xdr:nvCxnSpPr>
      <xdr:spPr>
        <a:xfrm flipH="1">
          <a:off x="5963684" y="10893246"/>
          <a:ext cx="1991" cy="169149"/>
        </a:xfrm>
        <a:prstGeom prst="straightConnector1">
          <a:avLst/>
        </a:prstGeom>
        <a:noFill/>
        <a:ln w="6350" cap="flat" cmpd="sng" algn="ctr">
          <a:solidFill>
            <a:sysClr val="windowText" lastClr="000000"/>
          </a:solidFill>
          <a:prstDash val="solid"/>
          <a:miter lim="800000"/>
          <a:tailEnd type="triangle"/>
        </a:ln>
        <a:effectLst/>
      </xdr:spPr>
    </xdr:cxnSp>
    <xdr:clientData/>
  </xdr:twoCellAnchor>
  <xdr:twoCellAnchor>
    <xdr:from>
      <xdr:col>5</xdr:col>
      <xdr:colOff>912252</xdr:colOff>
      <xdr:row>20</xdr:row>
      <xdr:rowOff>81415</xdr:rowOff>
    </xdr:from>
    <xdr:to>
      <xdr:col>8</xdr:col>
      <xdr:colOff>4973681</xdr:colOff>
      <xdr:row>24</xdr:row>
      <xdr:rowOff>154530</xdr:rowOff>
    </xdr:to>
    <xdr:grpSp>
      <xdr:nvGrpSpPr>
        <xdr:cNvPr id="25" name="Group 24">
          <a:extLst>
            <a:ext uri="{FF2B5EF4-FFF2-40B4-BE49-F238E27FC236}">
              <a16:creationId xmlns:a16="http://schemas.microsoft.com/office/drawing/2014/main" id="{00000000-0008-0000-0200-000019000000}"/>
            </a:ext>
          </a:extLst>
        </xdr:cNvPr>
        <xdr:cNvGrpSpPr/>
      </xdr:nvGrpSpPr>
      <xdr:grpSpPr>
        <a:xfrm>
          <a:off x="1745690" y="3891415"/>
          <a:ext cx="7966679" cy="835115"/>
          <a:chOff x="1562353" y="14827155"/>
          <a:chExt cx="8096674" cy="841308"/>
        </a:xfrm>
      </xdr:grpSpPr>
      <xdr:sp macro="" textlink="">
        <xdr:nvSpPr>
          <xdr:cNvPr id="158" name="Rectangle 157">
            <a:extLst>
              <a:ext uri="{FF2B5EF4-FFF2-40B4-BE49-F238E27FC236}">
                <a16:creationId xmlns:a16="http://schemas.microsoft.com/office/drawing/2014/main" id="{00000000-0008-0000-0200-00009E000000}"/>
              </a:ext>
            </a:extLst>
          </xdr:cNvPr>
          <xdr:cNvSpPr/>
        </xdr:nvSpPr>
        <xdr:spPr>
          <a:xfrm>
            <a:off x="1562353" y="14827155"/>
            <a:ext cx="8096674" cy="841308"/>
          </a:xfrm>
          <a:prstGeom prst="rect">
            <a:avLst/>
          </a:prstGeom>
          <a:solidFill>
            <a:schemeClr val="accent5">
              <a:lumMod val="75000"/>
            </a:schemeClr>
          </a:solidFill>
          <a:ln w="12700" cap="flat" cmpd="sng" algn="ctr">
            <a:noFill/>
            <a:prstDash val="solid"/>
            <a:miter lim="800000"/>
          </a:ln>
          <a:effectLst/>
        </xdr:spPr>
        <xdr:txBody>
          <a:bodyPr rot="0" spcFirstLastPara="0" vert="horz" wrap="square" lIns="91440" tIns="45720" rIns="91440" bIns="45720" numCol="1" spcCol="0" rtlCol="0" fromWordArt="0" anchor="t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en-GB" sz="1100" b="0" i="0" u="none" strike="noStrike" kern="0" cap="none" spc="0" normalizeH="0" baseline="0">
                <a:ln>
                  <a:noFill/>
                </a:ln>
                <a:solidFill>
                  <a:sysClr val="window" lastClr="FFFFFF"/>
                </a:solidFill>
                <a:effectLst/>
                <a:uLnTx/>
                <a:uFillTx/>
                <a:latin typeface="Calibri" panose="020F0502020204030204"/>
                <a:ea typeface="+mn-ea"/>
                <a:cs typeface="+mn-cs"/>
              </a:rPr>
              <a:t>CDCM "live year" input sheets</a:t>
            </a:r>
          </a:p>
        </xdr:txBody>
      </xdr:sp>
      <xdr:sp macro="" textlink="">
        <xdr:nvSpPr>
          <xdr:cNvPr id="168" name="Rectangle 167">
            <a:hlinkClick xmlns:r="http://schemas.openxmlformats.org/officeDocument/2006/relationships" r:id="rId1"/>
            <a:extLst>
              <a:ext uri="{FF2B5EF4-FFF2-40B4-BE49-F238E27FC236}">
                <a16:creationId xmlns:a16="http://schemas.microsoft.com/office/drawing/2014/main" id="{00000000-0008-0000-0200-0000A8000000}"/>
              </a:ext>
            </a:extLst>
          </xdr:cNvPr>
          <xdr:cNvSpPr/>
        </xdr:nvSpPr>
        <xdr:spPr>
          <a:xfrm>
            <a:off x="6545336" y="15104944"/>
            <a:ext cx="1431248" cy="431971"/>
          </a:xfrm>
          <a:prstGeom prst="rect">
            <a:avLst/>
          </a:prstGeom>
          <a:solidFill>
            <a:schemeClr val="accent5">
              <a:lumMod val="60000"/>
              <a:lumOff val="40000"/>
            </a:schemeClr>
          </a:solidFill>
          <a:ln w="12700" cap="flat" cmpd="sng" algn="ctr">
            <a:noFill/>
            <a:prstDash val="solid"/>
            <a:miter lim="800000"/>
          </a:ln>
          <a:effectLst/>
        </xdr:spPr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en-GB" sz="1100" b="0" i="0" u="none" strike="noStrike" kern="0" cap="none" spc="0" normalizeH="0" baseline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Calibri" panose="020F0502020204030204"/>
                <a:ea typeface="+mn-ea"/>
                <a:cs typeface="+mn-cs"/>
              </a:rPr>
              <a:t>General inputs</a:t>
            </a:r>
          </a:p>
        </xdr:txBody>
      </xdr:sp>
      <xdr:sp macro="" textlink="">
        <xdr:nvSpPr>
          <xdr:cNvPr id="169" name="Rectangle 168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00000000-0008-0000-0200-0000A9000000}"/>
              </a:ext>
            </a:extLst>
          </xdr:cNvPr>
          <xdr:cNvSpPr/>
        </xdr:nvSpPr>
        <xdr:spPr>
          <a:xfrm>
            <a:off x="4919904" y="15104944"/>
            <a:ext cx="1438111" cy="431971"/>
          </a:xfrm>
          <a:prstGeom prst="rect">
            <a:avLst/>
          </a:prstGeom>
          <a:solidFill>
            <a:schemeClr val="accent5">
              <a:lumMod val="60000"/>
              <a:lumOff val="40000"/>
            </a:schemeClr>
          </a:solidFill>
          <a:ln w="12700" cap="flat" cmpd="sng" algn="ctr">
            <a:noFill/>
            <a:prstDash val="solid"/>
            <a:miter lim="800000"/>
          </a:ln>
          <a:effectLst/>
        </xdr:spPr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en-GB" sz="1100" b="0" i="0" u="none" strike="noStrike" kern="0" cap="none" spc="0" normalizeH="0" baseline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Calibri" panose="020F0502020204030204"/>
                <a:ea typeface="+mn-ea"/>
                <a:cs typeface="+mn-cs"/>
              </a:rPr>
              <a:t>Inputs by network level</a:t>
            </a:r>
          </a:p>
        </xdr:txBody>
      </xdr:sp>
      <xdr:sp macro="" textlink="">
        <xdr:nvSpPr>
          <xdr:cNvPr id="172" name="Rectangle 171">
            <a:hlinkClick xmlns:r="http://schemas.openxmlformats.org/officeDocument/2006/relationships" r:id="rId3"/>
            <a:extLst>
              <a:ext uri="{FF2B5EF4-FFF2-40B4-BE49-F238E27FC236}">
                <a16:creationId xmlns:a16="http://schemas.microsoft.com/office/drawing/2014/main" id="{00000000-0008-0000-0200-0000AC000000}"/>
              </a:ext>
            </a:extLst>
          </xdr:cNvPr>
          <xdr:cNvSpPr/>
        </xdr:nvSpPr>
        <xdr:spPr>
          <a:xfrm>
            <a:off x="3302423" y="15104944"/>
            <a:ext cx="1430161" cy="431971"/>
          </a:xfrm>
          <a:prstGeom prst="rect">
            <a:avLst/>
          </a:prstGeom>
          <a:solidFill>
            <a:schemeClr val="accent5">
              <a:lumMod val="60000"/>
              <a:lumOff val="40000"/>
            </a:schemeClr>
          </a:solidFill>
          <a:ln w="12700" cap="flat" cmpd="sng" algn="ctr">
            <a:noFill/>
            <a:prstDash val="solid"/>
            <a:miter lim="800000"/>
          </a:ln>
          <a:effectLst/>
        </xdr:spPr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en-GB" sz="1100" b="0" i="0" u="none" strike="noStrike" kern="0" cap="none" spc="0" normalizeH="0" baseline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Calibri" panose="020F0502020204030204"/>
                <a:ea typeface="+mn-ea"/>
                <a:cs typeface="+mn-cs"/>
              </a:rPr>
              <a:t>Inputs by customer type</a:t>
            </a:r>
          </a:p>
        </xdr:txBody>
      </xdr:sp>
    </xdr:grpSp>
    <xdr:clientData/>
  </xdr:twoCellAnchor>
  <xdr:twoCellAnchor>
    <xdr:from>
      <xdr:col>5</xdr:col>
      <xdr:colOff>905060</xdr:colOff>
      <xdr:row>58</xdr:row>
      <xdr:rowOff>137220</xdr:rowOff>
    </xdr:from>
    <xdr:to>
      <xdr:col>8</xdr:col>
      <xdr:colOff>4973933</xdr:colOff>
      <xdr:row>62</xdr:row>
      <xdr:rowOff>140142</xdr:rowOff>
    </xdr:to>
    <xdr:grpSp>
      <xdr:nvGrpSpPr>
        <xdr:cNvPr id="26" name="Group 25">
          <a:extLst>
            <a:ext uri="{FF2B5EF4-FFF2-40B4-BE49-F238E27FC236}">
              <a16:creationId xmlns:a16="http://schemas.microsoft.com/office/drawing/2014/main" id="{00000000-0008-0000-0200-00001A000000}"/>
            </a:ext>
          </a:extLst>
        </xdr:cNvPr>
        <xdr:cNvGrpSpPr/>
      </xdr:nvGrpSpPr>
      <xdr:grpSpPr>
        <a:xfrm>
          <a:off x="1738498" y="11186220"/>
          <a:ext cx="7974123" cy="764922"/>
          <a:chOff x="1542003" y="22099288"/>
          <a:chExt cx="8104020" cy="770594"/>
        </a:xfrm>
      </xdr:grpSpPr>
      <xdr:sp macro="" textlink="">
        <xdr:nvSpPr>
          <xdr:cNvPr id="155" name="Rectangle 154">
            <a:extLst>
              <a:ext uri="{FF2B5EF4-FFF2-40B4-BE49-F238E27FC236}">
                <a16:creationId xmlns:a16="http://schemas.microsoft.com/office/drawing/2014/main" id="{00000000-0008-0000-0200-00009B000000}"/>
              </a:ext>
            </a:extLst>
          </xdr:cNvPr>
          <xdr:cNvSpPr/>
        </xdr:nvSpPr>
        <xdr:spPr>
          <a:xfrm>
            <a:off x="1542003" y="22099288"/>
            <a:ext cx="8104020" cy="770594"/>
          </a:xfrm>
          <a:prstGeom prst="rect">
            <a:avLst/>
          </a:prstGeom>
          <a:solidFill>
            <a:schemeClr val="accent6"/>
          </a:solidFill>
          <a:ln w="12700" cap="flat" cmpd="sng" algn="ctr">
            <a:noFill/>
            <a:prstDash val="solid"/>
            <a:miter lim="800000"/>
          </a:ln>
          <a:effectLst/>
        </xdr:spPr>
        <xdr:txBody>
          <a:bodyPr rot="0" spcFirstLastPara="0" vert="horz" wrap="square" lIns="91440" tIns="45720" rIns="91440" bIns="45720" numCol="1" spcCol="0" rtlCol="0" fromWordArt="0" anchor="t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en-GB" sz="1100" b="0" i="0" u="none" strike="noStrike" kern="0" cap="none" spc="0" normalizeH="0" baseline="0">
                <a:ln>
                  <a:noFill/>
                </a:ln>
                <a:solidFill>
                  <a:sysClr val="window" lastClr="FFFFFF"/>
                </a:solidFill>
                <a:effectLst/>
                <a:uLnTx/>
                <a:uFillTx/>
                <a:latin typeface="Calibri" panose="020F0502020204030204"/>
                <a:ea typeface="+mn-ea"/>
                <a:cs typeface="+mn-cs"/>
              </a:rPr>
              <a:t>Results sheets</a:t>
            </a:r>
          </a:p>
        </xdr:txBody>
      </xdr:sp>
      <xdr:sp macro="" textlink="">
        <xdr:nvSpPr>
          <xdr:cNvPr id="156" name="Rectangle 155">
            <a:hlinkClick xmlns:r="http://schemas.openxmlformats.org/officeDocument/2006/relationships" r:id="rId4"/>
            <a:extLst>
              <a:ext uri="{FF2B5EF4-FFF2-40B4-BE49-F238E27FC236}">
                <a16:creationId xmlns:a16="http://schemas.microsoft.com/office/drawing/2014/main" id="{00000000-0008-0000-0200-00009C000000}"/>
              </a:ext>
            </a:extLst>
          </xdr:cNvPr>
          <xdr:cNvSpPr/>
        </xdr:nvSpPr>
        <xdr:spPr>
          <a:xfrm>
            <a:off x="4081936" y="22273597"/>
            <a:ext cx="1417327" cy="430639"/>
          </a:xfrm>
          <a:prstGeom prst="rect">
            <a:avLst/>
          </a:prstGeom>
          <a:solidFill>
            <a:schemeClr val="accent6">
              <a:lumMod val="40000"/>
              <a:lumOff val="60000"/>
            </a:schemeClr>
          </a:solidFill>
          <a:ln w="12700" cap="flat" cmpd="sng" algn="ctr">
            <a:noFill/>
            <a:prstDash val="solid"/>
            <a:miter lim="800000"/>
          </a:ln>
          <a:effectLst/>
        </xdr:spPr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en-GB" sz="1100" b="0" i="0" u="none" strike="noStrike" kern="0" cap="none" spc="0" normalizeH="0" baseline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Calibri" panose="020F0502020204030204"/>
                <a:ea typeface="+mn-ea"/>
                <a:cs typeface="+mn-cs"/>
              </a:rPr>
              <a:t>Tariff summary</a:t>
            </a:r>
          </a:p>
        </xdr:txBody>
      </xdr:sp>
      <xdr:sp macro="" textlink="">
        <xdr:nvSpPr>
          <xdr:cNvPr id="180" name="Rectangle 179">
            <a:hlinkClick xmlns:r="http://schemas.openxmlformats.org/officeDocument/2006/relationships" r:id="rId5"/>
            <a:extLst>
              <a:ext uri="{FF2B5EF4-FFF2-40B4-BE49-F238E27FC236}">
                <a16:creationId xmlns:a16="http://schemas.microsoft.com/office/drawing/2014/main" id="{00000000-0008-0000-0200-0000B4000000}"/>
              </a:ext>
            </a:extLst>
          </xdr:cNvPr>
          <xdr:cNvSpPr/>
        </xdr:nvSpPr>
        <xdr:spPr>
          <a:xfrm>
            <a:off x="5670098" y="22273606"/>
            <a:ext cx="1412957" cy="430639"/>
          </a:xfrm>
          <a:prstGeom prst="rect">
            <a:avLst/>
          </a:prstGeom>
          <a:solidFill>
            <a:schemeClr val="accent6">
              <a:lumMod val="40000"/>
              <a:lumOff val="60000"/>
            </a:schemeClr>
          </a:solidFill>
          <a:ln w="12700" cap="flat" cmpd="sng" algn="ctr">
            <a:noFill/>
            <a:prstDash val="solid"/>
            <a:miter lim="800000"/>
          </a:ln>
          <a:effectLst/>
        </xdr:spPr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en-GB" sz="1100" b="0" i="0" u="none" strike="noStrike" kern="0" cap="none" spc="0" normalizeH="0" baseline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Calibri" panose="020F0502020204030204"/>
                <a:ea typeface="+mn-ea"/>
                <a:cs typeface="+mn-cs"/>
              </a:rPr>
              <a:t>Typical bills</a:t>
            </a:r>
          </a:p>
        </xdr:txBody>
      </xdr:sp>
    </xdr:grpSp>
    <xdr:clientData/>
  </xdr:twoCellAnchor>
  <xdr:twoCellAnchor>
    <xdr:from>
      <xdr:col>8</xdr:col>
      <xdr:colOff>864564</xdr:colOff>
      <xdr:row>19</xdr:row>
      <xdr:rowOff>29490</xdr:rowOff>
    </xdr:from>
    <xdr:to>
      <xdr:col>8</xdr:col>
      <xdr:colOff>871278</xdr:colOff>
      <xdr:row>20</xdr:row>
      <xdr:rowOff>81415</xdr:rowOff>
    </xdr:to>
    <xdr:cxnSp macro="">
      <xdr:nvCxnSpPr>
        <xdr:cNvPr id="188" name="Straight Arrow Connector 187">
          <a:extLst>
            <a:ext uri="{FF2B5EF4-FFF2-40B4-BE49-F238E27FC236}">
              <a16:creationId xmlns:a16="http://schemas.microsoft.com/office/drawing/2014/main" id="{00000000-0008-0000-0200-0000BC000000}"/>
            </a:ext>
          </a:extLst>
        </xdr:cNvPr>
        <xdr:cNvCxnSpPr>
          <a:cxnSpLocks/>
          <a:stCxn id="182" idx="2"/>
          <a:endCxn id="158" idx="0"/>
        </xdr:cNvCxnSpPr>
      </xdr:nvCxnSpPr>
      <xdr:spPr>
        <a:xfrm>
          <a:off x="5960439" y="3601365"/>
          <a:ext cx="6714" cy="242425"/>
        </a:xfrm>
        <a:prstGeom prst="straightConnector1">
          <a:avLst/>
        </a:prstGeom>
        <a:noFill/>
        <a:ln w="6350" cap="flat" cmpd="sng" algn="ctr">
          <a:solidFill>
            <a:sysClr val="windowText" lastClr="000000"/>
          </a:solidFill>
          <a:prstDash val="solid"/>
          <a:miter lim="800000"/>
          <a:tailEnd type="triangle"/>
        </a:ln>
        <a:effectLst/>
      </xdr:spPr>
    </xdr:cxnSp>
    <xdr:clientData/>
  </xdr:twoCellAnchor>
  <xdr:twoCellAnchor>
    <xdr:from>
      <xdr:col>5</xdr:col>
      <xdr:colOff>906386</xdr:colOff>
      <xdr:row>6</xdr:row>
      <xdr:rowOff>88858</xdr:rowOff>
    </xdr:from>
    <xdr:to>
      <xdr:col>8</xdr:col>
      <xdr:colOff>4975259</xdr:colOff>
      <xdr:row>13</xdr:row>
      <xdr:rowOff>168367</xdr:rowOff>
    </xdr:to>
    <xdr:grpSp>
      <xdr:nvGrpSpPr>
        <xdr:cNvPr id="7" name="Group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GrpSpPr/>
      </xdr:nvGrpSpPr>
      <xdr:grpSpPr>
        <a:xfrm>
          <a:off x="1739824" y="1231858"/>
          <a:ext cx="7974123" cy="1413009"/>
          <a:chOff x="1089881" y="14728390"/>
          <a:chExt cx="8104960" cy="1458667"/>
        </a:xfrm>
      </xdr:grpSpPr>
      <xdr:sp macro="" textlink="">
        <xdr:nvSpPr>
          <xdr:cNvPr id="157" name="Rectangle 156">
            <a:extLst>
              <a:ext uri="{FF2B5EF4-FFF2-40B4-BE49-F238E27FC236}">
                <a16:creationId xmlns:a16="http://schemas.microsoft.com/office/drawing/2014/main" id="{00000000-0008-0000-0200-00009D000000}"/>
              </a:ext>
            </a:extLst>
          </xdr:cNvPr>
          <xdr:cNvSpPr/>
        </xdr:nvSpPr>
        <xdr:spPr>
          <a:xfrm>
            <a:off x="1089881" y="14728390"/>
            <a:ext cx="8104960" cy="1458667"/>
          </a:xfrm>
          <a:prstGeom prst="rect">
            <a:avLst/>
          </a:prstGeom>
          <a:solidFill>
            <a:schemeClr val="bg1">
              <a:lumMod val="50000"/>
            </a:schemeClr>
          </a:solidFill>
          <a:ln w="12700" cap="flat" cmpd="sng" algn="ctr">
            <a:noFill/>
            <a:prstDash val="solid"/>
            <a:miter lim="800000"/>
          </a:ln>
          <a:effectLst/>
        </xdr:spPr>
        <xdr:txBody>
          <a:bodyPr rot="0" spcFirstLastPara="0" vert="horz" wrap="square" lIns="91440" tIns="45720" rIns="91440" bIns="45720" numCol="1" spcCol="0" rtlCol="0" fromWordArt="0" anchor="t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en-GB" sz="1100" b="0" i="0" u="none" strike="noStrike" kern="0" cap="none" spc="0" normalizeH="0" baseline="0">
                <a:ln>
                  <a:noFill/>
                </a:ln>
                <a:solidFill>
                  <a:sysClr val="window" lastClr="FFFFFF"/>
                </a:solidFill>
                <a:effectLst/>
                <a:uLnTx/>
                <a:uFillTx/>
                <a:latin typeface="Calibri" panose="020F0502020204030204"/>
                <a:ea typeface="+mn-ea"/>
                <a:cs typeface="+mn-cs"/>
              </a:rPr>
              <a:t>Information sheets</a:t>
            </a:r>
          </a:p>
        </xdr:txBody>
      </xdr:sp>
      <xdr:sp macro="" textlink="">
        <xdr:nvSpPr>
          <xdr:cNvPr id="159" name="Rectangle 158">
            <a:hlinkClick xmlns:r="http://schemas.openxmlformats.org/officeDocument/2006/relationships" r:id="rId6"/>
            <a:extLst>
              <a:ext uri="{FF2B5EF4-FFF2-40B4-BE49-F238E27FC236}">
                <a16:creationId xmlns:a16="http://schemas.microsoft.com/office/drawing/2014/main" id="{00000000-0008-0000-0200-00009F000000}"/>
              </a:ext>
            </a:extLst>
          </xdr:cNvPr>
          <xdr:cNvSpPr/>
        </xdr:nvSpPr>
        <xdr:spPr>
          <a:xfrm>
            <a:off x="1412226" y="15022234"/>
            <a:ext cx="1392299" cy="423894"/>
          </a:xfrm>
          <a:prstGeom prst="rect">
            <a:avLst/>
          </a:prstGeom>
          <a:solidFill>
            <a:sysClr val="window" lastClr="FFFFFF">
              <a:lumMod val="75000"/>
            </a:sysClr>
          </a:solidFill>
          <a:ln w="12700" cap="flat" cmpd="sng" algn="ctr">
            <a:noFill/>
            <a:prstDash val="solid"/>
            <a:miter lim="800000"/>
          </a:ln>
          <a:effectLst/>
        </xdr:spPr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en-GB" sz="1100" b="0" i="0" u="none" strike="noStrike" kern="0" cap="none" spc="0" normalizeH="0" baseline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Calibri" panose="020F0502020204030204"/>
                <a:ea typeface="+mn-ea"/>
                <a:cs typeface="+mn-cs"/>
              </a:rPr>
              <a:t>Cover</a:t>
            </a:r>
          </a:p>
        </xdr:txBody>
      </xdr:sp>
      <xdr:sp macro="" textlink="">
        <xdr:nvSpPr>
          <xdr:cNvPr id="160" name="Rectangle 159">
            <a:hlinkClick xmlns:r="http://schemas.openxmlformats.org/officeDocument/2006/relationships" r:id="rId7"/>
            <a:extLst>
              <a:ext uri="{FF2B5EF4-FFF2-40B4-BE49-F238E27FC236}">
                <a16:creationId xmlns:a16="http://schemas.microsoft.com/office/drawing/2014/main" id="{00000000-0008-0000-0200-0000A0000000}"/>
              </a:ext>
            </a:extLst>
          </xdr:cNvPr>
          <xdr:cNvSpPr/>
        </xdr:nvSpPr>
        <xdr:spPr>
          <a:xfrm>
            <a:off x="2895761" y="15022234"/>
            <a:ext cx="1413646" cy="423894"/>
          </a:xfrm>
          <a:prstGeom prst="rect">
            <a:avLst/>
          </a:prstGeom>
          <a:solidFill>
            <a:sysClr val="window" lastClr="FFFFFF">
              <a:lumMod val="75000"/>
            </a:sysClr>
          </a:solidFill>
          <a:ln w="12700" cap="flat" cmpd="sng" algn="ctr">
            <a:noFill/>
            <a:prstDash val="solid"/>
            <a:miter lim="800000"/>
          </a:ln>
          <a:effectLst/>
        </xdr:spPr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en-GB" sz="1100" b="0" i="0" u="none" strike="noStrike" kern="0" cap="none" spc="0" normalizeH="0" baseline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Calibri" panose="020F0502020204030204"/>
                <a:ea typeface="+mn-ea"/>
                <a:cs typeface="+mn-cs"/>
              </a:rPr>
              <a:t>Version control</a:t>
            </a:r>
          </a:p>
        </xdr:txBody>
      </xdr:sp>
      <xdr:sp macro="" textlink="">
        <xdr:nvSpPr>
          <xdr:cNvPr id="161" name="Rectangle 160">
            <a:hlinkClick xmlns:r="http://schemas.openxmlformats.org/officeDocument/2006/relationships" r:id="rId8"/>
            <a:extLst>
              <a:ext uri="{FF2B5EF4-FFF2-40B4-BE49-F238E27FC236}">
                <a16:creationId xmlns:a16="http://schemas.microsoft.com/office/drawing/2014/main" id="{00000000-0008-0000-0200-0000A1000000}"/>
              </a:ext>
            </a:extLst>
          </xdr:cNvPr>
          <xdr:cNvSpPr/>
        </xdr:nvSpPr>
        <xdr:spPr>
          <a:xfrm>
            <a:off x="4396560" y="15022234"/>
            <a:ext cx="1430680" cy="423894"/>
          </a:xfrm>
          <a:prstGeom prst="rect">
            <a:avLst/>
          </a:prstGeom>
          <a:solidFill>
            <a:sysClr val="window" lastClr="FFFFFF">
              <a:lumMod val="75000"/>
            </a:sysClr>
          </a:solidFill>
          <a:ln w="12700" cap="flat" cmpd="sng" algn="ctr">
            <a:noFill/>
            <a:prstDash val="solid"/>
            <a:miter lim="800000"/>
          </a:ln>
          <a:effectLst/>
        </xdr:spPr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en-GB" sz="1100" b="0" i="0" u="none" strike="noStrike" kern="0" cap="none" spc="0" normalizeH="0" baseline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Calibri" panose="020F0502020204030204"/>
                <a:ea typeface="+mn-ea"/>
                <a:cs typeface="+mn-cs"/>
              </a:rPr>
              <a:t>Model map</a:t>
            </a:r>
          </a:p>
        </xdr:txBody>
      </xdr:sp>
      <xdr:sp macro="" textlink="">
        <xdr:nvSpPr>
          <xdr:cNvPr id="170" name="Rectangle 169">
            <a:hlinkClick xmlns:r="http://schemas.openxmlformats.org/officeDocument/2006/relationships" r:id="rId9"/>
            <a:extLst>
              <a:ext uri="{FF2B5EF4-FFF2-40B4-BE49-F238E27FC236}">
                <a16:creationId xmlns:a16="http://schemas.microsoft.com/office/drawing/2014/main" id="{00000000-0008-0000-0200-0000AA000000}"/>
              </a:ext>
            </a:extLst>
          </xdr:cNvPr>
          <xdr:cNvSpPr/>
        </xdr:nvSpPr>
        <xdr:spPr>
          <a:xfrm>
            <a:off x="5914393" y="15022234"/>
            <a:ext cx="1429320" cy="423894"/>
          </a:xfrm>
          <a:prstGeom prst="rect">
            <a:avLst/>
          </a:prstGeom>
          <a:solidFill>
            <a:sysClr val="window" lastClr="FFFFFF">
              <a:lumMod val="75000"/>
            </a:sysClr>
          </a:solidFill>
          <a:ln w="12700" cap="flat" cmpd="sng" algn="ctr">
            <a:noFill/>
            <a:prstDash val="solid"/>
            <a:miter lim="800000"/>
          </a:ln>
          <a:effectLst/>
        </xdr:spPr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en-GB" sz="1100" b="0" i="0" u="none" strike="noStrike" kern="0" cap="none" spc="0" normalizeH="0" baseline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Calibri" panose="020F0502020204030204"/>
                <a:ea typeface="+mn-ea"/>
                <a:cs typeface="+mn-cs"/>
              </a:rPr>
              <a:t>Index</a:t>
            </a:r>
          </a:p>
        </xdr:txBody>
      </xdr:sp>
      <xdr:sp macro="" textlink="">
        <xdr:nvSpPr>
          <xdr:cNvPr id="171" name="Rectangle 170">
            <a:hlinkClick xmlns:r="http://schemas.openxmlformats.org/officeDocument/2006/relationships" r:id="rId10"/>
            <a:extLst>
              <a:ext uri="{FF2B5EF4-FFF2-40B4-BE49-F238E27FC236}">
                <a16:creationId xmlns:a16="http://schemas.microsoft.com/office/drawing/2014/main" id="{00000000-0008-0000-0200-0000AB000000}"/>
              </a:ext>
            </a:extLst>
          </xdr:cNvPr>
          <xdr:cNvSpPr/>
        </xdr:nvSpPr>
        <xdr:spPr>
          <a:xfrm>
            <a:off x="7430868" y="15022234"/>
            <a:ext cx="1429320" cy="423894"/>
          </a:xfrm>
          <a:prstGeom prst="rect">
            <a:avLst/>
          </a:prstGeom>
          <a:solidFill>
            <a:sysClr val="window" lastClr="FFFFFF">
              <a:lumMod val="75000"/>
            </a:sysClr>
          </a:solidFill>
          <a:ln w="12700" cap="flat" cmpd="sng" algn="ctr">
            <a:noFill/>
            <a:prstDash val="solid"/>
            <a:miter lim="800000"/>
          </a:ln>
          <a:effectLst/>
        </xdr:spPr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en-GB" sz="1100" b="0" i="0" u="none" strike="noStrike" kern="0" cap="none" spc="0" normalizeH="0" baseline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Calibri" panose="020F0502020204030204"/>
                <a:ea typeface="+mn-ea"/>
                <a:cs typeface="+mn-cs"/>
              </a:rPr>
              <a:t>Named ranges</a:t>
            </a:r>
          </a:p>
        </xdr:txBody>
      </xdr:sp>
      <xdr:sp macro="" textlink="">
        <xdr:nvSpPr>
          <xdr:cNvPr id="189" name="Rectangle 188">
            <a:hlinkClick xmlns:r="http://schemas.openxmlformats.org/officeDocument/2006/relationships" r:id="rId11"/>
            <a:extLst>
              <a:ext uri="{FF2B5EF4-FFF2-40B4-BE49-F238E27FC236}">
                <a16:creationId xmlns:a16="http://schemas.microsoft.com/office/drawing/2014/main" id="{00000000-0008-0000-0200-0000BD000000}"/>
              </a:ext>
            </a:extLst>
          </xdr:cNvPr>
          <xdr:cNvSpPr/>
        </xdr:nvSpPr>
        <xdr:spPr>
          <a:xfrm>
            <a:off x="2156681" y="15588361"/>
            <a:ext cx="1392299" cy="423894"/>
          </a:xfrm>
          <a:prstGeom prst="rect">
            <a:avLst/>
          </a:prstGeom>
          <a:solidFill>
            <a:sysClr val="window" lastClr="FFFFFF">
              <a:lumMod val="75000"/>
            </a:sysClr>
          </a:solidFill>
          <a:ln w="12700" cap="flat" cmpd="sng" algn="ctr">
            <a:noFill/>
            <a:prstDash val="solid"/>
            <a:miter lim="800000"/>
          </a:ln>
          <a:effectLst/>
        </xdr:spPr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en-GB" sz="1100" b="0" i="0" u="none" strike="noStrike" kern="0" cap="none" spc="0" normalizeH="0" baseline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Calibri" panose="020F0502020204030204"/>
                <a:ea typeface="+mn-ea"/>
                <a:cs typeface="+mn-cs"/>
              </a:rPr>
              <a:t>ARP_DNO commentary</a:t>
            </a:r>
          </a:p>
        </xdr:txBody>
      </xdr:sp>
      <xdr:sp macro="" textlink="">
        <xdr:nvSpPr>
          <xdr:cNvPr id="190" name="Rectangle 189">
            <a:hlinkClick xmlns:r="http://schemas.openxmlformats.org/officeDocument/2006/relationships" r:id="rId12"/>
            <a:extLst>
              <a:ext uri="{FF2B5EF4-FFF2-40B4-BE49-F238E27FC236}">
                <a16:creationId xmlns:a16="http://schemas.microsoft.com/office/drawing/2014/main" id="{00000000-0008-0000-0200-0000BE000000}"/>
              </a:ext>
            </a:extLst>
          </xdr:cNvPr>
          <xdr:cNvSpPr/>
        </xdr:nvSpPr>
        <xdr:spPr>
          <a:xfrm>
            <a:off x="3702452" y="15588361"/>
            <a:ext cx="1392299" cy="423894"/>
          </a:xfrm>
          <a:prstGeom prst="rect">
            <a:avLst/>
          </a:prstGeom>
          <a:solidFill>
            <a:sysClr val="window" lastClr="FFFFFF">
              <a:lumMod val="75000"/>
            </a:sysClr>
          </a:solidFill>
          <a:ln w="12700" cap="flat" cmpd="sng" algn="ctr">
            <a:noFill/>
            <a:prstDash val="solid"/>
            <a:miter lim="800000"/>
          </a:ln>
          <a:effectLst/>
        </xdr:spPr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en-GB" sz="1100" b="0" i="0" u="none" strike="noStrike" kern="0" cap="none" spc="0" normalizeH="0" baseline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Calibri" panose="020F0502020204030204"/>
                <a:ea typeface="+mn-ea"/>
                <a:cs typeface="+mn-cs"/>
              </a:rPr>
              <a:t>ARP_CDCM timebands</a:t>
            </a:r>
          </a:p>
        </xdr:txBody>
      </xdr:sp>
      <xdr:sp macro="" textlink="">
        <xdr:nvSpPr>
          <xdr:cNvPr id="191" name="Rectangle 190">
            <a:hlinkClick xmlns:r="http://schemas.openxmlformats.org/officeDocument/2006/relationships" r:id="rId13"/>
            <a:extLst>
              <a:ext uri="{FF2B5EF4-FFF2-40B4-BE49-F238E27FC236}">
                <a16:creationId xmlns:a16="http://schemas.microsoft.com/office/drawing/2014/main" id="{00000000-0008-0000-0200-0000BF000000}"/>
              </a:ext>
            </a:extLst>
          </xdr:cNvPr>
          <xdr:cNvSpPr/>
        </xdr:nvSpPr>
        <xdr:spPr>
          <a:xfrm>
            <a:off x="5248223" y="15588361"/>
            <a:ext cx="1392299" cy="423894"/>
          </a:xfrm>
          <a:prstGeom prst="rect">
            <a:avLst/>
          </a:prstGeom>
          <a:solidFill>
            <a:sysClr val="window" lastClr="FFFFFF">
              <a:lumMod val="75000"/>
            </a:sysClr>
          </a:solidFill>
          <a:ln w="12700" cap="flat" cmpd="sng" algn="ctr">
            <a:noFill/>
            <a:prstDash val="solid"/>
            <a:miter lim="800000"/>
          </a:ln>
          <a:effectLst/>
        </xdr:spPr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en-GB" sz="1100" b="0" i="0" u="none" strike="noStrike" kern="0" cap="none" spc="0" normalizeH="0" baseline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Calibri" panose="020F0502020204030204"/>
                <a:ea typeface="+mn-ea"/>
                <a:cs typeface="+mn-cs"/>
              </a:rPr>
              <a:t>ARP_Load characteristics</a:t>
            </a:r>
          </a:p>
        </xdr:txBody>
      </xdr:sp>
      <xdr:sp macro="" textlink="">
        <xdr:nvSpPr>
          <xdr:cNvPr id="192" name="Rectangle 191">
            <a:hlinkClick xmlns:r="http://schemas.openxmlformats.org/officeDocument/2006/relationships" r:id="rId14"/>
            <a:extLst>
              <a:ext uri="{FF2B5EF4-FFF2-40B4-BE49-F238E27FC236}">
                <a16:creationId xmlns:a16="http://schemas.microsoft.com/office/drawing/2014/main" id="{00000000-0008-0000-0200-0000C0000000}"/>
              </a:ext>
            </a:extLst>
          </xdr:cNvPr>
          <xdr:cNvSpPr/>
        </xdr:nvSpPr>
        <xdr:spPr>
          <a:xfrm>
            <a:off x="6793995" y="15588361"/>
            <a:ext cx="1392299" cy="423894"/>
          </a:xfrm>
          <a:prstGeom prst="rect">
            <a:avLst/>
          </a:prstGeom>
          <a:solidFill>
            <a:sysClr val="window" lastClr="FFFFFF">
              <a:lumMod val="75000"/>
            </a:sysClr>
          </a:solidFill>
          <a:ln w="12700" cap="flat" cmpd="sng" algn="ctr">
            <a:noFill/>
            <a:prstDash val="solid"/>
            <a:miter lim="800000"/>
          </a:ln>
          <a:effectLst/>
        </xdr:spPr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en-GB" sz="1100" b="0" i="0" u="none" strike="noStrike" kern="0" cap="none" spc="0" normalizeH="0" baseline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Calibri" panose="020F0502020204030204"/>
                <a:ea typeface="+mn-ea"/>
                <a:cs typeface="+mn-cs"/>
              </a:rPr>
              <a:t>ARP_Peaking probabilities</a:t>
            </a:r>
          </a:p>
        </xdr:txBody>
      </xdr:sp>
    </xdr:grpSp>
    <xdr:clientData/>
  </xdr:twoCellAnchor>
  <xdr:twoCellAnchor>
    <xdr:from>
      <xdr:col>5</xdr:col>
      <xdr:colOff>905116</xdr:colOff>
      <xdr:row>25</xdr:row>
      <xdr:rowOff>177646</xdr:rowOff>
    </xdr:from>
    <xdr:to>
      <xdr:col>8</xdr:col>
      <xdr:colOff>4974047</xdr:colOff>
      <xdr:row>57</xdr:row>
      <xdr:rowOff>159842</xdr:rowOff>
    </xdr:to>
    <xdr:sp macro="" textlink="">
      <xdr:nvSpPr>
        <xdr:cNvPr id="137" name="Rectangle 136">
          <a:extLst>
            <a:ext uri="{FF2B5EF4-FFF2-40B4-BE49-F238E27FC236}">
              <a16:creationId xmlns:a16="http://schemas.microsoft.com/office/drawing/2014/main" id="{00000000-0008-0000-0200-000089000000}"/>
            </a:ext>
          </a:extLst>
        </xdr:cNvPr>
        <xdr:cNvSpPr/>
      </xdr:nvSpPr>
      <xdr:spPr>
        <a:xfrm>
          <a:off x="1857616" y="4892521"/>
          <a:ext cx="8212306" cy="6001996"/>
        </a:xfrm>
        <a:prstGeom prst="rect">
          <a:avLst/>
        </a:prstGeom>
        <a:solidFill>
          <a:schemeClr val="accent5">
            <a:lumMod val="75000"/>
          </a:schemeClr>
        </a:solidFill>
        <a:ln w="12700" cap="flat" cmpd="sng" algn="ctr">
          <a:noFill/>
          <a:prstDash val="solid"/>
          <a:miter lim="800000"/>
        </a:ln>
        <a:effectLst/>
      </xdr:spPr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1100" b="0" i="0" u="none" strike="noStrike" kern="0" cap="none" spc="0" normalizeH="0" baseline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Calculation sheets</a:t>
          </a:r>
        </a:p>
      </xdr:txBody>
    </xdr:sp>
    <xdr:clientData/>
  </xdr:twoCellAnchor>
  <xdr:twoCellAnchor>
    <xdr:from>
      <xdr:col>5</xdr:col>
      <xdr:colOff>1112671</xdr:colOff>
      <xdr:row>35</xdr:row>
      <xdr:rowOff>85930</xdr:rowOff>
    </xdr:from>
    <xdr:to>
      <xdr:col>8</xdr:col>
      <xdr:colOff>4862288</xdr:colOff>
      <xdr:row>46</xdr:row>
      <xdr:rowOff>169496</xdr:rowOff>
    </xdr:to>
    <xdr:grpSp>
      <xdr:nvGrpSpPr>
        <xdr:cNvPr id="29" name="Group 28">
          <a:extLst>
            <a:ext uri="{FF2B5EF4-FFF2-40B4-BE49-F238E27FC236}">
              <a16:creationId xmlns:a16="http://schemas.microsoft.com/office/drawing/2014/main" id="{00000000-0008-0000-0200-00001D000000}"/>
            </a:ext>
          </a:extLst>
        </xdr:cNvPr>
        <xdr:cNvGrpSpPr/>
      </xdr:nvGrpSpPr>
      <xdr:grpSpPr>
        <a:xfrm>
          <a:off x="1946109" y="6753430"/>
          <a:ext cx="7654867" cy="2179066"/>
          <a:chOff x="1748163" y="17688128"/>
          <a:chExt cx="7790175" cy="2148155"/>
        </a:xfrm>
      </xdr:grpSpPr>
      <xdr:grpSp>
        <xdr:nvGrpSpPr>
          <xdr:cNvPr id="28" name="Group 27">
            <a:extLst>
              <a:ext uri="{FF2B5EF4-FFF2-40B4-BE49-F238E27FC236}">
                <a16:creationId xmlns:a16="http://schemas.microsoft.com/office/drawing/2014/main" id="{00000000-0008-0000-0200-00001C000000}"/>
              </a:ext>
            </a:extLst>
          </xdr:cNvPr>
          <xdr:cNvGrpSpPr/>
        </xdr:nvGrpSpPr>
        <xdr:grpSpPr>
          <a:xfrm>
            <a:off x="1748163" y="17688128"/>
            <a:ext cx="7790175" cy="2148155"/>
            <a:chOff x="1748163" y="17688128"/>
            <a:chExt cx="7790175" cy="2148155"/>
          </a:xfrm>
        </xdr:grpSpPr>
        <xdr:sp macro="" textlink="">
          <xdr:nvSpPr>
            <xdr:cNvPr id="138" name="Rectangle 137">
              <a:extLst>
                <a:ext uri="{FF2B5EF4-FFF2-40B4-BE49-F238E27FC236}">
                  <a16:creationId xmlns:a16="http://schemas.microsoft.com/office/drawing/2014/main" id="{00000000-0008-0000-0200-00008A000000}"/>
                </a:ext>
              </a:extLst>
            </xdr:cNvPr>
            <xdr:cNvSpPr/>
          </xdr:nvSpPr>
          <xdr:spPr>
            <a:xfrm>
              <a:off x="1748163" y="17688128"/>
              <a:ext cx="7790175" cy="2148155"/>
            </a:xfrm>
            <a:prstGeom prst="rect">
              <a:avLst/>
            </a:prstGeom>
            <a:solidFill>
              <a:schemeClr val="accent5"/>
            </a:solidFill>
            <a:ln w="12700" cap="flat" cmpd="sng" algn="ctr">
              <a:noFill/>
              <a:prstDash val="solid"/>
              <a:miter lim="800000"/>
            </a:ln>
            <a:effectLst/>
          </xdr:spPr>
          <xdr:txBody>
            <a:bodyPr rot="0" spcFirstLastPara="0" vert="horz" wrap="square" lIns="91440" tIns="45720" rIns="91440" bIns="4572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n-GB" sz="1100" b="0" i="0" u="none" strike="noStrike" kern="0" cap="none" spc="0" normalizeH="0" baseline="0">
                  <a:ln>
                    <a:noFill/>
                  </a:ln>
                  <a:solidFill>
                    <a:sysClr val="window" lastClr="FFFFFF"/>
                  </a:solidFill>
                  <a:effectLst/>
                  <a:uLnTx/>
                  <a:uFillTx/>
                  <a:latin typeface="Calibri" panose="020F0502020204030204"/>
                  <a:ea typeface="+mn-ea"/>
                  <a:cs typeface="+mn-cs"/>
                </a:rPr>
                <a:t>Calculation of charges before revenue matching</a:t>
              </a:r>
            </a:p>
          </xdr:txBody>
        </xdr:sp>
        <xdr:sp macro="" textlink="">
          <xdr:nvSpPr>
            <xdr:cNvPr id="141" name="Rectangle 140">
              <a:hlinkClick xmlns:r="http://schemas.openxmlformats.org/officeDocument/2006/relationships" r:id="rId15"/>
              <a:extLst>
                <a:ext uri="{FF2B5EF4-FFF2-40B4-BE49-F238E27FC236}">
                  <a16:creationId xmlns:a16="http://schemas.microsoft.com/office/drawing/2014/main" id="{00000000-0008-0000-0200-00008D000000}"/>
                </a:ext>
              </a:extLst>
            </xdr:cNvPr>
            <xdr:cNvSpPr/>
          </xdr:nvSpPr>
          <xdr:spPr>
            <a:xfrm>
              <a:off x="3307011" y="18550380"/>
              <a:ext cx="1419947" cy="449249"/>
            </a:xfrm>
            <a:prstGeom prst="rect">
              <a:avLst/>
            </a:prstGeom>
            <a:solidFill>
              <a:schemeClr val="accent5">
                <a:lumMod val="60000"/>
                <a:lumOff val="40000"/>
              </a:schemeClr>
            </a:solidFill>
            <a:ln w="12700" cap="flat" cmpd="sng" algn="ctr">
              <a:noFill/>
              <a:prstDash val="solid"/>
              <a:miter lim="800000"/>
            </a:ln>
            <a:effectLst/>
          </xdr:spPr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marR="0" lvl="0" indent="0" algn="ct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n-GB" sz="1100" b="0" i="0" u="none" strike="noStrike" kern="0" cap="none" spc="0" normalizeH="0" baseline="0">
                  <a:ln>
                    <a:noFill/>
                  </a:ln>
                  <a:solidFill>
                    <a:sysClr val="windowText" lastClr="000000"/>
                  </a:solidFill>
                  <a:effectLst/>
                  <a:uLnTx/>
                  <a:uFillTx/>
                  <a:latin typeface="Calibri" panose="020F0502020204030204"/>
                  <a:ea typeface="+mn-ea"/>
                  <a:cs typeface="+mn-cs"/>
                </a:rPr>
                <a:t>Initial unit rates</a:t>
              </a:r>
            </a:p>
          </xdr:txBody>
        </xdr:sp>
        <xdr:sp macro="" textlink="">
          <xdr:nvSpPr>
            <xdr:cNvPr id="146" name="Rectangle 145">
              <a:hlinkClick xmlns:r="http://schemas.openxmlformats.org/officeDocument/2006/relationships" r:id="rId16"/>
              <a:extLst>
                <a:ext uri="{FF2B5EF4-FFF2-40B4-BE49-F238E27FC236}">
                  <a16:creationId xmlns:a16="http://schemas.microsoft.com/office/drawing/2014/main" id="{00000000-0008-0000-0200-000092000000}"/>
                </a:ext>
              </a:extLst>
            </xdr:cNvPr>
            <xdr:cNvSpPr/>
          </xdr:nvSpPr>
          <xdr:spPr>
            <a:xfrm>
              <a:off x="2567860" y="19251592"/>
              <a:ext cx="1411459" cy="445060"/>
            </a:xfrm>
            <a:prstGeom prst="rect">
              <a:avLst/>
            </a:prstGeom>
            <a:solidFill>
              <a:schemeClr val="accent5">
                <a:lumMod val="60000"/>
                <a:lumOff val="40000"/>
              </a:schemeClr>
            </a:solidFill>
            <a:ln w="12700" cap="flat" cmpd="sng" algn="ctr">
              <a:noFill/>
              <a:prstDash val="solid"/>
              <a:miter lim="800000"/>
            </a:ln>
            <a:effectLst/>
          </xdr:spPr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marR="0" lvl="0" indent="0" algn="ct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n-GB" sz="1100" b="0" i="0" u="none" strike="noStrike" kern="0" cap="none" spc="0" normalizeH="0" baseline="0">
                  <a:ln>
                    <a:noFill/>
                  </a:ln>
                  <a:solidFill>
                    <a:sysClr val="windowText" lastClr="000000"/>
                  </a:solidFill>
                  <a:effectLst/>
                  <a:uLnTx/>
                  <a:uFillTx/>
                  <a:latin typeface="Calibri" panose="020F0502020204030204"/>
                  <a:ea typeface="+mn-ea"/>
                  <a:cs typeface="+mn-cs"/>
                </a:rPr>
                <a:t>Unit rate charges</a:t>
              </a:r>
            </a:p>
          </xdr:txBody>
        </xdr:sp>
        <xdr:sp macro="" textlink="">
          <xdr:nvSpPr>
            <xdr:cNvPr id="147" name="Rectangle 146">
              <a:hlinkClick xmlns:r="http://schemas.openxmlformats.org/officeDocument/2006/relationships" r:id="rId17"/>
              <a:extLst>
                <a:ext uri="{FF2B5EF4-FFF2-40B4-BE49-F238E27FC236}">
                  <a16:creationId xmlns:a16="http://schemas.microsoft.com/office/drawing/2014/main" id="{00000000-0008-0000-0200-000093000000}"/>
                </a:ext>
              </a:extLst>
            </xdr:cNvPr>
            <xdr:cNvSpPr/>
          </xdr:nvSpPr>
          <xdr:spPr>
            <a:xfrm>
              <a:off x="5661337" y="19251592"/>
              <a:ext cx="1427027" cy="445060"/>
            </a:xfrm>
            <a:prstGeom prst="rect">
              <a:avLst/>
            </a:prstGeom>
            <a:solidFill>
              <a:schemeClr val="accent5">
                <a:lumMod val="60000"/>
                <a:lumOff val="40000"/>
              </a:schemeClr>
            </a:solidFill>
            <a:ln w="12700" cap="flat" cmpd="sng" algn="ctr">
              <a:noFill/>
              <a:prstDash val="solid"/>
              <a:miter lim="800000"/>
            </a:ln>
            <a:effectLst/>
          </xdr:spPr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marR="0" lvl="0" indent="0" algn="ct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n-GB" sz="1100" b="0" i="0" u="none" strike="noStrike" kern="0" cap="none" spc="0" normalizeH="0" baseline="0">
                  <a:ln>
                    <a:noFill/>
                  </a:ln>
                  <a:solidFill>
                    <a:sysClr val="windowText" lastClr="000000"/>
                  </a:solidFill>
                  <a:effectLst/>
                  <a:uLnTx/>
                  <a:uFillTx/>
                  <a:latin typeface="Calibri" panose="020F0502020204030204"/>
                  <a:ea typeface="+mn-ea"/>
                  <a:cs typeface="+mn-cs"/>
                </a:rPr>
                <a:t>Capacity charges</a:t>
              </a:r>
            </a:p>
          </xdr:txBody>
        </xdr:sp>
        <xdr:sp macro="" textlink="">
          <xdr:nvSpPr>
            <xdr:cNvPr id="148" name="Rectangle 147">
              <a:hlinkClick xmlns:r="http://schemas.openxmlformats.org/officeDocument/2006/relationships" r:id="rId18"/>
              <a:extLst>
                <a:ext uri="{FF2B5EF4-FFF2-40B4-BE49-F238E27FC236}">
                  <a16:creationId xmlns:a16="http://schemas.microsoft.com/office/drawing/2014/main" id="{00000000-0008-0000-0200-000094000000}"/>
                </a:ext>
              </a:extLst>
            </xdr:cNvPr>
            <xdr:cNvSpPr/>
          </xdr:nvSpPr>
          <xdr:spPr>
            <a:xfrm>
              <a:off x="7216863" y="19246121"/>
              <a:ext cx="1427028" cy="456003"/>
            </a:xfrm>
            <a:prstGeom prst="rect">
              <a:avLst/>
            </a:prstGeom>
            <a:solidFill>
              <a:schemeClr val="accent5">
                <a:lumMod val="60000"/>
                <a:lumOff val="40000"/>
              </a:schemeClr>
            </a:solidFill>
            <a:ln w="12700" cap="flat" cmpd="sng" algn="ctr">
              <a:noFill/>
              <a:prstDash val="solid"/>
              <a:miter lim="800000"/>
            </a:ln>
            <a:effectLst/>
          </xdr:spPr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marR="0" lvl="0" indent="0" algn="ct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n-GB" sz="1100" b="0" i="0" u="none" strike="noStrike" kern="0" cap="none" spc="0" normalizeH="0" baseline="0">
                  <a:ln>
                    <a:noFill/>
                  </a:ln>
                  <a:solidFill>
                    <a:sysClr val="windowText" lastClr="000000"/>
                  </a:solidFill>
                  <a:effectLst/>
                  <a:uLnTx/>
                  <a:uFillTx/>
                  <a:latin typeface="Calibri" panose="020F0502020204030204"/>
                  <a:ea typeface="+mn-ea"/>
                  <a:cs typeface="+mn-cs"/>
                </a:rPr>
                <a:t>Fixed charges</a:t>
              </a:r>
            </a:p>
          </xdr:txBody>
        </xdr:sp>
        <xdr:sp macro="" textlink="">
          <xdr:nvSpPr>
            <xdr:cNvPr id="149" name="Rectangle 148">
              <a:hlinkClick xmlns:r="http://schemas.openxmlformats.org/officeDocument/2006/relationships" r:id="rId19"/>
              <a:extLst>
                <a:ext uri="{FF2B5EF4-FFF2-40B4-BE49-F238E27FC236}">
                  <a16:creationId xmlns:a16="http://schemas.microsoft.com/office/drawing/2014/main" id="{00000000-0008-0000-0200-000095000000}"/>
                </a:ext>
              </a:extLst>
            </xdr:cNvPr>
            <xdr:cNvSpPr/>
          </xdr:nvSpPr>
          <xdr:spPr>
            <a:xfrm>
              <a:off x="4107818" y="19248803"/>
              <a:ext cx="1425020" cy="450637"/>
            </a:xfrm>
            <a:prstGeom prst="rect">
              <a:avLst/>
            </a:prstGeom>
            <a:solidFill>
              <a:schemeClr val="accent5">
                <a:lumMod val="60000"/>
                <a:lumOff val="40000"/>
              </a:schemeClr>
            </a:solidFill>
            <a:ln w="12700" cap="flat" cmpd="sng" algn="ctr">
              <a:noFill/>
              <a:prstDash val="solid"/>
              <a:miter lim="800000"/>
            </a:ln>
            <a:effectLst/>
          </xdr:spPr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marR="0" lvl="0" indent="0" algn="ct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n-GB" sz="1100" b="0" i="0" u="none" strike="noStrike" kern="0" cap="none" spc="0" normalizeH="0" baseline="0">
                  <a:ln>
                    <a:noFill/>
                  </a:ln>
                  <a:solidFill>
                    <a:sysClr val="windowText" lastClr="000000"/>
                  </a:solidFill>
                  <a:effectLst/>
                  <a:uLnTx/>
                  <a:uFillTx/>
                  <a:latin typeface="Calibri" panose="020F0502020204030204"/>
                  <a:ea typeface="+mn-ea"/>
                  <a:cs typeface="+mn-cs"/>
                </a:rPr>
                <a:t>Reactive power charges</a:t>
              </a:r>
            </a:p>
          </xdr:txBody>
        </xdr:sp>
        <xdr:cxnSp macro="">
          <xdr:nvCxnSpPr>
            <xdr:cNvPr id="150" name="Straight Arrow Connector 149">
              <a:extLst>
                <a:ext uri="{FF2B5EF4-FFF2-40B4-BE49-F238E27FC236}">
                  <a16:creationId xmlns:a16="http://schemas.microsoft.com/office/drawing/2014/main" id="{00000000-0008-0000-0200-000096000000}"/>
                </a:ext>
              </a:extLst>
            </xdr:cNvPr>
            <xdr:cNvCxnSpPr>
              <a:stCxn id="141" idx="2"/>
              <a:endCxn id="146" idx="0"/>
            </xdr:cNvCxnSpPr>
          </xdr:nvCxnSpPr>
          <xdr:spPr>
            <a:xfrm flipH="1">
              <a:off x="3269509" y="18999629"/>
              <a:ext cx="749516" cy="251963"/>
            </a:xfrm>
            <a:prstGeom prst="straightConnector1">
              <a:avLst/>
            </a:prstGeom>
            <a:noFill/>
            <a:ln w="6350" cap="flat" cmpd="sng" algn="ctr">
              <a:solidFill>
                <a:sysClr val="windowText" lastClr="000000"/>
              </a:solidFill>
              <a:prstDash val="solid"/>
              <a:miter lim="800000"/>
              <a:tailEnd type="triangle"/>
            </a:ln>
            <a:effectLst/>
          </xdr:spPr>
        </xdr:cxnSp>
        <xdr:cxnSp macro="">
          <xdr:nvCxnSpPr>
            <xdr:cNvPr id="153" name="Straight Arrow Connector 152">
              <a:extLst>
                <a:ext uri="{FF2B5EF4-FFF2-40B4-BE49-F238E27FC236}">
                  <a16:creationId xmlns:a16="http://schemas.microsoft.com/office/drawing/2014/main" id="{00000000-0008-0000-0200-000099000000}"/>
                </a:ext>
              </a:extLst>
            </xdr:cNvPr>
            <xdr:cNvCxnSpPr>
              <a:cxnSpLocks/>
              <a:stCxn id="147" idx="3"/>
              <a:endCxn id="148" idx="1"/>
            </xdr:cNvCxnSpPr>
          </xdr:nvCxnSpPr>
          <xdr:spPr>
            <a:xfrm>
              <a:off x="7088364" y="19474123"/>
              <a:ext cx="128499" cy="1"/>
            </a:xfrm>
            <a:prstGeom prst="straightConnector1">
              <a:avLst/>
            </a:prstGeom>
            <a:noFill/>
            <a:ln w="6350" cap="flat" cmpd="sng" algn="ctr">
              <a:solidFill>
                <a:sysClr val="windowText" lastClr="000000"/>
              </a:solidFill>
              <a:prstDash val="solid"/>
              <a:miter lim="800000"/>
              <a:tailEnd type="triangle"/>
            </a:ln>
            <a:effectLst/>
          </xdr:spPr>
        </xdr:cxnSp>
        <xdr:cxnSp macro="">
          <xdr:nvCxnSpPr>
            <xdr:cNvPr id="154" name="Straight Arrow Connector 153">
              <a:extLst>
                <a:ext uri="{FF2B5EF4-FFF2-40B4-BE49-F238E27FC236}">
                  <a16:creationId xmlns:a16="http://schemas.microsoft.com/office/drawing/2014/main" id="{00000000-0008-0000-0200-00009A000000}"/>
                </a:ext>
              </a:extLst>
            </xdr:cNvPr>
            <xdr:cNvCxnSpPr>
              <a:stCxn id="141" idx="2"/>
              <a:endCxn id="149" idx="0"/>
            </xdr:cNvCxnSpPr>
          </xdr:nvCxnSpPr>
          <xdr:spPr>
            <a:xfrm>
              <a:off x="4019025" y="18999629"/>
              <a:ext cx="799117" cy="249174"/>
            </a:xfrm>
            <a:prstGeom prst="straightConnector1">
              <a:avLst/>
            </a:prstGeom>
            <a:noFill/>
            <a:ln w="6350" cap="flat" cmpd="sng" algn="ctr">
              <a:solidFill>
                <a:sysClr val="windowText" lastClr="000000"/>
              </a:solidFill>
              <a:prstDash val="solid"/>
              <a:miter lim="800000"/>
              <a:tailEnd type="triangle"/>
            </a:ln>
            <a:effectLst/>
          </xdr:spPr>
        </xdr:cxnSp>
        <xdr:sp macro="" textlink="">
          <xdr:nvSpPr>
            <xdr:cNvPr id="177" name="Rectangle 176">
              <a:hlinkClick xmlns:r="http://schemas.openxmlformats.org/officeDocument/2006/relationships" r:id="rId20"/>
              <a:extLst>
                <a:ext uri="{FF2B5EF4-FFF2-40B4-BE49-F238E27FC236}">
                  <a16:creationId xmlns:a16="http://schemas.microsoft.com/office/drawing/2014/main" id="{00000000-0008-0000-0200-0000B1000000}"/>
                </a:ext>
              </a:extLst>
            </xdr:cNvPr>
            <xdr:cNvSpPr/>
          </xdr:nvSpPr>
          <xdr:spPr>
            <a:xfrm>
              <a:off x="3307011" y="17977804"/>
              <a:ext cx="1431304" cy="435352"/>
            </a:xfrm>
            <a:prstGeom prst="rect">
              <a:avLst/>
            </a:prstGeom>
            <a:solidFill>
              <a:schemeClr val="accent5">
                <a:lumMod val="60000"/>
                <a:lumOff val="40000"/>
              </a:schemeClr>
            </a:solidFill>
            <a:ln w="12700" cap="flat" cmpd="sng" algn="ctr">
              <a:noFill/>
              <a:prstDash val="solid"/>
              <a:miter lim="800000"/>
            </a:ln>
            <a:effectLst/>
          </xdr:spPr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marR="0" lvl="0" indent="0" algn="ct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n-GB" sz="1100" b="0" i="0" u="none" strike="noStrike" kern="0" cap="none" spc="0" normalizeH="0" baseline="0">
                  <a:ln>
                    <a:noFill/>
                  </a:ln>
                  <a:solidFill>
                    <a:sysClr val="windowText" lastClr="000000"/>
                  </a:solidFill>
                  <a:effectLst/>
                  <a:uLnTx/>
                  <a:uFillTx/>
                  <a:latin typeface="Calibri" panose="020F0502020204030204"/>
                  <a:ea typeface="+mn-ea"/>
                  <a:cs typeface="+mn-cs"/>
                </a:rPr>
                <a:t>Unit costs</a:t>
              </a:r>
            </a:p>
          </xdr:txBody>
        </xdr:sp>
        <xdr:sp macro="" textlink="">
          <xdr:nvSpPr>
            <xdr:cNvPr id="178" name="Rectangle 177">
              <a:hlinkClick xmlns:r="http://schemas.openxmlformats.org/officeDocument/2006/relationships" r:id="rId21"/>
              <a:extLst>
                <a:ext uri="{FF2B5EF4-FFF2-40B4-BE49-F238E27FC236}">
                  <a16:creationId xmlns:a16="http://schemas.microsoft.com/office/drawing/2014/main" id="{00000000-0008-0000-0200-0000B2000000}"/>
                </a:ext>
              </a:extLst>
            </xdr:cNvPr>
            <xdr:cNvSpPr/>
          </xdr:nvSpPr>
          <xdr:spPr>
            <a:xfrm>
              <a:off x="5659767" y="17970239"/>
              <a:ext cx="1427223" cy="433545"/>
            </a:xfrm>
            <a:prstGeom prst="rect">
              <a:avLst/>
            </a:prstGeom>
            <a:solidFill>
              <a:schemeClr val="accent5">
                <a:lumMod val="60000"/>
                <a:lumOff val="40000"/>
              </a:schemeClr>
            </a:solidFill>
            <a:ln w="12700" cap="flat" cmpd="sng" algn="ctr">
              <a:noFill/>
              <a:prstDash val="solid"/>
              <a:miter lim="800000"/>
            </a:ln>
            <a:effectLst/>
          </xdr:spPr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marR="0" lvl="0" indent="0" algn="ct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n-GB" sz="1100" b="0" i="0" u="none" strike="noStrike" kern="0" cap="none" spc="0" normalizeH="0" baseline="0">
                  <a:ln>
                    <a:noFill/>
                  </a:ln>
                  <a:solidFill>
                    <a:sysClr val="windowText" lastClr="000000"/>
                  </a:solidFill>
                  <a:effectLst/>
                  <a:uLnTx/>
                  <a:uFillTx/>
                  <a:latin typeface="Calibri" panose="020F0502020204030204"/>
                  <a:ea typeface="+mn-ea"/>
                  <a:cs typeface="+mn-cs"/>
                </a:rPr>
                <a:t>Service model charges</a:t>
              </a:r>
            </a:p>
          </xdr:txBody>
        </xdr:sp>
      </xdr:grpSp>
      <xdr:cxnSp macro="">
        <xdr:nvCxnSpPr>
          <xdr:cNvPr id="179" name="Connector: Elbow 178">
            <a:extLst>
              <a:ext uri="{FF2B5EF4-FFF2-40B4-BE49-F238E27FC236}">
                <a16:creationId xmlns:a16="http://schemas.microsoft.com/office/drawing/2014/main" id="{00000000-0008-0000-0200-0000B3000000}"/>
              </a:ext>
            </a:extLst>
          </xdr:cNvPr>
          <xdr:cNvCxnSpPr>
            <a:stCxn id="177" idx="2"/>
            <a:endCxn id="147" idx="0"/>
          </xdr:cNvCxnSpPr>
        </xdr:nvCxnSpPr>
        <xdr:spPr>
          <a:xfrm rot="16200000" flipH="1">
            <a:off x="4780560" y="17657300"/>
            <a:ext cx="838436" cy="2350146"/>
          </a:xfrm>
          <a:prstGeom prst="bentConnector3">
            <a:avLst>
              <a:gd name="adj1" fmla="val 4318"/>
            </a:avLst>
          </a:prstGeom>
          <a:ln>
            <a:tailEnd type="triangl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5</xdr:col>
      <xdr:colOff>1112671</xdr:colOff>
      <xdr:row>27</xdr:row>
      <xdr:rowOff>61331</xdr:rowOff>
    </xdr:from>
    <xdr:to>
      <xdr:col>8</xdr:col>
      <xdr:colOff>4862288</xdr:colOff>
      <xdr:row>35</xdr:row>
      <xdr:rowOff>19163</xdr:rowOff>
    </xdr:to>
    <xdr:grpSp>
      <xdr:nvGrpSpPr>
        <xdr:cNvPr id="30" name="Group 29">
          <a:extLst>
            <a:ext uri="{FF2B5EF4-FFF2-40B4-BE49-F238E27FC236}">
              <a16:creationId xmlns:a16="http://schemas.microsoft.com/office/drawing/2014/main" id="{00000000-0008-0000-0200-00001E000000}"/>
            </a:ext>
          </a:extLst>
        </xdr:cNvPr>
        <xdr:cNvGrpSpPr/>
      </xdr:nvGrpSpPr>
      <xdr:grpSpPr>
        <a:xfrm>
          <a:off x="1946109" y="5204831"/>
          <a:ext cx="7654867" cy="1481832"/>
          <a:chOff x="1748163" y="16146585"/>
          <a:chExt cx="7790175" cy="1474252"/>
        </a:xfrm>
      </xdr:grpSpPr>
      <xdr:sp macro="" textlink="">
        <xdr:nvSpPr>
          <xdr:cNvPr id="139" name="Rectangle 138">
            <a:extLst>
              <a:ext uri="{FF2B5EF4-FFF2-40B4-BE49-F238E27FC236}">
                <a16:creationId xmlns:a16="http://schemas.microsoft.com/office/drawing/2014/main" id="{00000000-0008-0000-0200-00008B000000}"/>
              </a:ext>
            </a:extLst>
          </xdr:cNvPr>
          <xdr:cNvSpPr/>
        </xdr:nvSpPr>
        <xdr:spPr>
          <a:xfrm>
            <a:off x="1748163" y="16146585"/>
            <a:ext cx="7790175" cy="1474252"/>
          </a:xfrm>
          <a:prstGeom prst="rect">
            <a:avLst/>
          </a:prstGeom>
          <a:solidFill>
            <a:schemeClr val="accent5"/>
          </a:solidFill>
          <a:ln w="12700" cap="flat" cmpd="sng" algn="ctr">
            <a:noFill/>
            <a:prstDash val="solid"/>
            <a:miter lim="800000"/>
          </a:ln>
          <a:effectLst/>
        </xdr:spPr>
        <xdr:txBody>
          <a:bodyPr rot="0" spcFirstLastPara="0" vert="horz" wrap="square" lIns="91440" tIns="45720" rIns="91440" bIns="45720" numCol="1" spcCol="0" rtlCol="0" fromWordArt="0" anchor="t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en-GB" sz="1100" b="0" i="0" u="none" strike="noStrike" kern="0" cap="none" spc="0" normalizeH="0" baseline="0">
                <a:ln>
                  <a:noFill/>
                </a:ln>
                <a:solidFill>
                  <a:sysClr val="window" lastClr="FFFFFF"/>
                </a:solidFill>
                <a:effectLst/>
                <a:uLnTx/>
                <a:uFillTx/>
                <a:latin typeface="Calibri" panose="020F0502020204030204"/>
                <a:ea typeface="+mn-ea"/>
                <a:cs typeface="+mn-cs"/>
              </a:rPr>
              <a:t>Cost and volumes characteristics</a:t>
            </a:r>
          </a:p>
        </xdr:txBody>
      </xdr:sp>
      <xdr:sp macro="" textlink="">
        <xdr:nvSpPr>
          <xdr:cNvPr id="142" name="Rectangle 141">
            <a:hlinkClick xmlns:r="http://schemas.openxmlformats.org/officeDocument/2006/relationships" r:id="rId22"/>
            <a:extLst>
              <a:ext uri="{FF2B5EF4-FFF2-40B4-BE49-F238E27FC236}">
                <a16:creationId xmlns:a16="http://schemas.microsoft.com/office/drawing/2014/main" id="{00000000-0008-0000-0200-00008E000000}"/>
              </a:ext>
            </a:extLst>
          </xdr:cNvPr>
          <xdr:cNvSpPr/>
        </xdr:nvSpPr>
        <xdr:spPr>
          <a:xfrm>
            <a:off x="6535430" y="16992994"/>
            <a:ext cx="1427223" cy="433545"/>
          </a:xfrm>
          <a:prstGeom prst="rect">
            <a:avLst/>
          </a:prstGeom>
          <a:solidFill>
            <a:schemeClr val="accent5">
              <a:lumMod val="60000"/>
              <a:lumOff val="40000"/>
            </a:schemeClr>
          </a:solidFill>
          <a:ln w="12700" cap="flat" cmpd="sng" algn="ctr">
            <a:noFill/>
            <a:prstDash val="solid"/>
            <a:miter lim="800000"/>
          </a:ln>
          <a:effectLst/>
        </xdr:spPr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en-GB" sz="1100" b="0" i="0" u="none" strike="noStrike" kern="0" cap="none" spc="0" normalizeH="0" baseline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Calibri" panose="020F0502020204030204"/>
                <a:ea typeface="+mn-ea"/>
                <a:cs typeface="+mn-cs"/>
              </a:rPr>
              <a:t>Service model assets</a:t>
            </a:r>
          </a:p>
        </xdr:txBody>
      </xdr:sp>
      <xdr:sp macro="" textlink="">
        <xdr:nvSpPr>
          <xdr:cNvPr id="143" name="Rectangle 142">
            <a:hlinkClick xmlns:r="http://schemas.openxmlformats.org/officeDocument/2006/relationships" r:id="rId23"/>
            <a:extLst>
              <a:ext uri="{FF2B5EF4-FFF2-40B4-BE49-F238E27FC236}">
                <a16:creationId xmlns:a16="http://schemas.microsoft.com/office/drawing/2014/main" id="{00000000-0008-0000-0200-00008F000000}"/>
              </a:ext>
            </a:extLst>
          </xdr:cNvPr>
          <xdr:cNvSpPr/>
        </xdr:nvSpPr>
        <xdr:spPr>
          <a:xfrm>
            <a:off x="5767603" y="16480925"/>
            <a:ext cx="1415967" cy="440717"/>
          </a:xfrm>
          <a:prstGeom prst="rect">
            <a:avLst/>
          </a:prstGeom>
          <a:solidFill>
            <a:schemeClr val="accent5">
              <a:lumMod val="60000"/>
              <a:lumOff val="40000"/>
            </a:schemeClr>
          </a:solidFill>
          <a:ln w="12700" cap="flat" cmpd="sng" algn="ctr">
            <a:noFill/>
            <a:prstDash val="solid"/>
            <a:miter lim="800000"/>
          </a:ln>
          <a:effectLst/>
        </xdr:spPr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en-GB" sz="1100" b="0" i="0" u="none" strike="noStrike" kern="0" cap="none" spc="0" normalizeH="0" baseline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Calibri" panose="020F0502020204030204"/>
                <a:ea typeface="+mn-ea"/>
                <a:cs typeface="+mn-cs"/>
              </a:rPr>
              <a:t>Customer contributions</a:t>
            </a:r>
          </a:p>
        </xdr:txBody>
      </xdr:sp>
      <xdr:sp macro="" textlink="">
        <xdr:nvSpPr>
          <xdr:cNvPr id="144" name="Rectangle 143">
            <a:hlinkClick xmlns:r="http://schemas.openxmlformats.org/officeDocument/2006/relationships" r:id="rId24"/>
            <a:extLst>
              <a:ext uri="{FF2B5EF4-FFF2-40B4-BE49-F238E27FC236}">
                <a16:creationId xmlns:a16="http://schemas.microsoft.com/office/drawing/2014/main" id="{00000000-0008-0000-0200-000090000000}"/>
              </a:ext>
            </a:extLst>
          </xdr:cNvPr>
          <xdr:cNvSpPr/>
        </xdr:nvSpPr>
        <xdr:spPr>
          <a:xfrm>
            <a:off x="7260620" y="16480925"/>
            <a:ext cx="1417709" cy="440717"/>
          </a:xfrm>
          <a:prstGeom prst="rect">
            <a:avLst/>
          </a:prstGeom>
          <a:solidFill>
            <a:schemeClr val="accent5">
              <a:lumMod val="60000"/>
              <a:lumOff val="40000"/>
            </a:schemeClr>
          </a:solidFill>
          <a:ln w="12700" cap="flat" cmpd="sng" algn="ctr">
            <a:noFill/>
            <a:prstDash val="solid"/>
            <a:miter lim="800000"/>
          </a:ln>
          <a:effectLst/>
        </xdr:spPr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en-GB" sz="1100" b="0" i="0" u="none" strike="noStrike" kern="0" cap="none" spc="0" normalizeH="0" baseline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Calibri" panose="020F0502020204030204"/>
                <a:ea typeface="+mn-ea"/>
                <a:cs typeface="+mn-cs"/>
              </a:rPr>
              <a:t>Volume adjustments</a:t>
            </a:r>
          </a:p>
        </xdr:txBody>
      </xdr:sp>
      <xdr:sp macro="" textlink="">
        <xdr:nvSpPr>
          <xdr:cNvPr id="145" name="Rectangle 144">
            <a:hlinkClick xmlns:r="http://schemas.openxmlformats.org/officeDocument/2006/relationships" r:id="rId25"/>
            <a:extLst>
              <a:ext uri="{FF2B5EF4-FFF2-40B4-BE49-F238E27FC236}">
                <a16:creationId xmlns:a16="http://schemas.microsoft.com/office/drawing/2014/main" id="{00000000-0008-0000-0200-000091000000}"/>
              </a:ext>
            </a:extLst>
          </xdr:cNvPr>
          <xdr:cNvSpPr/>
        </xdr:nvSpPr>
        <xdr:spPr>
          <a:xfrm>
            <a:off x="4995909" y="16992993"/>
            <a:ext cx="1466477" cy="433545"/>
          </a:xfrm>
          <a:prstGeom prst="rect">
            <a:avLst/>
          </a:prstGeom>
          <a:solidFill>
            <a:schemeClr val="accent5">
              <a:lumMod val="60000"/>
              <a:lumOff val="40000"/>
            </a:schemeClr>
          </a:solidFill>
          <a:ln w="12700" cap="flat" cmpd="sng" algn="ctr">
            <a:noFill/>
            <a:prstDash val="solid"/>
            <a:miter lim="800000"/>
          </a:ln>
          <a:effectLst/>
        </xdr:spPr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en-GB" sz="1100" b="0" i="0" u="none" strike="noStrike" kern="0" cap="none" spc="0" normalizeH="0" baseline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Calibri" panose="020F0502020204030204"/>
                <a:ea typeface="+mn-ea"/>
                <a:cs typeface="+mn-cs"/>
              </a:rPr>
              <a:t>Pseudo-load coefficients</a:t>
            </a:r>
          </a:p>
        </xdr:txBody>
      </xdr:sp>
      <xdr:sp macro="" textlink="">
        <xdr:nvSpPr>
          <xdr:cNvPr id="174" name="Rectangle 173">
            <a:hlinkClick xmlns:r="http://schemas.openxmlformats.org/officeDocument/2006/relationships" r:id="rId26"/>
            <a:extLst>
              <a:ext uri="{FF2B5EF4-FFF2-40B4-BE49-F238E27FC236}">
                <a16:creationId xmlns:a16="http://schemas.microsoft.com/office/drawing/2014/main" id="{00000000-0008-0000-0200-0000AE000000}"/>
              </a:ext>
            </a:extLst>
          </xdr:cNvPr>
          <xdr:cNvSpPr/>
        </xdr:nvSpPr>
        <xdr:spPr>
          <a:xfrm>
            <a:off x="2766154" y="16480925"/>
            <a:ext cx="1427223" cy="440717"/>
          </a:xfrm>
          <a:prstGeom prst="rect">
            <a:avLst/>
          </a:prstGeom>
          <a:solidFill>
            <a:schemeClr val="accent5">
              <a:lumMod val="60000"/>
              <a:lumOff val="40000"/>
            </a:schemeClr>
          </a:solidFill>
          <a:ln w="12700" cap="flat" cmpd="sng" algn="ctr">
            <a:noFill/>
            <a:prstDash val="solid"/>
            <a:miter lim="800000"/>
          </a:ln>
          <a:effectLst/>
        </xdr:spPr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en-GB" sz="1100" b="0" i="0" u="none" strike="noStrike" kern="0" cap="none" spc="0" normalizeH="0" baseline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Calibri" panose="020F0502020204030204"/>
                <a:ea typeface="+mn-ea"/>
                <a:cs typeface="+mn-cs"/>
              </a:rPr>
              <a:t>Standing charge factors</a:t>
            </a:r>
          </a:p>
        </xdr:txBody>
      </xdr:sp>
      <xdr:sp macro="" textlink="">
        <xdr:nvSpPr>
          <xdr:cNvPr id="175" name="Rectangle 174">
            <a:hlinkClick xmlns:r="http://schemas.openxmlformats.org/officeDocument/2006/relationships" r:id="rId27"/>
            <a:extLst>
              <a:ext uri="{FF2B5EF4-FFF2-40B4-BE49-F238E27FC236}">
                <a16:creationId xmlns:a16="http://schemas.microsoft.com/office/drawing/2014/main" id="{00000000-0008-0000-0200-0000AF000000}"/>
              </a:ext>
            </a:extLst>
          </xdr:cNvPr>
          <xdr:cNvSpPr/>
        </xdr:nvSpPr>
        <xdr:spPr>
          <a:xfrm>
            <a:off x="4259171" y="16480925"/>
            <a:ext cx="1431593" cy="440717"/>
          </a:xfrm>
          <a:prstGeom prst="rect">
            <a:avLst/>
          </a:prstGeom>
          <a:solidFill>
            <a:schemeClr val="accent5">
              <a:lumMod val="60000"/>
              <a:lumOff val="40000"/>
            </a:schemeClr>
          </a:solidFill>
          <a:ln w="12700" cap="flat" cmpd="sng" algn="ctr">
            <a:noFill/>
            <a:prstDash val="solid"/>
            <a:miter lim="800000"/>
          </a:ln>
          <a:effectLst/>
        </xdr:spPr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en-GB" sz="1100" b="0" i="0" u="none" strike="noStrike" kern="0" cap="none" spc="0" normalizeH="0" baseline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Calibri" panose="020F0502020204030204"/>
                <a:ea typeface="+mn-ea"/>
                <a:cs typeface="+mn-cs"/>
              </a:rPr>
              <a:t>Load &amp; loss characteristics</a:t>
            </a:r>
          </a:p>
        </xdr:txBody>
      </xdr:sp>
      <xdr:sp macro="" textlink="">
        <xdr:nvSpPr>
          <xdr:cNvPr id="176" name="Rectangle 175">
            <a:hlinkClick xmlns:r="http://schemas.openxmlformats.org/officeDocument/2006/relationships" r:id="rId28"/>
            <a:extLst>
              <a:ext uri="{FF2B5EF4-FFF2-40B4-BE49-F238E27FC236}">
                <a16:creationId xmlns:a16="http://schemas.microsoft.com/office/drawing/2014/main" id="{00000000-0008-0000-0200-0000B0000000}"/>
              </a:ext>
            </a:extLst>
          </xdr:cNvPr>
          <xdr:cNvSpPr/>
        </xdr:nvSpPr>
        <xdr:spPr>
          <a:xfrm>
            <a:off x="3502974" y="16992992"/>
            <a:ext cx="1427223" cy="433545"/>
          </a:xfrm>
          <a:prstGeom prst="rect">
            <a:avLst/>
          </a:prstGeom>
          <a:solidFill>
            <a:schemeClr val="accent5">
              <a:lumMod val="60000"/>
              <a:lumOff val="40000"/>
            </a:schemeClr>
          </a:solidFill>
          <a:ln w="12700" cap="flat" cmpd="sng" algn="ctr">
            <a:noFill/>
            <a:prstDash val="solid"/>
            <a:miter lim="800000"/>
          </a:ln>
          <a:effectLst/>
        </xdr:spPr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en-GB" sz="1100" b="0" i="0" u="none" strike="noStrike" kern="0" cap="none" spc="0" normalizeH="0" baseline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Calibri" panose="020F0502020204030204"/>
                <a:ea typeface="+mn-ea"/>
                <a:cs typeface="+mn-cs"/>
              </a:rPr>
              <a:t>System peak demand</a:t>
            </a:r>
          </a:p>
        </xdr:txBody>
      </xdr:sp>
    </xdr:grpSp>
    <xdr:clientData/>
  </xdr:twoCellAnchor>
  <xdr:twoCellAnchor>
    <xdr:from>
      <xdr:col>5</xdr:col>
      <xdr:colOff>1113941</xdr:colOff>
      <xdr:row>47</xdr:row>
      <xdr:rowOff>111305</xdr:rowOff>
    </xdr:from>
    <xdr:to>
      <xdr:col>8</xdr:col>
      <xdr:colOff>4859748</xdr:colOff>
      <xdr:row>56</xdr:row>
      <xdr:rowOff>190454</xdr:rowOff>
    </xdr:to>
    <xdr:sp macro="" textlink="">
      <xdr:nvSpPr>
        <xdr:cNvPr id="140" name="Rectangle 139">
          <a:extLst>
            <a:ext uri="{FF2B5EF4-FFF2-40B4-BE49-F238E27FC236}">
              <a16:creationId xmlns:a16="http://schemas.microsoft.com/office/drawing/2014/main" id="{00000000-0008-0000-0200-00008C000000}"/>
            </a:ext>
          </a:extLst>
        </xdr:cNvPr>
        <xdr:cNvSpPr/>
      </xdr:nvSpPr>
      <xdr:spPr>
        <a:xfrm>
          <a:off x="2066441" y="8950505"/>
          <a:ext cx="7889182" cy="1784124"/>
        </a:xfrm>
        <a:prstGeom prst="rect">
          <a:avLst/>
        </a:prstGeom>
        <a:solidFill>
          <a:schemeClr val="accent5"/>
        </a:solidFill>
        <a:ln w="12700" cap="flat" cmpd="sng" algn="ctr">
          <a:noFill/>
          <a:prstDash val="solid"/>
          <a:miter lim="800000"/>
        </a:ln>
        <a:effectLst/>
      </xdr:spPr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1100" b="0" i="0" u="none" strike="noStrike" kern="0" cap="none" spc="0" normalizeH="0" baseline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Revenue matching and rounding</a:t>
          </a:r>
        </a:p>
      </xdr:txBody>
    </xdr:sp>
    <xdr:clientData/>
  </xdr:twoCellAnchor>
  <xdr:twoCellAnchor>
    <xdr:from>
      <xdr:col>8</xdr:col>
      <xdr:colOff>97406</xdr:colOff>
      <xdr:row>50</xdr:row>
      <xdr:rowOff>81189</xdr:rowOff>
    </xdr:from>
    <xdr:to>
      <xdr:col>8</xdr:col>
      <xdr:colOff>1664046</xdr:colOff>
      <xdr:row>51</xdr:row>
      <xdr:rowOff>174820</xdr:rowOff>
    </xdr:to>
    <xdr:sp macro="" textlink="">
      <xdr:nvSpPr>
        <xdr:cNvPr id="164" name="Rectangle 163">
          <a:hlinkClick xmlns:r="http://schemas.openxmlformats.org/officeDocument/2006/relationships" r:id="rId29"/>
          <a:extLst>
            <a:ext uri="{FF2B5EF4-FFF2-40B4-BE49-F238E27FC236}">
              <a16:creationId xmlns:a16="http://schemas.microsoft.com/office/drawing/2014/main" id="{00000000-0008-0000-0200-0000A4000000}"/>
            </a:ext>
          </a:extLst>
        </xdr:cNvPr>
        <xdr:cNvSpPr/>
      </xdr:nvSpPr>
      <xdr:spPr>
        <a:xfrm>
          <a:off x="5098031" y="9491889"/>
          <a:ext cx="1566640" cy="274606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12700" cap="flat" cmpd="sng" algn="ctr">
          <a:noFill/>
          <a:prstDash val="solid"/>
          <a:miter lim="800000"/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1100" b="0" i="0" u="none" strike="noStrike" kern="0" cap="none" spc="0" normalizeH="0" baseline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Revenue matching</a:t>
          </a:r>
        </a:p>
      </xdr:txBody>
    </xdr:sp>
    <xdr:clientData/>
  </xdr:twoCellAnchor>
  <xdr:twoCellAnchor>
    <xdr:from>
      <xdr:col>8</xdr:col>
      <xdr:colOff>92961</xdr:colOff>
      <xdr:row>52</xdr:row>
      <xdr:rowOff>156599</xdr:rowOff>
    </xdr:from>
    <xdr:to>
      <xdr:col>8</xdr:col>
      <xdr:colOff>1660871</xdr:colOff>
      <xdr:row>54</xdr:row>
      <xdr:rowOff>43169</xdr:rowOff>
    </xdr:to>
    <xdr:sp macro="" textlink="">
      <xdr:nvSpPr>
        <xdr:cNvPr id="165" name="Rectangle 164">
          <a:hlinkClick xmlns:r="http://schemas.openxmlformats.org/officeDocument/2006/relationships" r:id="rId30"/>
          <a:extLst>
            <a:ext uri="{FF2B5EF4-FFF2-40B4-BE49-F238E27FC236}">
              <a16:creationId xmlns:a16="http://schemas.microsoft.com/office/drawing/2014/main" id="{00000000-0008-0000-0200-0000A5000000}"/>
            </a:ext>
          </a:extLst>
        </xdr:cNvPr>
        <xdr:cNvSpPr/>
      </xdr:nvSpPr>
      <xdr:spPr>
        <a:xfrm>
          <a:off x="5093586" y="9938774"/>
          <a:ext cx="1567910" cy="26757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12700" cap="flat" cmpd="sng" algn="ctr">
          <a:noFill/>
          <a:prstDash val="solid"/>
          <a:miter lim="800000"/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1100" b="0" i="0" u="none" strike="noStrike" kern="0" cap="none" spc="0" normalizeH="0" baseline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Rounding</a:t>
          </a:r>
        </a:p>
      </xdr:txBody>
    </xdr:sp>
    <xdr:clientData/>
  </xdr:twoCellAnchor>
  <xdr:twoCellAnchor>
    <xdr:from>
      <xdr:col>8</xdr:col>
      <xdr:colOff>877551</xdr:colOff>
      <xdr:row>51</xdr:row>
      <xdr:rowOff>172280</xdr:rowOff>
    </xdr:from>
    <xdr:to>
      <xdr:col>8</xdr:col>
      <xdr:colOff>881361</xdr:colOff>
      <xdr:row>52</xdr:row>
      <xdr:rowOff>157869</xdr:rowOff>
    </xdr:to>
    <xdr:cxnSp macro="">
      <xdr:nvCxnSpPr>
        <xdr:cNvPr id="166" name="Straight Arrow Connector 165">
          <a:extLst>
            <a:ext uri="{FF2B5EF4-FFF2-40B4-BE49-F238E27FC236}">
              <a16:creationId xmlns:a16="http://schemas.microsoft.com/office/drawing/2014/main" id="{00000000-0008-0000-0200-0000A6000000}"/>
            </a:ext>
          </a:extLst>
        </xdr:cNvPr>
        <xdr:cNvCxnSpPr>
          <a:stCxn id="164" idx="2"/>
          <a:endCxn id="165" idx="0"/>
        </xdr:cNvCxnSpPr>
      </xdr:nvCxnSpPr>
      <xdr:spPr>
        <a:xfrm flipH="1">
          <a:off x="5878176" y="9763955"/>
          <a:ext cx="3810" cy="176089"/>
        </a:xfrm>
        <a:prstGeom prst="straightConnector1">
          <a:avLst/>
        </a:prstGeom>
        <a:noFill/>
        <a:ln w="6350" cap="flat" cmpd="sng" algn="ctr">
          <a:solidFill>
            <a:sysClr val="windowText" lastClr="000000"/>
          </a:solidFill>
          <a:prstDash val="solid"/>
          <a:miter lim="800000"/>
          <a:tailEnd type="triangle"/>
        </a:ln>
        <a:effectLst/>
      </xdr:spPr>
    </xdr:cxnSp>
    <xdr:clientData/>
  </xdr:twoCellAnchor>
  <xdr:twoCellAnchor>
    <xdr:from>
      <xdr:col>8</xdr:col>
      <xdr:colOff>91056</xdr:colOff>
      <xdr:row>55</xdr:row>
      <xdr:rowOff>21139</xdr:rowOff>
    </xdr:from>
    <xdr:to>
      <xdr:col>8</xdr:col>
      <xdr:colOff>1662776</xdr:colOff>
      <xdr:row>56</xdr:row>
      <xdr:rowOff>98209</xdr:rowOff>
    </xdr:to>
    <xdr:sp macro="" textlink="">
      <xdr:nvSpPr>
        <xdr:cNvPr id="196" name="Rectangle 195">
          <a:hlinkClick xmlns:r="http://schemas.openxmlformats.org/officeDocument/2006/relationships" r:id="rId31"/>
          <a:extLst>
            <a:ext uri="{FF2B5EF4-FFF2-40B4-BE49-F238E27FC236}">
              <a16:creationId xmlns:a16="http://schemas.microsoft.com/office/drawing/2014/main" id="{00000000-0008-0000-0200-0000C4000000}"/>
            </a:ext>
          </a:extLst>
        </xdr:cNvPr>
        <xdr:cNvSpPr/>
      </xdr:nvSpPr>
      <xdr:spPr>
        <a:xfrm>
          <a:off x="5091681" y="10374814"/>
          <a:ext cx="1571720" cy="26757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12700" cap="flat" cmpd="sng" algn="ctr">
          <a:noFill/>
          <a:prstDash val="solid"/>
          <a:miter lim="800000"/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1100" b="0" i="0" u="none" strike="noStrike" kern="0" cap="none" spc="0" normalizeH="0" baseline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Net revenue summary</a:t>
          </a:r>
        </a:p>
      </xdr:txBody>
    </xdr:sp>
    <xdr:clientData/>
  </xdr:twoCellAnchor>
  <xdr:twoCellAnchor>
    <xdr:from>
      <xdr:col>8</xdr:col>
      <xdr:colOff>876916</xdr:colOff>
      <xdr:row>54</xdr:row>
      <xdr:rowOff>44439</xdr:rowOff>
    </xdr:from>
    <xdr:to>
      <xdr:col>8</xdr:col>
      <xdr:colOff>877551</xdr:colOff>
      <xdr:row>55</xdr:row>
      <xdr:rowOff>24949</xdr:rowOff>
    </xdr:to>
    <xdr:cxnSp macro="">
      <xdr:nvCxnSpPr>
        <xdr:cNvPr id="197" name="Straight Arrow Connector 196">
          <a:extLst>
            <a:ext uri="{FF2B5EF4-FFF2-40B4-BE49-F238E27FC236}">
              <a16:creationId xmlns:a16="http://schemas.microsoft.com/office/drawing/2014/main" id="{00000000-0008-0000-0200-0000C5000000}"/>
            </a:ext>
          </a:extLst>
        </xdr:cNvPr>
        <xdr:cNvCxnSpPr>
          <a:stCxn id="165" idx="2"/>
          <a:endCxn id="196" idx="0"/>
        </xdr:cNvCxnSpPr>
      </xdr:nvCxnSpPr>
      <xdr:spPr>
        <a:xfrm flipH="1">
          <a:off x="5877541" y="10207614"/>
          <a:ext cx="635" cy="171010"/>
        </a:xfrm>
        <a:prstGeom prst="straightConnector1">
          <a:avLst/>
        </a:prstGeom>
        <a:noFill/>
        <a:ln w="6350" cap="flat" cmpd="sng" algn="ctr">
          <a:solidFill>
            <a:sysClr val="windowText" lastClr="000000"/>
          </a:solidFill>
          <a:prstDash val="solid"/>
          <a:miter lim="800000"/>
          <a:tailEnd type="triangle"/>
        </a:ln>
        <a:effectLst/>
      </xdr:spPr>
    </xdr:cxnSp>
    <xdr:clientData/>
  </xdr:twoCellAnchor>
  <xdr:twoCellAnchor>
    <xdr:from>
      <xdr:col>5</xdr:col>
      <xdr:colOff>905537</xdr:colOff>
      <xdr:row>14</xdr:row>
      <xdr:rowOff>139143</xdr:rowOff>
    </xdr:from>
    <xdr:to>
      <xdr:col>8</xdr:col>
      <xdr:colOff>4966966</xdr:colOff>
      <xdr:row>19</xdr:row>
      <xdr:rowOff>29490</xdr:rowOff>
    </xdr:to>
    <xdr:grpSp>
      <xdr:nvGrpSpPr>
        <xdr:cNvPr id="24" name="Group 23">
          <a:extLst>
            <a:ext uri="{FF2B5EF4-FFF2-40B4-BE49-F238E27FC236}">
              <a16:creationId xmlns:a16="http://schemas.microsoft.com/office/drawing/2014/main" id="{00000000-0008-0000-0200-000018000000}"/>
            </a:ext>
          </a:extLst>
        </xdr:cNvPr>
        <xdr:cNvGrpSpPr/>
      </xdr:nvGrpSpPr>
      <xdr:grpSpPr>
        <a:xfrm>
          <a:off x="1738975" y="2806143"/>
          <a:ext cx="7966679" cy="842847"/>
          <a:chOff x="1562353" y="13743431"/>
          <a:chExt cx="8096674" cy="839501"/>
        </a:xfrm>
      </xdr:grpSpPr>
      <xdr:sp macro="" textlink="">
        <xdr:nvSpPr>
          <xdr:cNvPr id="182" name="Rectangle 181">
            <a:extLst>
              <a:ext uri="{FF2B5EF4-FFF2-40B4-BE49-F238E27FC236}">
                <a16:creationId xmlns:a16="http://schemas.microsoft.com/office/drawing/2014/main" id="{00000000-0008-0000-0200-0000B6000000}"/>
              </a:ext>
            </a:extLst>
          </xdr:cNvPr>
          <xdr:cNvSpPr/>
        </xdr:nvSpPr>
        <xdr:spPr>
          <a:xfrm>
            <a:off x="1562353" y="13743431"/>
            <a:ext cx="8096674" cy="839501"/>
          </a:xfrm>
          <a:prstGeom prst="rect">
            <a:avLst/>
          </a:prstGeom>
          <a:solidFill>
            <a:schemeClr val="accent2"/>
          </a:solidFill>
          <a:ln w="12700" cap="flat" cmpd="sng" algn="ctr">
            <a:noFill/>
            <a:prstDash val="solid"/>
            <a:miter lim="800000"/>
          </a:ln>
          <a:effectLst/>
        </xdr:spPr>
        <xdr:txBody>
          <a:bodyPr rot="0" spcFirstLastPara="0" vert="horz" wrap="square" lIns="91440" tIns="45720" rIns="91440" bIns="45720" numCol="1" spcCol="0" rtlCol="0" fromWordArt="0" anchor="t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en-GB" sz="1100" b="0" i="0" u="none" strike="noStrike" kern="0" cap="none" spc="0" normalizeH="0" baseline="0">
                <a:ln>
                  <a:noFill/>
                </a:ln>
                <a:solidFill>
                  <a:sysClr val="window" lastClr="FFFFFF"/>
                </a:solidFill>
                <a:effectLst/>
                <a:uLnTx/>
                <a:uFillTx/>
                <a:latin typeface="Calibri" panose="020F0502020204030204"/>
                <a:ea typeface="+mn-ea"/>
                <a:cs typeface="+mn-cs"/>
              </a:rPr>
              <a:t>ARP input sheets</a:t>
            </a:r>
          </a:p>
        </xdr:txBody>
      </xdr:sp>
      <xdr:sp macro="" textlink="">
        <xdr:nvSpPr>
          <xdr:cNvPr id="184" name="Rectangle 183">
            <a:hlinkClick xmlns:r="http://schemas.openxmlformats.org/officeDocument/2006/relationships" r:id="rId3"/>
            <a:extLst>
              <a:ext uri="{FF2B5EF4-FFF2-40B4-BE49-F238E27FC236}">
                <a16:creationId xmlns:a16="http://schemas.microsoft.com/office/drawing/2014/main" id="{00000000-0008-0000-0200-0000B8000000}"/>
              </a:ext>
            </a:extLst>
          </xdr:cNvPr>
          <xdr:cNvSpPr/>
        </xdr:nvSpPr>
        <xdr:spPr>
          <a:xfrm>
            <a:off x="3393758" y="14026109"/>
            <a:ext cx="1431248" cy="431970"/>
          </a:xfrm>
          <a:prstGeom prst="rect">
            <a:avLst/>
          </a:prstGeom>
          <a:solidFill>
            <a:schemeClr val="accent2">
              <a:lumMod val="40000"/>
              <a:lumOff val="60000"/>
            </a:schemeClr>
          </a:solidFill>
          <a:ln w="12700" cap="flat" cmpd="sng" algn="ctr">
            <a:noFill/>
            <a:prstDash val="solid"/>
            <a:miter lim="800000"/>
          </a:ln>
          <a:effectLst/>
        </xdr:spPr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en-GB" sz="1100" b="0" i="0" u="none" strike="noStrike" kern="0" cap="none" spc="0" normalizeH="0" baseline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Calibri" panose="020F0502020204030204"/>
                <a:ea typeface="+mn-ea"/>
                <a:cs typeface="+mn-cs"/>
              </a:rPr>
              <a:t>ARP_Inputs by customer type</a:t>
            </a:r>
          </a:p>
        </xdr:txBody>
      </xdr:sp>
      <xdr:sp macro="" textlink="">
        <xdr:nvSpPr>
          <xdr:cNvPr id="185" name="Rectangle 184">
            <a:hlinkClick xmlns:r="http://schemas.openxmlformats.org/officeDocument/2006/relationships" r:id="rId32"/>
            <a:extLst>
              <a:ext uri="{FF2B5EF4-FFF2-40B4-BE49-F238E27FC236}">
                <a16:creationId xmlns:a16="http://schemas.microsoft.com/office/drawing/2014/main" id="{00000000-0008-0000-0200-0000B9000000}"/>
              </a:ext>
            </a:extLst>
          </xdr:cNvPr>
          <xdr:cNvSpPr/>
        </xdr:nvSpPr>
        <xdr:spPr>
          <a:xfrm>
            <a:off x="6405055" y="14026109"/>
            <a:ext cx="1432654" cy="431970"/>
          </a:xfrm>
          <a:prstGeom prst="rect">
            <a:avLst/>
          </a:prstGeom>
          <a:solidFill>
            <a:schemeClr val="accent2">
              <a:lumMod val="40000"/>
              <a:lumOff val="60000"/>
            </a:schemeClr>
          </a:solidFill>
          <a:ln w="12700" cap="flat" cmpd="sng" algn="ctr">
            <a:noFill/>
            <a:prstDash val="solid"/>
            <a:miter lim="800000"/>
          </a:ln>
          <a:effectLst/>
        </xdr:spPr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en-GB" sz="1100" b="0" i="0" u="none" strike="noStrike" kern="0" cap="none" spc="0" normalizeH="0" baseline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Calibri" panose="020F0502020204030204"/>
                <a:ea typeface="+mn-ea"/>
                <a:cs typeface="+mn-cs"/>
              </a:rPr>
              <a:t>ARP_General inputs</a:t>
            </a:r>
          </a:p>
        </xdr:txBody>
      </xdr:sp>
      <xdr:sp macro="" textlink="">
        <xdr:nvSpPr>
          <xdr:cNvPr id="187" name="Rectangle 186">
            <a:hlinkClick xmlns:r="http://schemas.openxmlformats.org/officeDocument/2006/relationships" r:id="rId33"/>
            <a:extLst>
              <a:ext uri="{FF2B5EF4-FFF2-40B4-BE49-F238E27FC236}">
                <a16:creationId xmlns:a16="http://schemas.microsoft.com/office/drawing/2014/main" id="{00000000-0008-0000-0200-0000BB000000}"/>
              </a:ext>
            </a:extLst>
          </xdr:cNvPr>
          <xdr:cNvSpPr/>
        </xdr:nvSpPr>
        <xdr:spPr>
          <a:xfrm>
            <a:off x="4896678" y="14026109"/>
            <a:ext cx="1436705" cy="431970"/>
          </a:xfrm>
          <a:prstGeom prst="rect">
            <a:avLst/>
          </a:prstGeom>
          <a:solidFill>
            <a:schemeClr val="accent2">
              <a:lumMod val="40000"/>
              <a:lumOff val="60000"/>
            </a:schemeClr>
          </a:solidFill>
          <a:ln w="12700" cap="flat" cmpd="sng" algn="ctr">
            <a:noFill/>
            <a:prstDash val="solid"/>
            <a:miter lim="800000"/>
          </a:ln>
          <a:effectLst/>
        </xdr:spPr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en-GB" sz="1100" b="0" i="0" u="none" strike="noStrike" kern="0" cap="none" spc="0" normalizeH="0" baseline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Calibri" panose="020F0502020204030204"/>
                <a:ea typeface="+mn-ea"/>
                <a:cs typeface="+mn-cs"/>
              </a:rPr>
              <a:t>ARP_Inputs by network level</a:t>
            </a:r>
          </a:p>
        </xdr:txBody>
      </xdr:sp>
      <xdr:sp macro="" textlink="">
        <xdr:nvSpPr>
          <xdr:cNvPr id="167" name="Rectangle 166">
            <a:hlinkClick xmlns:r="http://schemas.openxmlformats.org/officeDocument/2006/relationships" r:id="rId34"/>
            <a:extLst>
              <a:ext uri="{FF2B5EF4-FFF2-40B4-BE49-F238E27FC236}">
                <a16:creationId xmlns:a16="http://schemas.microsoft.com/office/drawing/2014/main" id="{00000000-0008-0000-0200-0000A7000000}"/>
              </a:ext>
            </a:extLst>
          </xdr:cNvPr>
          <xdr:cNvSpPr/>
        </xdr:nvSpPr>
        <xdr:spPr>
          <a:xfrm>
            <a:off x="7909382" y="14026108"/>
            <a:ext cx="1440814" cy="431971"/>
          </a:xfrm>
          <a:prstGeom prst="rect">
            <a:avLst/>
          </a:prstGeom>
          <a:solidFill>
            <a:schemeClr val="accent2">
              <a:lumMod val="40000"/>
              <a:lumOff val="60000"/>
            </a:schemeClr>
          </a:solidFill>
          <a:ln w="12700" cap="flat" cmpd="sng" algn="ctr">
            <a:noFill/>
            <a:prstDash val="solid"/>
            <a:miter lim="800000"/>
          </a:ln>
          <a:effectLst/>
        </xdr:spPr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en-GB" sz="1100" b="0" i="0" u="none" strike="noStrike" kern="0" cap="none" spc="0" normalizeH="0" baseline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Calibri" panose="020F0502020204030204"/>
                <a:ea typeface="+mn-ea"/>
                <a:cs typeface="+mn-cs"/>
              </a:rPr>
              <a:t>Fixed inputs</a:t>
            </a:r>
          </a:p>
        </xdr:txBody>
      </xdr:sp>
      <xdr:grpSp>
        <xdr:nvGrpSpPr>
          <xdr:cNvPr id="23" name="Group 22">
            <a:extLst>
              <a:ext uri="{FF2B5EF4-FFF2-40B4-BE49-F238E27FC236}">
                <a16:creationId xmlns:a16="http://schemas.microsoft.com/office/drawing/2014/main" id="{00000000-0008-0000-0200-000017000000}"/>
              </a:ext>
            </a:extLst>
          </xdr:cNvPr>
          <xdr:cNvGrpSpPr/>
        </xdr:nvGrpSpPr>
        <xdr:grpSpPr>
          <a:xfrm>
            <a:off x="1881272" y="14026109"/>
            <a:ext cx="1442710" cy="431970"/>
            <a:chOff x="1881272" y="14026109"/>
            <a:chExt cx="1442710" cy="431970"/>
          </a:xfrm>
        </xdr:grpSpPr>
        <xdr:sp macro="" textlink="">
          <xdr:nvSpPr>
            <xdr:cNvPr id="183" name="Rectangle 182">
              <a:hlinkClick xmlns:r="http://schemas.openxmlformats.org/officeDocument/2006/relationships" r:id="rId35"/>
              <a:extLst>
                <a:ext uri="{FF2B5EF4-FFF2-40B4-BE49-F238E27FC236}">
                  <a16:creationId xmlns:a16="http://schemas.microsoft.com/office/drawing/2014/main" id="{00000000-0008-0000-0200-0000B7000000}"/>
                </a:ext>
              </a:extLst>
            </xdr:cNvPr>
            <xdr:cNvSpPr/>
          </xdr:nvSpPr>
          <xdr:spPr>
            <a:xfrm>
              <a:off x="1881272" y="14026109"/>
              <a:ext cx="1440814" cy="431970"/>
            </a:xfrm>
            <a:prstGeom prst="rect">
              <a:avLst/>
            </a:prstGeom>
            <a:solidFill>
              <a:schemeClr val="accent4">
                <a:lumMod val="40000"/>
                <a:lumOff val="60000"/>
              </a:schemeClr>
            </a:solidFill>
            <a:ln w="12700" cap="flat" cmpd="sng" algn="ctr">
              <a:noFill/>
              <a:prstDash val="solid"/>
              <a:miter lim="800000"/>
            </a:ln>
            <a:effectLst/>
          </xdr:spPr>
          <xdr:txBody>
            <a:bodyPr rot="0" spcFirstLastPara="0" vert="horz" wrap="square" lIns="0" tIns="45720" rIns="12600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marR="0" lvl="0" indent="0" algn="ct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n-GB" sz="1100" b="0" i="0" u="none" strike="noStrike" kern="0" cap="none" spc="0" normalizeH="0" baseline="0">
                  <a:ln>
                    <a:noFill/>
                  </a:ln>
                  <a:solidFill>
                    <a:sysClr val="windowText" lastClr="000000"/>
                  </a:solidFill>
                  <a:effectLst/>
                  <a:uLnTx/>
                  <a:uFillTx/>
                  <a:latin typeface="Calibri" panose="020F0502020204030204"/>
                  <a:ea typeface="+mn-ea"/>
                  <a:cs typeface="+mn-cs"/>
                </a:rPr>
                <a:t>ARP_User control</a:t>
              </a:r>
            </a:p>
          </xdr:txBody>
        </xdr:sp>
        <xdr:pic>
          <xdr:nvPicPr>
            <xdr:cNvPr id="198" name="Picture 197">
              <a:extLst>
                <a:ext uri="{FF2B5EF4-FFF2-40B4-BE49-F238E27FC236}">
                  <a16:creationId xmlns:a16="http://schemas.microsoft.com/office/drawing/2014/main" id="{00000000-0008-0000-0200-0000C6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36"/>
            <a:stretch>
              <a:fillRect/>
            </a:stretch>
          </xdr:blipFill>
          <xdr:spPr>
            <a:xfrm>
              <a:off x="3012921" y="14115904"/>
              <a:ext cx="311061" cy="288235"/>
            </a:xfrm>
            <a:prstGeom prst="rect">
              <a:avLst/>
            </a:prstGeom>
          </xdr:spPr>
        </xdr:pic>
      </xdr:grpSp>
    </xdr:grpSp>
    <xdr:clientData/>
  </xdr:twoCellAnchor>
  <xdr:twoCellAnchor>
    <xdr:from>
      <xdr:col>7</xdr:col>
      <xdr:colOff>1069912</xdr:colOff>
      <xdr:row>39</xdr:row>
      <xdr:rowOff>75464</xdr:rowOff>
    </xdr:from>
    <xdr:to>
      <xdr:col>7</xdr:col>
      <xdr:colOff>1075664</xdr:colOff>
      <xdr:row>40</xdr:row>
      <xdr:rowOff>30687</xdr:rowOff>
    </xdr:to>
    <xdr:cxnSp macro="">
      <xdr:nvCxnSpPr>
        <xdr:cNvPr id="200" name="Straight Arrow Connector 199">
          <a:extLst>
            <a:ext uri="{FF2B5EF4-FFF2-40B4-BE49-F238E27FC236}">
              <a16:creationId xmlns:a16="http://schemas.microsoft.com/office/drawing/2014/main" id="{00000000-0008-0000-0200-0000C8000000}"/>
            </a:ext>
          </a:extLst>
        </xdr:cNvPr>
        <xdr:cNvCxnSpPr>
          <a:stCxn id="177" idx="2"/>
          <a:endCxn id="141" idx="0"/>
        </xdr:cNvCxnSpPr>
      </xdr:nvCxnSpPr>
      <xdr:spPr>
        <a:xfrm flipH="1">
          <a:off x="4365562" y="7400189"/>
          <a:ext cx="5752" cy="136198"/>
        </a:xfrm>
        <a:prstGeom prst="straightConnector1">
          <a:avLst/>
        </a:prstGeom>
        <a:noFill/>
        <a:ln w="6350" cap="flat" cmpd="sng" algn="ctr">
          <a:solidFill>
            <a:sysClr val="windowText" lastClr="000000"/>
          </a:solidFill>
          <a:prstDash val="solid"/>
          <a:miter lim="800000"/>
          <a:tailEnd type="triangle"/>
        </a:ln>
        <a:effectLst/>
      </xdr:spPr>
    </xdr:cxnSp>
    <xdr:clientData/>
  </xdr:twoCellAnchor>
  <xdr:twoCellAnchor>
    <xdr:from>
      <xdr:col>8</xdr:col>
      <xdr:colOff>1653068</xdr:colOff>
      <xdr:row>39</xdr:row>
      <xdr:rowOff>64288</xdr:rowOff>
    </xdr:from>
    <xdr:to>
      <xdr:col>8</xdr:col>
      <xdr:colOff>1654556</xdr:colOff>
      <xdr:row>43</xdr:row>
      <xdr:rowOff>153381</xdr:rowOff>
    </xdr:to>
    <xdr:cxnSp macro="">
      <xdr:nvCxnSpPr>
        <xdr:cNvPr id="201" name="Straight Arrow Connector 200">
          <a:extLst>
            <a:ext uri="{FF2B5EF4-FFF2-40B4-BE49-F238E27FC236}">
              <a16:creationId xmlns:a16="http://schemas.microsoft.com/office/drawing/2014/main" id="{00000000-0008-0000-0200-0000C9000000}"/>
            </a:ext>
          </a:extLst>
        </xdr:cNvPr>
        <xdr:cNvCxnSpPr>
          <a:stCxn id="178" idx="2"/>
          <a:endCxn id="147" idx="0"/>
        </xdr:cNvCxnSpPr>
      </xdr:nvCxnSpPr>
      <xdr:spPr>
        <a:xfrm>
          <a:off x="6748943" y="7389013"/>
          <a:ext cx="1488" cy="841568"/>
        </a:xfrm>
        <a:prstGeom prst="straightConnector1">
          <a:avLst/>
        </a:prstGeom>
        <a:noFill/>
        <a:ln w="6350" cap="flat" cmpd="sng" algn="ctr">
          <a:solidFill>
            <a:sysClr val="windowText" lastClr="000000"/>
          </a:solidFill>
          <a:prstDash val="solid"/>
          <a:miter lim="800000"/>
          <a:tailEnd type="triangle"/>
        </a:ln>
        <a:effectLst/>
      </xdr:spPr>
    </xdr:cxnSp>
    <xdr:clientData/>
  </xdr:twoCellAnchor>
  <xdr:twoCellAnchor>
    <xdr:from>
      <xdr:col>8</xdr:col>
      <xdr:colOff>93596</xdr:colOff>
      <xdr:row>48</xdr:row>
      <xdr:rowOff>44738</xdr:rowOff>
    </xdr:from>
    <xdr:to>
      <xdr:col>8</xdr:col>
      <xdr:colOff>1660236</xdr:colOff>
      <xdr:row>49</xdr:row>
      <xdr:rowOff>101950</xdr:rowOff>
    </xdr:to>
    <xdr:sp macro="" textlink="">
      <xdr:nvSpPr>
        <xdr:cNvPr id="76" name="Rectangle 75">
          <a:hlinkClick xmlns:r="http://schemas.openxmlformats.org/officeDocument/2006/relationships" r:id="rId37"/>
          <a:extLst>
            <a:ext uri="{FF2B5EF4-FFF2-40B4-BE49-F238E27FC236}">
              <a16:creationId xmlns:a16="http://schemas.microsoft.com/office/drawing/2014/main" id="{00000000-0008-0000-0200-00004C000000}"/>
            </a:ext>
          </a:extLst>
        </xdr:cNvPr>
        <xdr:cNvSpPr/>
      </xdr:nvSpPr>
      <xdr:spPr>
        <a:xfrm>
          <a:off x="5094221" y="9074438"/>
          <a:ext cx="1566640" cy="247712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12700" cap="flat" cmpd="sng" algn="ctr">
          <a:noFill/>
          <a:prstDash val="solid"/>
          <a:miter lim="800000"/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1100" b="0" i="0" u="none" strike="noStrike" kern="0" cap="none" spc="0" normalizeH="0" baseline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SoLR &amp; bad debt adders</a:t>
          </a:r>
        </a:p>
      </xdr:txBody>
    </xdr:sp>
    <xdr:clientData/>
  </xdr:twoCellAnchor>
  <xdr:twoCellAnchor>
    <xdr:from>
      <xdr:col>8</xdr:col>
      <xdr:colOff>880726</xdr:colOff>
      <xdr:row>49</xdr:row>
      <xdr:rowOff>99410</xdr:rowOff>
    </xdr:from>
    <xdr:to>
      <xdr:col>8</xdr:col>
      <xdr:colOff>881361</xdr:colOff>
      <xdr:row>50</xdr:row>
      <xdr:rowOff>82459</xdr:rowOff>
    </xdr:to>
    <xdr:cxnSp macro="">
      <xdr:nvCxnSpPr>
        <xdr:cNvPr id="77" name="Straight Arrow Connector 76">
          <a:extLst>
            <a:ext uri="{FF2B5EF4-FFF2-40B4-BE49-F238E27FC236}">
              <a16:creationId xmlns:a16="http://schemas.microsoft.com/office/drawing/2014/main" id="{00000000-0008-0000-0200-00004D000000}"/>
            </a:ext>
          </a:extLst>
        </xdr:cNvPr>
        <xdr:cNvCxnSpPr>
          <a:stCxn id="76" idx="2"/>
          <a:endCxn id="164" idx="0"/>
        </xdr:cNvCxnSpPr>
      </xdr:nvCxnSpPr>
      <xdr:spPr>
        <a:xfrm>
          <a:off x="5881351" y="9319610"/>
          <a:ext cx="635" cy="173549"/>
        </a:xfrm>
        <a:prstGeom prst="straightConnector1">
          <a:avLst/>
        </a:prstGeom>
        <a:noFill/>
        <a:ln w="6350" cap="flat" cmpd="sng" algn="ctr">
          <a:solidFill>
            <a:sysClr val="windowText" lastClr="000000"/>
          </a:solidFill>
          <a:prstDash val="solid"/>
          <a:miter lim="800000"/>
          <a:tailEnd type="triangle"/>
        </a:ln>
        <a:effectLst/>
      </xdr:spPr>
    </xdr:cxn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142875</xdr:colOff>
          <xdr:row>20</xdr:row>
          <xdr:rowOff>47625</xdr:rowOff>
        </xdr:from>
        <xdr:to>
          <xdr:col>7</xdr:col>
          <xdr:colOff>1666875</xdr:colOff>
          <xdr:row>22</xdr:row>
          <xdr:rowOff>142875</xdr:rowOff>
        </xdr:to>
        <xdr:sp macro="" textlink="">
          <xdr:nvSpPr>
            <xdr:cNvPr id="3073" name="Button 1" hidden="1">
              <a:extLst>
                <a:ext uri="{63B3BB69-23CF-44E3-9099-C40C66FF867C}">
                  <a14:compatExt spid="_x0000_s3073"/>
                </a:ext>
                <a:ext uri="{FF2B5EF4-FFF2-40B4-BE49-F238E27FC236}">
                  <a16:creationId xmlns:a16="http://schemas.microsoft.com/office/drawing/2014/main" id="{00000000-0008-0000-0900-00000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en-GB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Run all years</a:t>
              </a:r>
            </a:p>
          </xdr:txBody>
        </xdr:sp>
        <xdr:clientData fPrintsWithSheet="0"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0.bin"/><Relationship Id="rId4" Type="http://schemas.openxmlformats.org/officeDocument/2006/relationships/ctrlProp" Target="../ctrlProps/ctrlProp1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theme="6" tint="0.39997558519241921"/>
    <pageSetUpPr fitToPage="1"/>
  </sheetPr>
  <dimension ref="A2:E53"/>
  <sheetViews>
    <sheetView showGridLines="0" showRowColHeaders="0" tabSelected="1" zoomScale="80" zoomScaleNormal="80" workbookViewId="0">
      <selection activeCell="D3" sqref="D3"/>
    </sheetView>
  </sheetViews>
  <sheetFormatPr defaultColWidth="0" defaultRowHeight="15" customHeight="1" x14ac:dyDescent="0.25"/>
  <cols>
    <col min="1" max="1" width="2.5703125" style="21" customWidth="1"/>
    <col min="2" max="2" width="22.5703125" style="21" customWidth="1"/>
    <col min="3" max="3" width="2.5703125" style="21" customWidth="1"/>
    <col min="4" max="4" width="100.42578125" style="25" customWidth="1"/>
    <col min="5" max="5" width="2.5703125" style="21" customWidth="1"/>
    <col min="6" max="16384" width="9.140625" style="21" hidden="1"/>
  </cols>
  <sheetData>
    <row r="2" spans="2:4" ht="28.5" x14ac:dyDescent="0.25">
      <c r="D2" s="22" t="s">
        <v>676</v>
      </c>
    </row>
    <row r="4" spans="2:4" ht="21" x14ac:dyDescent="0.25">
      <c r="D4" s="460" t="s">
        <v>1251</v>
      </c>
    </row>
    <row r="5" spans="2:4" x14ac:dyDescent="0.25">
      <c r="D5" s="23"/>
    </row>
    <row r="6" spans="2:4" x14ac:dyDescent="0.25">
      <c r="B6" s="24" t="str">
        <f>'Version control'!F7</f>
        <v>Model date:</v>
      </c>
      <c r="D6" s="43">
        <f>'Version control'!H7</f>
        <v>44522</v>
      </c>
    </row>
    <row r="7" spans="2:4" ht="15" customHeight="1" x14ac:dyDescent="0.25">
      <c r="D7" s="44"/>
    </row>
    <row r="8" spans="2:4" ht="15" customHeight="1" x14ac:dyDescent="0.25">
      <c r="B8" s="24" t="str">
        <f>'Version control'!F9</f>
        <v>Development stage:</v>
      </c>
      <c r="D8" s="43" t="str">
        <f>'Version control'!H9</f>
        <v>Release for charge setting</v>
      </c>
    </row>
    <row r="9" spans="2:4" ht="15" customHeight="1" x14ac:dyDescent="0.25">
      <c r="D9" s="44"/>
    </row>
    <row r="10" spans="2:4" ht="15" customHeight="1" x14ac:dyDescent="0.25">
      <c r="B10" s="24" t="str">
        <f>'Version control'!F11</f>
        <v>Model number:</v>
      </c>
      <c r="D10" s="138">
        <f>'Version control'!H11</f>
        <v>7</v>
      </c>
    </row>
    <row r="11" spans="2:4" ht="15" customHeight="1" x14ac:dyDescent="0.25">
      <c r="D11" s="44"/>
    </row>
    <row r="12" spans="2:4" ht="15" customHeight="1" x14ac:dyDescent="0.25">
      <c r="B12" s="24" t="str">
        <f>'Version control'!F13</f>
        <v>DCUSA text version:</v>
      </c>
      <c r="D12" s="43" t="str">
        <f>'Version control'!H13</f>
        <v>Attachment A_Charging Methodologies Pre-Release_01042023 (shared 15/11/2021)</v>
      </c>
    </row>
    <row r="13" spans="2:4" ht="15" customHeight="1" x14ac:dyDescent="0.25">
      <c r="D13" s="44"/>
    </row>
    <row r="14" spans="2:4" ht="15" customHeight="1" x14ac:dyDescent="0.25">
      <c r="B14" s="24" t="str">
        <f>'Version control'!F15</f>
        <v>DCUSA text schedule:</v>
      </c>
      <c r="D14" s="43" t="str">
        <f>'Version control'!H15</f>
        <v>Schedules 16 &amp; 20</v>
      </c>
    </row>
    <row r="16" spans="2:4" ht="30" x14ac:dyDescent="0.25">
      <c r="B16" s="24" t="s">
        <v>159</v>
      </c>
      <c r="D16" s="219" t="s">
        <v>1232</v>
      </c>
    </row>
    <row r="17" spans="2:4" x14ac:dyDescent="0.25">
      <c r="D17" s="25" t="s">
        <v>1231</v>
      </c>
    </row>
    <row r="18" spans="2:4" x14ac:dyDescent="0.25">
      <c r="D18" s="21"/>
    </row>
    <row r="19" spans="2:4" ht="15" customHeight="1" x14ac:dyDescent="0.25">
      <c r="B19" s="24" t="s">
        <v>187</v>
      </c>
      <c r="D19" s="313" t="s">
        <v>1252</v>
      </c>
    </row>
    <row r="21" spans="2:4" ht="15" customHeight="1" x14ac:dyDescent="0.25">
      <c r="B21" s="24" t="s">
        <v>188</v>
      </c>
      <c r="D21" s="313" t="s">
        <v>1257</v>
      </c>
    </row>
    <row r="23" spans="2:4" ht="15" customHeight="1" x14ac:dyDescent="0.25">
      <c r="B23" s="24" t="s">
        <v>217</v>
      </c>
      <c r="D23" s="313" t="s">
        <v>1258</v>
      </c>
    </row>
    <row r="25" spans="2:4" ht="30" customHeight="1" x14ac:dyDescent="0.25">
      <c r="B25" s="24" t="s">
        <v>165</v>
      </c>
      <c r="D25" s="313" t="s">
        <v>593</v>
      </c>
    </row>
    <row r="26" spans="2:4" ht="15" customHeight="1" x14ac:dyDescent="0.25">
      <c r="B26" s="24"/>
    </row>
    <row r="27" spans="2:4" ht="15" customHeight="1" x14ac:dyDescent="0.25">
      <c r="B27" s="24" t="s">
        <v>160</v>
      </c>
    </row>
    <row r="28" spans="2:4" s="85" customFormat="1" ht="15" customHeight="1" x14ac:dyDescent="0.25">
      <c r="B28" s="188" t="s">
        <v>161</v>
      </c>
      <c r="C28" s="34"/>
      <c r="D28" s="34" t="s">
        <v>90</v>
      </c>
    </row>
    <row r="29" spans="2:4" s="85" customFormat="1" x14ac:dyDescent="0.25">
      <c r="B29" s="189"/>
      <c r="C29" s="91"/>
      <c r="D29" s="91" t="s">
        <v>163</v>
      </c>
    </row>
    <row r="30" spans="2:4" s="85" customFormat="1" x14ac:dyDescent="0.25">
      <c r="B30" s="314" t="s">
        <v>554</v>
      </c>
      <c r="C30" s="92"/>
      <c r="D30" s="92" t="s">
        <v>162</v>
      </c>
    </row>
    <row r="31" spans="2:4" s="85" customFormat="1" x14ac:dyDescent="0.25">
      <c r="B31" s="315" t="s">
        <v>554</v>
      </c>
      <c r="C31" s="92"/>
      <c r="D31" s="92" t="s">
        <v>239</v>
      </c>
    </row>
    <row r="32" spans="2:4" s="85" customFormat="1" x14ac:dyDescent="0.25">
      <c r="B32" s="316" t="s">
        <v>554</v>
      </c>
      <c r="C32" s="92"/>
      <c r="D32" s="81" t="s">
        <v>555</v>
      </c>
    </row>
    <row r="33" spans="2:4" s="85" customFormat="1" x14ac:dyDescent="0.25">
      <c r="B33" s="178" t="s">
        <v>554</v>
      </c>
      <c r="C33" s="92"/>
      <c r="D33" s="92" t="s">
        <v>164</v>
      </c>
    </row>
    <row r="34" spans="2:4" s="85" customFormat="1" x14ac:dyDescent="0.25">
      <c r="B34" s="136" t="s">
        <v>554</v>
      </c>
      <c r="C34" s="92"/>
      <c r="D34" s="92" t="s">
        <v>556</v>
      </c>
    </row>
    <row r="35" spans="2:4" s="85" customFormat="1" x14ac:dyDescent="0.25">
      <c r="B35" s="152" t="s">
        <v>554</v>
      </c>
      <c r="C35" s="92"/>
      <c r="D35" s="92" t="s">
        <v>557</v>
      </c>
    </row>
    <row r="36" spans="2:4" s="85" customFormat="1" x14ac:dyDescent="0.25">
      <c r="B36" s="190" t="s">
        <v>554</v>
      </c>
      <c r="C36" s="92"/>
      <c r="D36" s="81" t="s">
        <v>558</v>
      </c>
    </row>
    <row r="37" spans="2:4" s="85" customFormat="1" x14ac:dyDescent="0.25">
      <c r="B37" s="176" t="s">
        <v>559</v>
      </c>
      <c r="C37" s="92"/>
      <c r="D37" s="81" t="s">
        <v>560</v>
      </c>
    </row>
    <row r="38" spans="2:4" s="85" customFormat="1" ht="15" customHeight="1" x14ac:dyDescent="0.25">
      <c r="B38" s="135" t="s">
        <v>559</v>
      </c>
      <c r="C38" s="92"/>
      <c r="D38" s="92" t="s">
        <v>561</v>
      </c>
    </row>
    <row r="39" spans="2:4" s="85" customFormat="1" ht="15" customHeight="1" x14ac:dyDescent="0.25">
      <c r="B39" s="34" t="s">
        <v>559</v>
      </c>
      <c r="C39" s="92"/>
      <c r="D39" s="92" t="s">
        <v>562</v>
      </c>
    </row>
    <row r="40" spans="2:4" s="85" customFormat="1" ht="15" customHeight="1" x14ac:dyDescent="0.25">
      <c r="B40" s="65" t="s">
        <v>559</v>
      </c>
      <c r="C40" s="92"/>
      <c r="D40" s="92" t="s">
        <v>563</v>
      </c>
    </row>
    <row r="41" spans="2:4" s="85" customFormat="1" ht="15" customHeight="1" x14ac:dyDescent="0.25">
      <c r="B41" s="64" t="s">
        <v>559</v>
      </c>
      <c r="C41" s="92"/>
      <c r="D41" s="92" t="s">
        <v>564</v>
      </c>
    </row>
    <row r="42" spans="2:4" s="85" customFormat="1" ht="15" customHeight="1" x14ac:dyDescent="0.25">
      <c r="B42" s="191" t="s">
        <v>559</v>
      </c>
      <c r="C42" s="92"/>
      <c r="D42" s="92" t="s">
        <v>565</v>
      </c>
    </row>
    <row r="43" spans="2:4" s="195" customFormat="1" ht="15" customHeight="1" x14ac:dyDescent="0.25">
      <c r="B43" s="192" t="s">
        <v>566</v>
      </c>
      <c r="C43" s="196"/>
      <c r="D43" s="196" t="s">
        <v>567</v>
      </c>
    </row>
    <row r="44" spans="2:4" s="85" customFormat="1" ht="15" customHeight="1" x14ac:dyDescent="0.25">
      <c r="B44" s="218" t="s">
        <v>566</v>
      </c>
      <c r="C44" s="92"/>
      <c r="D44" s="92" t="s">
        <v>642</v>
      </c>
    </row>
    <row r="45" spans="2:4" s="195" customFormat="1" ht="15" customHeight="1" x14ac:dyDescent="0.25">
      <c r="B45" s="200" t="s">
        <v>566</v>
      </c>
      <c r="C45" s="196"/>
      <c r="D45" s="81" t="s">
        <v>568</v>
      </c>
    </row>
    <row r="46" spans="2:4" s="85" customFormat="1" ht="15" customHeight="1" x14ac:dyDescent="0.25">
      <c r="B46" s="193" t="s">
        <v>566</v>
      </c>
      <c r="C46" s="92"/>
      <c r="D46" s="81" t="s">
        <v>569</v>
      </c>
    </row>
    <row r="47" spans="2:4" s="85" customFormat="1" ht="15" customHeight="1" x14ac:dyDescent="0.25">
      <c r="B47" s="201" t="s">
        <v>566</v>
      </c>
      <c r="C47" s="93"/>
      <c r="D47" s="19" t="s">
        <v>570</v>
      </c>
    </row>
    <row r="48" spans="2:4" ht="15" customHeight="1" x14ac:dyDescent="0.25">
      <c r="D48" s="26"/>
    </row>
    <row r="49" spans="2:4" ht="15" customHeight="1" x14ac:dyDescent="0.25">
      <c r="B49" s="25"/>
    </row>
    <row r="50" spans="2:4" ht="15" customHeight="1" x14ac:dyDescent="0.25">
      <c r="B50" s="27"/>
    </row>
    <row r="51" spans="2:4" ht="15" customHeight="1" x14ac:dyDescent="0.25">
      <c r="B51" s="27"/>
    </row>
    <row r="52" spans="2:4" ht="15" customHeight="1" x14ac:dyDescent="0.25">
      <c r="B52" s="27"/>
    </row>
    <row r="53" spans="2:4" ht="15" customHeight="1" x14ac:dyDescent="0.25">
      <c r="B53" s="27"/>
      <c r="D53" s="21"/>
    </row>
  </sheetData>
  <sheetProtection sheet="1" objects="1" formatCells="0" formatColumns="0" formatRows="0" sort="0" autoFilter="0"/>
  <dataValidations count="1">
    <dataValidation allowBlank="1" showInputMessage="1" showErrorMessage="1" prompt="Year should be entered as YYYY/YY_x000a_(e.g. 2019/20)" sqref="D19" xr:uid="{00000000-0002-0000-0000-000000000000}"/>
  </dataValidations>
  <pageMargins left="0.23622047244094491" right="0.23622047244094491" top="0.74803149606299213" bottom="0.74803149606299213" header="0.31496062992125984" footer="0.31496062992125984"/>
  <pageSetup paperSize="9" scale="88" fitToHeight="0" orientation="portrait" r:id="rId1"/>
  <headerFooter>
    <oddFooter>&amp;L&amp;Z&amp;F&amp;C&amp;D&amp;R&amp;P of &amp;N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39">
    <tabColor theme="7" tint="0.59999389629810485"/>
  </sheetPr>
  <dimension ref="A1:AB38"/>
  <sheetViews>
    <sheetView showGridLines="0" zoomScale="80" zoomScaleNormal="80" workbookViewId="0">
      <pane ySplit="3" topLeftCell="A4" activePane="bottomLeft" state="frozen"/>
      <selection pane="bottomLeft" activeCell="F41" sqref="F41"/>
    </sheetView>
  </sheetViews>
  <sheetFormatPr defaultColWidth="0" defaultRowHeight="15" x14ac:dyDescent="0.25"/>
  <cols>
    <col min="1" max="5" width="2.5703125" style="85" customWidth="1"/>
    <col min="6" max="6" width="59.5703125" style="85" customWidth="1"/>
    <col min="7" max="7" width="15.42578125" style="85" customWidth="1"/>
    <col min="8" max="8" width="24.5703125" style="85" customWidth="1"/>
    <col min="9" max="10" width="4.42578125" style="85" customWidth="1"/>
    <col min="11" max="13" width="8.85546875" style="85" hidden="1" customWidth="1"/>
    <col min="14" max="28" width="0" style="85" hidden="1" customWidth="1"/>
    <col min="29" max="16384" width="8.85546875" style="85" hidden="1"/>
  </cols>
  <sheetData>
    <row r="1" spans="1:9" s="10" customFormat="1" x14ac:dyDescent="0.25">
      <c r="A1" s="10" t="str">
        <f ca="1">MID(CELL("filename",A1),FIND("]",CELL("filename",A1))+1,255)</f>
        <v>ARP_User control</v>
      </c>
    </row>
    <row r="2" spans="1:9" s="10" customFormat="1" x14ac:dyDescent="0.25">
      <c r="A2" s="10" t="str">
        <f>Cover!D21&amp;" - "&amp;Cover!D23</f>
        <v>Southern Electric Power Distribution plc - Final</v>
      </c>
    </row>
    <row r="3" spans="1:9" s="46" customFormat="1" x14ac:dyDescent="0.25">
      <c r="A3" s="46" t="str">
        <f>Cover!D2&amp;" - "&amp;Cover!D8&amp;" v"&amp;Cover!D10&amp;" - "&amp;Cover!D19</f>
        <v>ARP model - Release for charge setting v7 - 2023/24</v>
      </c>
    </row>
    <row r="5" spans="1:9" x14ac:dyDescent="0.25">
      <c r="B5" s="95" t="s">
        <v>90</v>
      </c>
      <c r="C5" s="95"/>
      <c r="D5" s="95"/>
      <c r="E5" s="95"/>
      <c r="F5" s="95"/>
      <c r="G5" s="95"/>
      <c r="H5" s="95"/>
      <c r="I5" s="95"/>
    </row>
    <row r="7" spans="1:9" x14ac:dyDescent="0.25">
      <c r="C7" s="82" t="s">
        <v>684</v>
      </c>
    </row>
    <row r="8" spans="1:9" s="293" customFormat="1" x14ac:dyDescent="0.25">
      <c r="C8" s="82" t="s">
        <v>685</v>
      </c>
    </row>
    <row r="9" spans="1:9" x14ac:dyDescent="0.25">
      <c r="E9" s="14"/>
    </row>
    <row r="10" spans="1:9" x14ac:dyDescent="0.25">
      <c r="B10" s="95" t="s">
        <v>465</v>
      </c>
      <c r="C10" s="95"/>
      <c r="D10" s="95"/>
      <c r="E10" s="95"/>
      <c r="F10" s="95"/>
      <c r="G10" s="95"/>
      <c r="H10" s="95"/>
      <c r="I10" s="95"/>
    </row>
    <row r="11" spans="1:9" x14ac:dyDescent="0.25">
      <c r="G11" s="92"/>
    </row>
    <row r="12" spans="1:9" x14ac:dyDescent="0.25">
      <c r="C12" s="82" t="s">
        <v>686</v>
      </c>
    </row>
    <row r="13" spans="1:9" x14ac:dyDescent="0.25">
      <c r="C13" s="82" t="s">
        <v>687</v>
      </c>
    </row>
    <row r="14" spans="1:9" s="195" customFormat="1" x14ac:dyDescent="0.25">
      <c r="C14" s="82"/>
    </row>
    <row r="15" spans="1:9" s="195" customFormat="1" x14ac:dyDescent="0.25">
      <c r="C15" s="7" t="s">
        <v>594</v>
      </c>
      <c r="D15" s="7"/>
      <c r="E15" s="7"/>
      <c r="F15" s="7"/>
      <c r="G15" s="7"/>
      <c r="H15" s="7"/>
      <c r="I15" s="7"/>
    </row>
    <row r="16" spans="1:9" s="195" customFormat="1" x14ac:dyDescent="0.25">
      <c r="E16" s="82"/>
    </row>
    <row r="17" spans="2:9" x14ac:dyDescent="0.25">
      <c r="E17" s="76" t="s">
        <v>467</v>
      </c>
      <c r="G17" s="321" t="s">
        <v>1252</v>
      </c>
    </row>
    <row r="18" spans="2:9" x14ac:dyDescent="0.25">
      <c r="H18" s="108"/>
    </row>
    <row r="19" spans="2:9" s="195" customFormat="1" x14ac:dyDescent="0.25">
      <c r="C19" s="7" t="s">
        <v>573</v>
      </c>
      <c r="D19" s="7"/>
      <c r="E19" s="7"/>
      <c r="F19" s="7"/>
      <c r="G19" s="7"/>
      <c r="H19" s="7"/>
      <c r="I19" s="7"/>
    </row>
    <row r="20" spans="2:9" x14ac:dyDescent="0.25">
      <c r="E20" s="82"/>
    </row>
    <row r="21" spans="2:9" s="195" customFormat="1" x14ac:dyDescent="0.25">
      <c r="E21" s="82"/>
    </row>
    <row r="22" spans="2:9" s="195" customFormat="1" x14ac:dyDescent="0.25">
      <c r="E22" s="82"/>
    </row>
    <row r="23" spans="2:9" s="195" customFormat="1" x14ac:dyDescent="0.25">
      <c r="E23" s="82"/>
    </row>
    <row r="24" spans="2:9" s="195" customFormat="1" x14ac:dyDescent="0.25">
      <c r="E24" s="82"/>
    </row>
    <row r="25" spans="2:9" s="195" customFormat="1" x14ac:dyDescent="0.25">
      <c r="B25" s="95" t="s">
        <v>574</v>
      </c>
      <c r="C25" s="95"/>
      <c r="D25" s="95"/>
      <c r="E25" s="95"/>
      <c r="F25" s="95"/>
      <c r="G25" s="95"/>
      <c r="H25" s="95"/>
      <c r="I25" s="95"/>
    </row>
    <row r="26" spans="2:9" s="195" customFormat="1" x14ac:dyDescent="0.25">
      <c r="G26" s="196"/>
    </row>
    <row r="27" spans="2:9" x14ac:dyDescent="0.25">
      <c r="D27" s="96" t="s">
        <v>489</v>
      </c>
      <c r="H27" s="108"/>
    </row>
    <row r="28" spans="2:9" x14ac:dyDescent="0.25">
      <c r="E28" s="40" t="s">
        <v>468</v>
      </c>
      <c r="F28" s="91"/>
      <c r="G28" s="156" t="str">
        <f>LEFT(G29,4) - 1 &amp; "/" &amp; RIGHT(G29,2) - 1</f>
        <v>2020/21</v>
      </c>
      <c r="H28" s="326" t="s">
        <v>469</v>
      </c>
    </row>
    <row r="29" spans="2:9" x14ac:dyDescent="0.25">
      <c r="E29" s="39" t="s">
        <v>470</v>
      </c>
      <c r="F29" s="92"/>
      <c r="G29" s="148" t="str">
        <f>LEFT(G30,4) - 1 &amp; "/" &amp; RIGHT(G30,2) - 1</f>
        <v>2021/22</v>
      </c>
      <c r="H29" s="327" t="s">
        <v>469</v>
      </c>
    </row>
    <row r="30" spans="2:9" x14ac:dyDescent="0.25">
      <c r="E30" s="39" t="s">
        <v>471</v>
      </c>
      <c r="F30" s="92"/>
      <c r="G30" s="148" t="str">
        <f>LEFT(G31,4) - 1 &amp; "/" &amp; RIGHT(G31,2) - 1</f>
        <v>2022/23</v>
      </c>
      <c r="H30" s="327" t="s">
        <v>469</v>
      </c>
    </row>
    <row r="31" spans="2:9" x14ac:dyDescent="0.25">
      <c r="E31" s="39" t="str">
        <f>"Charging year (" &amp; charging_year &amp;")"</f>
        <v>Charging year (2023/24)</v>
      </c>
      <c r="F31" s="92"/>
      <c r="G31" s="148" t="str">
        <f>charging_year</f>
        <v>2023/24</v>
      </c>
      <c r="H31" s="327" t="s">
        <v>472</v>
      </c>
    </row>
    <row r="32" spans="2:9" x14ac:dyDescent="0.25">
      <c r="E32" s="39" t="s">
        <v>473</v>
      </c>
      <c r="F32" s="92"/>
      <c r="G32" s="148" t="str">
        <f>LEFT(G31,4) + 1 &amp; "/" &amp; RIGHT(G31,2) + 1</f>
        <v>2024/25</v>
      </c>
      <c r="H32" s="327" t="s">
        <v>474</v>
      </c>
    </row>
    <row r="33" spans="2:9" x14ac:dyDescent="0.25">
      <c r="E33" s="39" t="s">
        <v>475</v>
      </c>
      <c r="F33" s="92"/>
      <c r="G33" s="148" t="str">
        <f t="shared" ref="G33:G35" si="0">LEFT(G32,4) + 1 &amp; "/" &amp; RIGHT(G32,2) + 1</f>
        <v>2025/26</v>
      </c>
      <c r="H33" s="327" t="s">
        <v>474</v>
      </c>
    </row>
    <row r="34" spans="2:9" x14ac:dyDescent="0.25">
      <c r="E34" s="39" t="s">
        <v>476</v>
      </c>
      <c r="F34" s="92"/>
      <c r="G34" s="148" t="str">
        <f t="shared" si="0"/>
        <v>2026/27</v>
      </c>
      <c r="H34" s="327" t="s">
        <v>474</v>
      </c>
    </row>
    <row r="35" spans="2:9" x14ac:dyDescent="0.25">
      <c r="E35" s="36" t="s">
        <v>477</v>
      </c>
      <c r="F35" s="93"/>
      <c r="G35" s="155" t="str">
        <f t="shared" si="0"/>
        <v>2027/28</v>
      </c>
      <c r="H35" s="328" t="s">
        <v>474</v>
      </c>
    </row>
    <row r="36" spans="2:9" x14ac:dyDescent="0.25">
      <c r="E36" s="157" t="s">
        <v>478</v>
      </c>
      <c r="F36" s="73"/>
      <c r="G36" s="158">
        <f>MATCH(G17,G28:G35)</f>
        <v>4</v>
      </c>
      <c r="H36" s="197" t="str">
        <f>INDEX(H28:H35,MATCH($G$17,$G$28:$G$35,0))</f>
        <v>Current</v>
      </c>
    </row>
    <row r="38" spans="2:9" x14ac:dyDescent="0.25">
      <c r="B38" s="95" t="s">
        <v>110</v>
      </c>
      <c r="C38" s="95"/>
      <c r="D38" s="95"/>
      <c r="E38" s="95"/>
      <c r="F38" s="95"/>
      <c r="G38" s="95"/>
      <c r="H38" s="95"/>
      <c r="I38" s="95"/>
    </row>
  </sheetData>
  <sheetProtection sheet="1" objects="1" formatCells="0" formatColumns="0" formatRows="0" sort="0" autoFilter="0"/>
  <dataValidations count="1">
    <dataValidation type="list" allowBlank="1" showInputMessage="1" showErrorMessage="1" sqref="G17" xr:uid="{00000000-0002-0000-0900-000000000000}">
      <formula1>$G$28:$G$35</formula1>
    </dataValidation>
  </dataValidations>
  <pageMargins left="0.7" right="0.7" top="0.75" bottom="0.75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73" r:id="rId4" name="Button 1">
              <controlPr defaultSize="0" print="0" autoFill="0" autoPict="0" macro="[0]!RunYears.run_all_years">
                <anchor moveWithCells="1" sizeWithCells="1">
                  <from>
                    <xdr:col>2</xdr:col>
                    <xdr:colOff>142875</xdr:colOff>
                    <xdr:row>20</xdr:row>
                    <xdr:rowOff>47625</xdr:rowOff>
                  </from>
                  <to>
                    <xdr:col>7</xdr:col>
                    <xdr:colOff>1666875</xdr:colOff>
                    <xdr:row>22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49">
    <tabColor theme="5" tint="0.59999389629810485"/>
    <pageSetUpPr fitToPage="1"/>
  </sheetPr>
  <dimension ref="A1:JL2142"/>
  <sheetViews>
    <sheetView showGridLines="0" zoomScale="80" zoomScaleNormal="80" workbookViewId="0">
      <pane xSplit="9" ySplit="6" topLeftCell="J7" activePane="bottomRight" state="frozen"/>
      <selection pane="topRight"/>
      <selection pane="bottomLeft"/>
      <selection pane="bottomRight" activeCell="G1" sqref="G1"/>
    </sheetView>
  </sheetViews>
  <sheetFormatPr defaultColWidth="0" defaultRowHeight="15" x14ac:dyDescent="0.25"/>
  <cols>
    <col min="1" max="5" width="2.5703125" style="85" customWidth="1"/>
    <col min="6" max="6" width="59.5703125" style="85" customWidth="1"/>
    <col min="7" max="8" width="20.5703125" style="85" customWidth="1"/>
    <col min="9" max="9" width="2.42578125" style="111" customWidth="1"/>
    <col min="10" max="10" width="20.5703125" style="85" bestFit="1" customWidth="1"/>
    <col min="11" max="11" width="2.42578125" style="85" customWidth="1"/>
    <col min="12" max="15" width="14.85546875" style="85" customWidth="1"/>
    <col min="16" max="19" width="14.85546875" style="85" bestFit="1" customWidth="1"/>
    <col min="20" max="20" width="2.42578125" style="85" customWidth="1"/>
    <col min="21" max="21" width="50.5703125" style="85" customWidth="1"/>
    <col min="22" max="22" width="2.42578125" style="85" customWidth="1"/>
    <col min="23" max="272" width="20.5703125" style="85" hidden="1" customWidth="1"/>
    <col min="273" max="16384" width="9.140625" style="85" hidden="1"/>
  </cols>
  <sheetData>
    <row r="1" spans="1:97" s="10" customFormat="1" x14ac:dyDescent="0.25">
      <c r="A1" s="10" t="str">
        <f ca="1">MID(CELL("filename",A1),FIND("]",CELL("filename",A1))+1,255)</f>
        <v>ARP_Inputs by customer type</v>
      </c>
      <c r="I1" s="8"/>
    </row>
    <row r="2" spans="1:97" s="10" customFormat="1" x14ac:dyDescent="0.25">
      <c r="A2" s="10" t="str">
        <f>Cover!D21&amp;" - "&amp;Cover!D23</f>
        <v>Southern Electric Power Distribution plc - Final</v>
      </c>
      <c r="I2" s="8"/>
    </row>
    <row r="3" spans="1:97" s="46" customFormat="1" x14ac:dyDescent="0.25">
      <c r="A3" s="46" t="str">
        <f>Cover!D2&amp;" - "&amp;Cover!D8&amp;" v"&amp;Cover!D10&amp;" - "&amp;Cover!D19</f>
        <v>ARP model - Release for charge setting v7 - 2023/24</v>
      </c>
      <c r="I3" s="309"/>
    </row>
    <row r="4" spans="1:97" s="195" customFormat="1" x14ac:dyDescent="0.25">
      <c r="A4" s="228" t="str">
        <f>H2140 &amp; IF(H2140 = 1, " issue", " issues") &amp;" identified in checks on this sheet"</f>
        <v>0 issues identified in checks on this sheet</v>
      </c>
      <c r="B4" s="229"/>
      <c r="C4" s="229"/>
      <c r="D4" s="229"/>
      <c r="E4" s="229"/>
      <c r="F4" s="229"/>
      <c r="G4" s="229"/>
      <c r="H4" s="230"/>
      <c r="I4" s="230"/>
      <c r="J4" s="229"/>
      <c r="K4" s="221"/>
      <c r="L4" s="221"/>
      <c r="M4" s="221"/>
      <c r="N4" s="221"/>
      <c r="O4" s="221"/>
      <c r="P4" s="221"/>
      <c r="Q4" s="221"/>
      <c r="R4" s="221"/>
      <c r="S4" s="221"/>
      <c r="T4" s="221"/>
      <c r="U4" s="221"/>
      <c r="V4" s="221"/>
      <c r="W4" s="221"/>
      <c r="X4" s="221"/>
      <c r="Y4" s="221"/>
      <c r="Z4" s="221"/>
      <c r="AA4" s="221"/>
      <c r="AB4" s="221"/>
      <c r="AC4" s="221"/>
      <c r="AD4" s="221"/>
      <c r="AE4" s="221"/>
      <c r="AF4" s="221"/>
      <c r="AG4" s="221"/>
      <c r="AH4" s="221"/>
      <c r="AI4" s="221"/>
      <c r="AJ4" s="221"/>
      <c r="AK4" s="221"/>
      <c r="AL4" s="221"/>
      <c r="AM4" s="221"/>
      <c r="AN4" s="221"/>
      <c r="AO4" s="221"/>
      <c r="AP4" s="221"/>
      <c r="AQ4" s="221"/>
      <c r="AR4" s="221"/>
      <c r="AS4" s="221"/>
      <c r="AT4" s="221"/>
      <c r="AU4" s="221"/>
      <c r="AV4" s="221"/>
      <c r="AW4" s="221"/>
      <c r="AX4" s="221"/>
      <c r="AY4" s="221"/>
      <c r="AZ4" s="221"/>
      <c r="BA4" s="221"/>
      <c r="BB4" s="221"/>
      <c r="BC4" s="221"/>
      <c r="BD4" s="221"/>
      <c r="BE4" s="221"/>
      <c r="BF4" s="221"/>
      <c r="BG4" s="221"/>
      <c r="BH4" s="221"/>
      <c r="BI4" s="221"/>
      <c r="BJ4" s="221"/>
      <c r="BK4" s="221"/>
      <c r="BL4" s="221"/>
      <c r="BM4" s="221"/>
      <c r="BN4" s="221"/>
      <c r="BO4" s="221"/>
      <c r="BP4" s="221"/>
      <c r="BQ4" s="221"/>
      <c r="BR4" s="221"/>
      <c r="BS4" s="221"/>
      <c r="BT4" s="221"/>
      <c r="BU4" s="221"/>
      <c r="BV4" s="221"/>
      <c r="BW4" s="221"/>
      <c r="BX4" s="221"/>
      <c r="BY4" s="221"/>
      <c r="BZ4" s="221"/>
      <c r="CA4" s="221"/>
      <c r="CB4" s="221"/>
      <c r="CC4" s="221"/>
      <c r="CD4" s="221"/>
      <c r="CE4" s="221"/>
      <c r="CF4" s="221"/>
      <c r="CG4" s="221"/>
      <c r="CH4" s="221"/>
      <c r="CI4" s="221"/>
      <c r="CJ4" s="221"/>
      <c r="CK4" s="221"/>
      <c r="CL4" s="221"/>
      <c r="CM4" s="221"/>
      <c r="CN4" s="221"/>
      <c r="CO4" s="221"/>
      <c r="CP4" s="221"/>
      <c r="CQ4" s="221"/>
      <c r="CR4" s="221"/>
      <c r="CS4" s="221"/>
    </row>
    <row r="5" spans="1:97" ht="30" x14ac:dyDescent="0.25">
      <c r="B5" s="134"/>
      <c r="C5" s="9"/>
      <c r="D5" s="9"/>
      <c r="E5" s="9"/>
      <c r="F5" s="9"/>
      <c r="G5" s="127"/>
      <c r="H5" s="35"/>
      <c r="J5" s="147" t="str">
        <f>"Year selected ("&amp; charging_year_selected &amp;")"</f>
        <v>Year selected (2023/24)</v>
      </c>
      <c r="K5" s="111"/>
      <c r="L5" s="35" t="str">
        <f t="array" ref="L5:S6">TRANSPOSE('ARP_User control'!G28:H35)</f>
        <v>2020/21</v>
      </c>
      <c r="M5" s="35" t="str">
        <v>2021/22</v>
      </c>
      <c r="N5" s="35" t="str">
        <v>2022/23</v>
      </c>
      <c r="O5" s="35" t="str">
        <v>2023/24</v>
      </c>
      <c r="P5" s="35" t="str">
        <v>2024/25</v>
      </c>
      <c r="Q5" s="35" t="str">
        <v>2025/26</v>
      </c>
      <c r="R5" s="35" t="str">
        <v>2026/27</v>
      </c>
      <c r="S5" s="35" t="str">
        <v>2027/28</v>
      </c>
      <c r="U5" s="35"/>
    </row>
    <row r="6" spans="1:97" x14ac:dyDescent="0.25">
      <c r="B6" s="134" t="s">
        <v>451</v>
      </c>
      <c r="C6" s="9"/>
      <c r="D6" s="9"/>
      <c r="E6" s="9"/>
      <c r="F6" s="9"/>
      <c r="G6" s="127" t="s">
        <v>91</v>
      </c>
      <c r="H6" s="35" t="s">
        <v>92</v>
      </c>
      <c r="J6" s="149" t="str">
        <f>'ARP_User control'!$H$36</f>
        <v>Current</v>
      </c>
      <c r="K6" s="111"/>
      <c r="L6" s="35" t="str">
        <v>Historic</v>
      </c>
      <c r="M6" s="35" t="str">
        <v>Historic</v>
      </c>
      <c r="N6" s="35" t="str">
        <v>Historic</v>
      </c>
      <c r="O6" s="35" t="str">
        <v>Current</v>
      </c>
      <c r="P6" s="35" t="str">
        <v>Forecast</v>
      </c>
      <c r="Q6" s="35" t="str">
        <v>Forecast</v>
      </c>
      <c r="R6" s="35" t="str">
        <v>Forecast</v>
      </c>
      <c r="S6" s="35" t="str">
        <v>Forecast</v>
      </c>
      <c r="U6" s="127" t="s">
        <v>93</v>
      </c>
    </row>
    <row r="8" spans="1:97" x14ac:dyDescent="0.25">
      <c r="B8" s="95" t="s">
        <v>90</v>
      </c>
      <c r="C8" s="95"/>
      <c r="D8" s="95"/>
      <c r="E8" s="95"/>
      <c r="F8" s="95"/>
      <c r="G8" s="95"/>
      <c r="H8" s="95"/>
      <c r="I8" s="160"/>
      <c r="J8" s="95"/>
      <c r="K8" s="95"/>
      <c r="L8" s="95"/>
      <c r="M8" s="95"/>
      <c r="N8" s="95"/>
      <c r="O8" s="95"/>
      <c r="P8" s="95"/>
      <c r="Q8" s="95"/>
      <c r="R8" s="95"/>
      <c r="S8" s="95"/>
      <c r="T8" s="95"/>
      <c r="U8" s="95"/>
    </row>
    <row r="9" spans="1:97" x14ac:dyDescent="0.25">
      <c r="D9" s="14"/>
    </row>
    <row r="10" spans="1:97" x14ac:dyDescent="0.25">
      <c r="C10" s="82" t="s">
        <v>688</v>
      </c>
    </row>
    <row r="11" spans="1:97" s="293" customFormat="1" x14ac:dyDescent="0.25">
      <c r="C11" s="82" t="s">
        <v>689</v>
      </c>
      <c r="I11" s="111"/>
    </row>
    <row r="12" spans="1:97" s="293" customFormat="1" x14ac:dyDescent="0.25">
      <c r="C12" s="82" t="s">
        <v>781</v>
      </c>
      <c r="I12" s="111"/>
    </row>
    <row r="13" spans="1:97" x14ac:dyDescent="0.25">
      <c r="D13" s="14"/>
    </row>
    <row r="14" spans="1:97" x14ac:dyDescent="0.25">
      <c r="B14" s="95" t="s">
        <v>286</v>
      </c>
      <c r="C14" s="95"/>
      <c r="D14" s="95"/>
      <c r="E14" s="95"/>
      <c r="F14" s="95"/>
      <c r="G14" s="95"/>
      <c r="H14" s="95"/>
      <c r="I14" s="160"/>
      <c r="J14" s="95"/>
      <c r="K14" s="95"/>
      <c r="L14" s="95"/>
      <c r="M14" s="95"/>
      <c r="N14" s="95"/>
      <c r="O14" s="95"/>
      <c r="P14" s="95"/>
      <c r="Q14" s="95"/>
      <c r="R14" s="95"/>
      <c r="S14" s="95"/>
      <c r="T14" s="95"/>
      <c r="U14" s="95"/>
      <c r="W14" s="95"/>
      <c r="X14" s="95"/>
      <c r="Y14" s="95"/>
      <c r="Z14" s="95"/>
      <c r="AA14" s="95"/>
      <c r="AB14" s="95"/>
      <c r="AC14" s="95"/>
      <c r="AD14" s="95"/>
      <c r="AE14" s="95"/>
      <c r="AF14" s="95"/>
      <c r="AG14" s="95"/>
      <c r="AH14" s="95"/>
      <c r="AI14" s="95"/>
      <c r="AJ14" s="95"/>
      <c r="AK14" s="95"/>
      <c r="AL14" s="95"/>
      <c r="AM14" s="95"/>
      <c r="AN14" s="95"/>
      <c r="AO14" s="95"/>
      <c r="AP14" s="95"/>
      <c r="AQ14" s="95"/>
      <c r="AR14" s="95"/>
      <c r="AS14" s="95"/>
      <c r="AT14" s="95"/>
      <c r="AU14" s="95"/>
      <c r="AV14" s="95"/>
      <c r="AW14" s="95"/>
    </row>
    <row r="15" spans="1:97" x14ac:dyDescent="0.25">
      <c r="D15" s="14"/>
    </row>
    <row r="16" spans="1:97" s="195" customFormat="1" x14ac:dyDescent="0.25">
      <c r="C16" s="7" t="str">
        <f ca="1">INDEX('Version control'!$H$35:$H$61,MATCH($A$1,'Version control'!$F$35:$F$61,0),1)&amp;"-A: Load factor"</f>
        <v>Input 501-A: Load factor</v>
      </c>
      <c r="D16" s="7"/>
      <c r="E16" s="7"/>
      <c r="F16" s="7"/>
      <c r="G16" s="7"/>
      <c r="H16" s="7"/>
      <c r="I16" s="171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</row>
    <row r="17" spans="3:21" s="195" customFormat="1" x14ac:dyDescent="0.25">
      <c r="C17" s="96"/>
      <c r="I17" s="111"/>
    </row>
    <row r="18" spans="3:21" x14ac:dyDescent="0.25">
      <c r="E18" s="144" t="s">
        <v>71</v>
      </c>
      <c r="G18" s="108"/>
      <c r="I18" s="111" t="s">
        <v>359</v>
      </c>
      <c r="U18" s="85" t="s">
        <v>807</v>
      </c>
    </row>
    <row r="19" spans="3:21" x14ac:dyDescent="0.25">
      <c r="F19" s="91" t="s">
        <v>926</v>
      </c>
      <c r="G19" s="91" t="s">
        <v>94</v>
      </c>
      <c r="H19" s="112"/>
      <c r="I19" s="112"/>
      <c r="J19" s="184">
        <f>CHOOSE(year_selection, L19,M19,N19,O19,P19,Q19,R19,S19)</f>
        <v>0.42835382687488854</v>
      </c>
      <c r="K19" s="161"/>
      <c r="L19" s="323"/>
      <c r="M19" s="323"/>
      <c r="N19" s="323"/>
      <c r="O19" s="323">
        <v>0.42835382687488854</v>
      </c>
      <c r="P19" s="323">
        <v>0.42835382687488854</v>
      </c>
      <c r="Q19" s="323">
        <v>0.42835382687488854</v>
      </c>
      <c r="R19" s="323">
        <v>0.42835382687488854</v>
      </c>
      <c r="S19" s="323">
        <v>0.42835382687488854</v>
      </c>
    </row>
    <row r="20" spans="3:21" x14ac:dyDescent="0.25">
      <c r="F20" s="196" t="s">
        <v>927</v>
      </c>
      <c r="G20" s="196" t="s">
        <v>94</v>
      </c>
      <c r="H20" s="66"/>
      <c r="I20" s="66"/>
      <c r="J20" s="185">
        <f t="shared" ref="J20:J26" si="0">CHOOSE(year_selection, L20,M20,N20,O20,P20,Q20,R20,S20)</f>
        <v>6.8464264140201E-2</v>
      </c>
      <c r="K20" s="162"/>
      <c r="L20" s="324"/>
      <c r="M20" s="324"/>
      <c r="N20" s="324"/>
      <c r="O20" s="324">
        <v>6.8464264140201E-2</v>
      </c>
      <c r="P20" s="324">
        <v>6.8464264140201E-2</v>
      </c>
      <c r="Q20" s="324">
        <v>6.8464264140201E-2</v>
      </c>
      <c r="R20" s="324">
        <v>6.8464264140201E-2</v>
      </c>
      <c r="S20" s="324">
        <v>6.8464264140201E-2</v>
      </c>
    </row>
    <row r="21" spans="3:21" x14ac:dyDescent="0.25">
      <c r="F21" s="196" t="s">
        <v>928</v>
      </c>
      <c r="G21" s="196" t="s">
        <v>94</v>
      </c>
      <c r="H21" s="66"/>
      <c r="I21" s="66"/>
      <c r="J21" s="185">
        <f t="shared" si="0"/>
        <v>0.41310729677387908</v>
      </c>
      <c r="K21" s="162"/>
      <c r="L21" s="324"/>
      <c r="M21" s="324"/>
      <c r="N21" s="324"/>
      <c r="O21" s="324">
        <v>0.41310729677387908</v>
      </c>
      <c r="P21" s="324">
        <v>0.41310729677387908</v>
      </c>
      <c r="Q21" s="324">
        <v>0.41310729677387908</v>
      </c>
      <c r="R21" s="324">
        <v>0.41310729677387908</v>
      </c>
      <c r="S21" s="324">
        <v>0.41310729677387908</v>
      </c>
    </row>
    <row r="22" spans="3:21" x14ac:dyDescent="0.25">
      <c r="F22" s="196" t="s">
        <v>929</v>
      </c>
      <c r="G22" s="196" t="s">
        <v>94</v>
      </c>
      <c r="H22" s="66"/>
      <c r="I22" s="66"/>
      <c r="J22" s="185">
        <f t="shared" si="0"/>
        <v>0.18726120416306516</v>
      </c>
      <c r="K22" s="162"/>
      <c r="L22" s="324"/>
      <c r="M22" s="324"/>
      <c r="N22" s="324"/>
      <c r="O22" s="324">
        <v>0.18726120416306516</v>
      </c>
      <c r="P22" s="324">
        <v>0.18726120416306516</v>
      </c>
      <c r="Q22" s="324">
        <v>0.18726120416306516</v>
      </c>
      <c r="R22" s="324">
        <v>0.18726120416306516</v>
      </c>
      <c r="S22" s="324">
        <v>0.18726120416306516</v>
      </c>
    </row>
    <row r="23" spans="3:21" x14ac:dyDescent="0.25">
      <c r="F23" s="196" t="s">
        <v>930</v>
      </c>
      <c r="G23" s="196" t="s">
        <v>94</v>
      </c>
      <c r="H23" s="66"/>
      <c r="I23" s="66"/>
      <c r="J23" s="185">
        <f t="shared" si="0"/>
        <v>0.56573192241822068</v>
      </c>
      <c r="K23" s="162"/>
      <c r="L23" s="324"/>
      <c r="M23" s="324"/>
      <c r="N23" s="324"/>
      <c r="O23" s="324">
        <v>0.56573192241822068</v>
      </c>
      <c r="P23" s="324">
        <v>0.56573192241822068</v>
      </c>
      <c r="Q23" s="324">
        <v>0.56573192241822068</v>
      </c>
      <c r="R23" s="324">
        <v>0.56573192241822068</v>
      </c>
      <c r="S23" s="324">
        <v>0.56573192241822068</v>
      </c>
    </row>
    <row r="24" spans="3:21" x14ac:dyDescent="0.25">
      <c r="F24" s="196" t="s">
        <v>931</v>
      </c>
      <c r="G24" s="196" t="s">
        <v>94</v>
      </c>
      <c r="H24" s="66"/>
      <c r="I24" s="66"/>
      <c r="J24" s="185">
        <f t="shared" si="0"/>
        <v>0.69979416227057245</v>
      </c>
      <c r="K24" s="162"/>
      <c r="L24" s="324"/>
      <c r="M24" s="324"/>
      <c r="N24" s="324"/>
      <c r="O24" s="324">
        <v>0.69979416227057245</v>
      </c>
      <c r="P24" s="324">
        <v>0.69979416227057245</v>
      </c>
      <c r="Q24" s="324">
        <v>0.69979416227057245</v>
      </c>
      <c r="R24" s="324">
        <v>0.69979416227057245</v>
      </c>
      <c r="S24" s="324">
        <v>0.69979416227057245</v>
      </c>
    </row>
    <row r="25" spans="3:21" x14ac:dyDescent="0.25">
      <c r="F25" s="196" t="s">
        <v>932</v>
      </c>
      <c r="G25" s="196" t="s">
        <v>94</v>
      </c>
      <c r="H25" s="66"/>
      <c r="I25" s="66"/>
      <c r="J25" s="185">
        <f t="shared" si="0"/>
        <v>0.6939299240123632</v>
      </c>
      <c r="K25" s="162"/>
      <c r="L25" s="324"/>
      <c r="M25" s="324"/>
      <c r="N25" s="324"/>
      <c r="O25" s="324">
        <v>0.6939299240123632</v>
      </c>
      <c r="P25" s="324">
        <v>0.6939299240123632</v>
      </c>
      <c r="Q25" s="324">
        <v>0.6939299240123632</v>
      </c>
      <c r="R25" s="324">
        <v>0.6939299240123632</v>
      </c>
      <c r="S25" s="324">
        <v>0.6939299240123632</v>
      </c>
    </row>
    <row r="26" spans="3:21" x14ac:dyDescent="0.25">
      <c r="F26" s="196" t="s">
        <v>933</v>
      </c>
      <c r="G26" s="196" t="s">
        <v>94</v>
      </c>
      <c r="H26" s="66"/>
      <c r="I26" s="66"/>
      <c r="J26" s="185">
        <f t="shared" si="0"/>
        <v>0.4735373613290324</v>
      </c>
      <c r="K26" s="162"/>
      <c r="L26" s="324"/>
      <c r="M26" s="324"/>
      <c r="N26" s="324"/>
      <c r="O26" s="324">
        <v>0.4735373613290324</v>
      </c>
      <c r="P26" s="324">
        <v>0.4735373613290324</v>
      </c>
      <c r="Q26" s="324">
        <v>0.4735373613290324</v>
      </c>
      <c r="R26" s="324">
        <v>0.4735373613290324</v>
      </c>
      <c r="S26" s="324">
        <v>0.4735373613290324</v>
      </c>
    </row>
    <row r="27" spans="3:21" x14ac:dyDescent="0.25">
      <c r="F27" s="196" t="s">
        <v>934</v>
      </c>
      <c r="G27" s="196" t="s">
        <v>94</v>
      </c>
      <c r="H27" s="66"/>
      <c r="I27" s="66"/>
      <c r="J27" s="239"/>
      <c r="K27" s="162"/>
      <c r="L27" s="37"/>
      <c r="M27" s="37"/>
      <c r="N27" s="37"/>
      <c r="O27" s="37"/>
      <c r="P27" s="37"/>
      <c r="Q27" s="37"/>
      <c r="R27" s="37"/>
      <c r="S27" s="37"/>
    </row>
    <row r="28" spans="3:21" x14ac:dyDescent="0.25">
      <c r="F28" s="196" t="s">
        <v>935</v>
      </c>
      <c r="G28" s="196" t="s">
        <v>94</v>
      </c>
      <c r="H28" s="66"/>
      <c r="I28" s="66"/>
      <c r="J28" s="239"/>
      <c r="K28" s="162"/>
      <c r="L28" s="37"/>
      <c r="M28" s="37"/>
      <c r="N28" s="37"/>
      <c r="O28" s="37"/>
      <c r="P28" s="37"/>
      <c r="Q28" s="37"/>
      <c r="R28" s="37"/>
      <c r="S28" s="37"/>
    </row>
    <row r="29" spans="3:21" x14ac:dyDescent="0.25">
      <c r="F29" s="196" t="s">
        <v>936</v>
      </c>
      <c r="G29" s="196" t="s">
        <v>94</v>
      </c>
      <c r="H29" s="66"/>
      <c r="I29" s="66"/>
      <c r="J29" s="239"/>
      <c r="K29" s="162"/>
      <c r="L29" s="37"/>
      <c r="M29" s="37"/>
      <c r="N29" s="37"/>
      <c r="O29" s="37"/>
      <c r="P29" s="37"/>
      <c r="Q29" s="37"/>
      <c r="R29" s="37"/>
      <c r="S29" s="37"/>
    </row>
    <row r="30" spans="3:21" x14ac:dyDescent="0.25">
      <c r="F30" s="196" t="s">
        <v>937</v>
      </c>
      <c r="G30" s="196" t="s">
        <v>94</v>
      </c>
      <c r="H30" s="66"/>
      <c r="I30" s="66"/>
      <c r="J30" s="239"/>
      <c r="K30" s="162"/>
      <c r="L30" s="37"/>
      <c r="M30" s="37"/>
      <c r="N30" s="37"/>
      <c r="O30" s="37"/>
      <c r="P30" s="37"/>
      <c r="Q30" s="37"/>
      <c r="R30" s="37"/>
      <c r="S30" s="37"/>
    </row>
    <row r="31" spans="3:21" x14ac:dyDescent="0.25">
      <c r="F31" s="196" t="s">
        <v>938</v>
      </c>
      <c r="G31" s="196" t="s">
        <v>94</v>
      </c>
      <c r="H31" s="66"/>
      <c r="I31" s="66"/>
      <c r="J31" s="239"/>
      <c r="K31" s="162"/>
      <c r="L31" s="37"/>
      <c r="M31" s="37"/>
      <c r="N31" s="37"/>
      <c r="O31" s="37"/>
      <c r="P31" s="37"/>
      <c r="Q31" s="37"/>
      <c r="R31" s="37"/>
      <c r="S31" s="37"/>
    </row>
    <row r="32" spans="3:21" x14ac:dyDescent="0.25">
      <c r="F32" s="196" t="s">
        <v>939</v>
      </c>
      <c r="G32" s="196" t="s">
        <v>94</v>
      </c>
      <c r="H32" s="66"/>
      <c r="I32" s="66"/>
      <c r="J32" s="239"/>
      <c r="K32" s="162"/>
      <c r="L32" s="37"/>
      <c r="M32" s="37"/>
      <c r="N32" s="37"/>
      <c r="O32" s="37"/>
      <c r="P32" s="37"/>
      <c r="Q32" s="37"/>
      <c r="R32" s="37"/>
      <c r="S32" s="37"/>
    </row>
    <row r="33" spans="3:21" x14ac:dyDescent="0.25">
      <c r="F33" s="196" t="s">
        <v>940</v>
      </c>
      <c r="G33" s="196" t="s">
        <v>94</v>
      </c>
      <c r="H33" s="66"/>
      <c r="I33" s="66"/>
      <c r="J33" s="239"/>
      <c r="K33" s="162"/>
      <c r="L33" s="37"/>
      <c r="M33" s="37"/>
      <c r="N33" s="37"/>
      <c r="O33" s="37"/>
      <c r="P33" s="37"/>
      <c r="Q33" s="37"/>
      <c r="R33" s="37"/>
      <c r="S33" s="37"/>
    </row>
    <row r="34" spans="3:21" x14ac:dyDescent="0.25">
      <c r="F34" s="93" t="s">
        <v>941</v>
      </c>
      <c r="G34" s="93" t="s">
        <v>94</v>
      </c>
      <c r="H34" s="145"/>
      <c r="I34" s="145"/>
      <c r="J34" s="240"/>
      <c r="K34" s="164"/>
      <c r="L34" s="38"/>
      <c r="M34" s="38"/>
      <c r="N34" s="38"/>
      <c r="O34" s="38"/>
      <c r="P34" s="38"/>
      <c r="Q34" s="38"/>
      <c r="R34" s="38"/>
      <c r="S34" s="38"/>
    </row>
    <row r="35" spans="3:21" x14ac:dyDescent="0.25">
      <c r="H35" s="111"/>
      <c r="J35" s="111"/>
      <c r="K35" s="111"/>
      <c r="L35" s="111"/>
      <c r="M35" s="111"/>
      <c r="N35" s="111"/>
      <c r="O35" s="111"/>
      <c r="P35" s="111"/>
      <c r="Q35" s="111"/>
      <c r="R35" s="111"/>
      <c r="S35" s="111"/>
    </row>
    <row r="36" spans="3:21" s="195" customFormat="1" x14ac:dyDescent="0.25">
      <c r="C36" s="7" t="str">
        <f ca="1">INDEX('Version control'!$H$35:$H$61,MATCH($A$1,'Version control'!$F$35:$F$61,0),1)&amp;"-B: Coincidence factor"</f>
        <v>Input 501-B: Coincidence factor</v>
      </c>
      <c r="D36" s="7"/>
      <c r="E36" s="7"/>
      <c r="F36" s="7"/>
      <c r="G36" s="7"/>
      <c r="H36" s="7"/>
      <c r="I36" s="171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</row>
    <row r="37" spans="3:21" s="195" customFormat="1" x14ac:dyDescent="0.25">
      <c r="C37" s="96"/>
      <c r="I37" s="111"/>
      <c r="L37" s="293"/>
      <c r="M37" s="293"/>
      <c r="N37" s="293"/>
      <c r="O37" s="293"/>
      <c r="P37" s="293"/>
      <c r="Q37" s="293"/>
      <c r="R37" s="293"/>
      <c r="S37" s="293"/>
    </row>
    <row r="38" spans="3:21" x14ac:dyDescent="0.25">
      <c r="E38" s="144" t="s">
        <v>70</v>
      </c>
      <c r="H38" s="111"/>
      <c r="I38" s="111" t="s">
        <v>359</v>
      </c>
      <c r="J38" s="111"/>
      <c r="K38" s="111"/>
      <c r="L38" s="111"/>
      <c r="M38" s="111"/>
      <c r="N38" s="111"/>
      <c r="O38" s="111"/>
      <c r="P38" s="111"/>
      <c r="Q38" s="111"/>
      <c r="R38" s="111"/>
      <c r="S38" s="111"/>
      <c r="U38" s="85" t="s">
        <v>808</v>
      </c>
    </row>
    <row r="39" spans="3:21" x14ac:dyDescent="0.25">
      <c r="F39" s="91" t="s">
        <v>926</v>
      </c>
      <c r="G39" s="91" t="s">
        <v>94</v>
      </c>
      <c r="H39" s="112"/>
      <c r="I39" s="112"/>
      <c r="J39" s="184">
        <f t="shared" ref="J39:J46" si="1">CHOOSE(year_selection, L39,M39,N39,O39,P39,Q39,R39,S39)</f>
        <v>0.90641726855328708</v>
      </c>
      <c r="K39" s="161"/>
      <c r="L39" s="323"/>
      <c r="M39" s="323"/>
      <c r="N39" s="323"/>
      <c r="O39" s="323">
        <v>0.90641726855328708</v>
      </c>
      <c r="P39" s="323">
        <v>0.90641726855328708</v>
      </c>
      <c r="Q39" s="323">
        <v>0.90641726855328708</v>
      </c>
      <c r="R39" s="323">
        <v>0.90641726855328708</v>
      </c>
      <c r="S39" s="323">
        <v>0.90641726855328708</v>
      </c>
    </row>
    <row r="40" spans="3:21" x14ac:dyDescent="0.25">
      <c r="F40" s="196" t="s">
        <v>927</v>
      </c>
      <c r="G40" s="196" t="s">
        <v>94</v>
      </c>
      <c r="H40" s="66"/>
      <c r="I40" s="66"/>
      <c r="J40" s="239"/>
      <c r="K40" s="162"/>
      <c r="L40" s="159"/>
      <c r="M40" s="159"/>
      <c r="N40" s="159"/>
      <c r="O40" s="159"/>
      <c r="P40" s="159"/>
      <c r="Q40" s="159"/>
      <c r="R40" s="159"/>
      <c r="S40" s="159"/>
    </row>
    <row r="41" spans="3:21" x14ac:dyDescent="0.25">
      <c r="F41" s="196" t="s">
        <v>928</v>
      </c>
      <c r="G41" s="196" t="s">
        <v>94</v>
      </c>
      <c r="H41" s="66"/>
      <c r="I41" s="66"/>
      <c r="J41" s="185">
        <f t="shared" si="1"/>
        <v>0.60026303804604864</v>
      </c>
      <c r="K41" s="162"/>
      <c r="L41" s="324"/>
      <c r="M41" s="324"/>
      <c r="N41" s="324"/>
      <c r="O41" s="324">
        <v>0.60026303804604864</v>
      </c>
      <c r="P41" s="324">
        <v>0.60026303804604864</v>
      </c>
      <c r="Q41" s="324">
        <v>0.60026303804604864</v>
      </c>
      <c r="R41" s="324">
        <v>0.60026303804604864</v>
      </c>
      <c r="S41" s="324">
        <v>0.60026303804604864</v>
      </c>
    </row>
    <row r="42" spans="3:21" x14ac:dyDescent="0.25">
      <c r="F42" s="196" t="s">
        <v>929</v>
      </c>
      <c r="G42" s="196" t="s">
        <v>94</v>
      </c>
      <c r="H42" s="66"/>
      <c r="I42" s="66"/>
      <c r="J42" s="239"/>
      <c r="K42" s="162"/>
      <c r="L42" s="159"/>
      <c r="M42" s="159"/>
      <c r="N42" s="159"/>
      <c r="O42" s="159"/>
      <c r="P42" s="159"/>
      <c r="Q42" s="159"/>
      <c r="R42" s="159"/>
      <c r="S42" s="159"/>
    </row>
    <row r="43" spans="3:21" x14ac:dyDescent="0.25">
      <c r="F43" s="196" t="s">
        <v>930</v>
      </c>
      <c r="G43" s="196" t="s">
        <v>94</v>
      </c>
      <c r="H43" s="66"/>
      <c r="I43" s="66"/>
      <c r="J43" s="185">
        <f t="shared" si="1"/>
        <v>0.74745273987511418</v>
      </c>
      <c r="K43" s="162"/>
      <c r="L43" s="324"/>
      <c r="M43" s="324"/>
      <c r="N43" s="324"/>
      <c r="O43" s="324">
        <v>0.74745273987511418</v>
      </c>
      <c r="P43" s="324">
        <v>0.74745273987511418</v>
      </c>
      <c r="Q43" s="324">
        <v>0.74745273987511418</v>
      </c>
      <c r="R43" s="324">
        <v>0.74745273987511418</v>
      </c>
      <c r="S43" s="324">
        <v>0.74745273987511418</v>
      </c>
    </row>
    <row r="44" spans="3:21" x14ac:dyDescent="0.25">
      <c r="F44" s="196" t="s">
        <v>931</v>
      </c>
      <c r="G44" s="196" t="s">
        <v>94</v>
      </c>
      <c r="H44" s="66"/>
      <c r="I44" s="66"/>
      <c r="J44" s="185">
        <f t="shared" si="1"/>
        <v>0.74459824015700671</v>
      </c>
      <c r="K44" s="162"/>
      <c r="L44" s="324"/>
      <c r="M44" s="324"/>
      <c r="N44" s="324"/>
      <c r="O44" s="324">
        <v>0.74459824015700671</v>
      </c>
      <c r="P44" s="324">
        <v>0.74459824015700671</v>
      </c>
      <c r="Q44" s="324">
        <v>0.74459824015700671</v>
      </c>
      <c r="R44" s="324">
        <v>0.74459824015700671</v>
      </c>
      <c r="S44" s="324">
        <v>0.74459824015700671</v>
      </c>
    </row>
    <row r="45" spans="3:21" x14ac:dyDescent="0.25">
      <c r="F45" s="196" t="s">
        <v>932</v>
      </c>
      <c r="G45" s="196" t="s">
        <v>94</v>
      </c>
      <c r="H45" s="66"/>
      <c r="I45" s="66"/>
      <c r="J45" s="185">
        <f t="shared" si="1"/>
        <v>0.75390108012230195</v>
      </c>
      <c r="K45" s="162"/>
      <c r="L45" s="324"/>
      <c r="M45" s="324"/>
      <c r="N45" s="324"/>
      <c r="O45" s="324">
        <v>0.75390108012230195</v>
      </c>
      <c r="P45" s="324">
        <v>0.75390108012230195</v>
      </c>
      <c r="Q45" s="324">
        <v>0.75390108012230195</v>
      </c>
      <c r="R45" s="324">
        <v>0.75390108012230195</v>
      </c>
      <c r="S45" s="324">
        <v>0.75390108012230195</v>
      </c>
    </row>
    <row r="46" spans="3:21" x14ac:dyDescent="0.25">
      <c r="F46" s="196" t="s">
        <v>933</v>
      </c>
      <c r="G46" s="196" t="s">
        <v>94</v>
      </c>
      <c r="H46" s="66"/>
      <c r="I46" s="66"/>
      <c r="J46" s="185">
        <f t="shared" si="1"/>
        <v>0.91973646787716767</v>
      </c>
      <c r="K46" s="162"/>
      <c r="L46" s="324"/>
      <c r="M46" s="324"/>
      <c r="N46" s="324"/>
      <c r="O46" s="324">
        <v>0.91973646787716767</v>
      </c>
      <c r="P46" s="324">
        <v>0.91973646787716767</v>
      </c>
      <c r="Q46" s="324">
        <v>0.91973646787716767</v>
      </c>
      <c r="R46" s="324">
        <v>0.91973646787716767</v>
      </c>
      <c r="S46" s="324">
        <v>0.91973646787716767</v>
      </c>
    </row>
    <row r="47" spans="3:21" x14ac:dyDescent="0.25">
      <c r="F47" s="196" t="s">
        <v>934</v>
      </c>
      <c r="G47" s="196" t="s">
        <v>94</v>
      </c>
      <c r="H47" s="66"/>
      <c r="I47" s="66"/>
      <c r="J47" s="239"/>
      <c r="K47" s="162"/>
      <c r="L47" s="159"/>
      <c r="M47" s="159"/>
      <c r="N47" s="159"/>
      <c r="O47" s="159"/>
      <c r="P47" s="159"/>
      <c r="Q47" s="159"/>
      <c r="R47" s="159"/>
      <c r="S47" s="159"/>
    </row>
    <row r="48" spans="3:21" x14ac:dyDescent="0.25">
      <c r="F48" s="196" t="s">
        <v>935</v>
      </c>
      <c r="G48" s="196" t="s">
        <v>94</v>
      </c>
      <c r="H48" s="66"/>
      <c r="I48" s="66"/>
      <c r="J48" s="239"/>
      <c r="K48" s="162"/>
      <c r="L48" s="159"/>
      <c r="M48" s="159"/>
      <c r="N48" s="159"/>
      <c r="O48" s="159"/>
      <c r="P48" s="159"/>
      <c r="Q48" s="159"/>
      <c r="R48" s="159"/>
      <c r="S48" s="159"/>
    </row>
    <row r="49" spans="2:21" x14ac:dyDescent="0.25">
      <c r="F49" s="196" t="s">
        <v>936</v>
      </c>
      <c r="G49" s="196" t="s">
        <v>94</v>
      </c>
      <c r="H49" s="66"/>
      <c r="I49" s="66"/>
      <c r="J49" s="239"/>
      <c r="K49" s="162"/>
      <c r="L49" s="159"/>
      <c r="M49" s="159"/>
      <c r="N49" s="159"/>
      <c r="O49" s="159"/>
      <c r="P49" s="159"/>
      <c r="Q49" s="159"/>
      <c r="R49" s="159"/>
      <c r="S49" s="159"/>
    </row>
    <row r="50" spans="2:21" x14ac:dyDescent="0.25">
      <c r="F50" s="196" t="s">
        <v>937</v>
      </c>
      <c r="G50" s="196" t="s">
        <v>94</v>
      </c>
      <c r="H50" s="66"/>
      <c r="I50" s="66"/>
      <c r="J50" s="239"/>
      <c r="K50" s="162"/>
      <c r="L50" s="159"/>
      <c r="M50" s="159"/>
      <c r="N50" s="159"/>
      <c r="O50" s="159"/>
      <c r="P50" s="159"/>
      <c r="Q50" s="159"/>
      <c r="R50" s="159"/>
      <c r="S50" s="159"/>
    </row>
    <row r="51" spans="2:21" x14ac:dyDescent="0.25">
      <c r="F51" s="196" t="s">
        <v>938</v>
      </c>
      <c r="G51" s="196" t="s">
        <v>94</v>
      </c>
      <c r="H51" s="66"/>
      <c r="I51" s="66"/>
      <c r="J51" s="239"/>
      <c r="K51" s="162"/>
      <c r="L51" s="159"/>
      <c r="M51" s="159"/>
      <c r="N51" s="159"/>
      <c r="O51" s="159"/>
      <c r="P51" s="159"/>
      <c r="Q51" s="159"/>
      <c r="R51" s="159"/>
      <c r="S51" s="159"/>
    </row>
    <row r="52" spans="2:21" x14ac:dyDescent="0.25">
      <c r="F52" s="196" t="s">
        <v>939</v>
      </c>
      <c r="G52" s="196" t="s">
        <v>94</v>
      </c>
      <c r="H52" s="66"/>
      <c r="I52" s="66"/>
      <c r="J52" s="239"/>
      <c r="K52" s="162"/>
      <c r="L52" s="159"/>
      <c r="M52" s="159"/>
      <c r="N52" s="159"/>
      <c r="O52" s="159"/>
      <c r="P52" s="159"/>
      <c r="Q52" s="159"/>
      <c r="R52" s="159"/>
      <c r="S52" s="159"/>
    </row>
    <row r="53" spans="2:21" x14ac:dyDescent="0.25">
      <c r="F53" s="196" t="s">
        <v>940</v>
      </c>
      <c r="G53" s="196" t="s">
        <v>94</v>
      </c>
      <c r="H53" s="66"/>
      <c r="I53" s="66"/>
      <c r="J53" s="239"/>
      <c r="K53" s="162"/>
      <c r="L53" s="159"/>
      <c r="M53" s="159"/>
      <c r="N53" s="159"/>
      <c r="O53" s="159"/>
      <c r="P53" s="159"/>
      <c r="Q53" s="159"/>
      <c r="R53" s="159"/>
      <c r="S53" s="159"/>
    </row>
    <row r="54" spans="2:21" x14ac:dyDescent="0.25">
      <c r="F54" s="93" t="s">
        <v>941</v>
      </c>
      <c r="G54" s="93" t="s">
        <v>94</v>
      </c>
      <c r="H54" s="145"/>
      <c r="I54" s="145"/>
      <c r="J54" s="240"/>
      <c r="K54" s="164"/>
      <c r="L54" s="430"/>
      <c r="M54" s="430"/>
      <c r="N54" s="430"/>
      <c r="O54" s="430"/>
      <c r="P54" s="430"/>
      <c r="Q54" s="430"/>
      <c r="R54" s="430"/>
      <c r="S54" s="430"/>
    </row>
    <row r="55" spans="2:21" x14ac:dyDescent="0.25">
      <c r="J55" s="195"/>
      <c r="K55" s="195"/>
      <c r="L55" s="293"/>
      <c r="M55" s="293"/>
      <c r="N55" s="293"/>
      <c r="O55" s="195"/>
      <c r="P55" s="293"/>
      <c r="Q55" s="293"/>
      <c r="R55" s="293"/>
      <c r="S55" s="293"/>
    </row>
    <row r="56" spans="2:21" x14ac:dyDescent="0.25">
      <c r="B56" s="95" t="s">
        <v>626</v>
      </c>
      <c r="C56" s="95"/>
      <c r="D56" s="95"/>
      <c r="E56" s="95"/>
      <c r="F56" s="95"/>
      <c r="G56" s="95"/>
      <c r="H56" s="95"/>
      <c r="I56" s="160"/>
      <c r="J56" s="95"/>
      <c r="K56" s="95"/>
      <c r="L56" s="95"/>
      <c r="M56" s="95"/>
      <c r="N56" s="95"/>
      <c r="O56" s="95"/>
      <c r="P56" s="95"/>
      <c r="Q56" s="95"/>
      <c r="R56" s="95"/>
      <c r="S56" s="95"/>
      <c r="T56" s="95"/>
      <c r="U56" s="95"/>
    </row>
    <row r="57" spans="2:21" x14ac:dyDescent="0.25">
      <c r="J57" s="195"/>
      <c r="K57" s="195"/>
      <c r="L57" s="293"/>
      <c r="M57" s="293"/>
      <c r="N57" s="293"/>
      <c r="O57" s="195"/>
      <c r="P57" s="293"/>
      <c r="Q57" s="293"/>
      <c r="R57" s="293"/>
      <c r="S57" s="293"/>
    </row>
    <row r="58" spans="2:21" x14ac:dyDescent="0.25">
      <c r="C58" s="7" t="str">
        <f ca="1">INDEX('Version control'!$H$35:$H$61,MATCH($A$1,'Version control'!$F$35:$F$61,0),1)&amp;"-C: All-the-way volumes - No residual"</f>
        <v>Input 501-C: All-the-way volumes - No residual</v>
      </c>
      <c r="D58" s="7"/>
      <c r="E58" s="7"/>
      <c r="F58" s="7"/>
      <c r="G58" s="7"/>
      <c r="H58" s="7"/>
      <c r="I58" s="171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</row>
    <row r="59" spans="2:21" x14ac:dyDescent="0.25">
      <c r="C59" s="96"/>
      <c r="J59" s="195"/>
      <c r="K59" s="195"/>
      <c r="L59" s="293"/>
      <c r="M59" s="293"/>
      <c r="N59" s="293"/>
      <c r="O59" s="195"/>
      <c r="P59" s="293"/>
      <c r="Q59" s="293"/>
      <c r="R59" s="293"/>
      <c r="S59" s="293"/>
    </row>
    <row r="60" spans="2:21" x14ac:dyDescent="0.25">
      <c r="E60" s="144" t="s">
        <v>199</v>
      </c>
      <c r="I60" s="111" t="s">
        <v>359</v>
      </c>
      <c r="J60" s="293"/>
      <c r="K60" s="293"/>
      <c r="L60" s="293"/>
      <c r="M60" s="293"/>
      <c r="N60" s="293"/>
      <c r="O60" s="293"/>
      <c r="P60" s="293"/>
      <c r="Q60" s="293"/>
      <c r="R60" s="293"/>
      <c r="S60" s="293"/>
      <c r="T60" s="293"/>
      <c r="U60" s="293" t="s">
        <v>692</v>
      </c>
    </row>
    <row r="61" spans="2:21" x14ac:dyDescent="0.25">
      <c r="F61" s="91" t="s">
        <v>926</v>
      </c>
      <c r="G61" s="91" t="s">
        <v>120</v>
      </c>
      <c r="H61" s="91" t="s">
        <v>145</v>
      </c>
      <c r="I61" s="112"/>
      <c r="J61" s="238"/>
      <c r="K61" s="232"/>
      <c r="L61" s="238"/>
      <c r="M61" s="238"/>
      <c r="N61" s="238"/>
      <c r="O61" s="238"/>
      <c r="P61" s="238"/>
      <c r="Q61" s="238"/>
      <c r="R61" s="238"/>
      <c r="S61" s="238"/>
    </row>
    <row r="62" spans="2:21" x14ac:dyDescent="0.25">
      <c r="F62" s="196" t="s">
        <v>927</v>
      </c>
      <c r="G62" s="196" t="s">
        <v>120</v>
      </c>
      <c r="H62" s="196" t="s">
        <v>145</v>
      </c>
      <c r="I62" s="66"/>
      <c r="J62" s="233">
        <f t="shared" ref="J62:J76" si="2">CHOOSE(year_selection, L62,M62,N62,O62,P62,Q62,R62,S62)</f>
        <v>352.09798476122353</v>
      </c>
      <c r="K62" s="234"/>
      <c r="L62" s="330"/>
      <c r="M62" s="330"/>
      <c r="N62" s="330"/>
      <c r="O62" s="330">
        <v>352.09798476122353</v>
      </c>
      <c r="P62" s="330">
        <v>301.54293526057739</v>
      </c>
      <c r="Q62" s="330">
        <v>271.92063888117127</v>
      </c>
      <c r="R62" s="330">
        <v>242.29834250176521</v>
      </c>
      <c r="S62" s="330">
        <v>212.67604612235914</v>
      </c>
    </row>
    <row r="63" spans="2:21" x14ac:dyDescent="0.25">
      <c r="F63" s="196" t="s">
        <v>928</v>
      </c>
      <c r="G63" s="196" t="s">
        <v>120</v>
      </c>
      <c r="H63" s="196" t="s">
        <v>145</v>
      </c>
      <c r="I63" s="66"/>
      <c r="J63" s="233">
        <f t="shared" si="2"/>
        <v>17.674829368275692</v>
      </c>
      <c r="K63" s="234"/>
      <c r="L63" s="330"/>
      <c r="M63" s="330"/>
      <c r="N63" s="330"/>
      <c r="O63" s="330">
        <v>17.674829368275692</v>
      </c>
      <c r="P63" s="330">
        <v>17.208691325426742</v>
      </c>
      <c r="Q63" s="330">
        <v>16.643234487317201</v>
      </c>
      <c r="R63" s="330">
        <v>16.0318264232201</v>
      </c>
      <c r="S63" s="330">
        <v>15.420418359122996</v>
      </c>
    </row>
    <row r="64" spans="2:21" x14ac:dyDescent="0.25">
      <c r="F64" s="196" t="s">
        <v>929</v>
      </c>
      <c r="G64" s="196" t="s">
        <v>120</v>
      </c>
      <c r="H64" s="196" t="s">
        <v>145</v>
      </c>
      <c r="I64" s="66"/>
      <c r="J64" s="233">
        <f t="shared" si="2"/>
        <v>551.63967583646206</v>
      </c>
      <c r="K64" s="234"/>
      <c r="L64" s="330"/>
      <c r="M64" s="330"/>
      <c r="N64" s="330"/>
      <c r="O64" s="330">
        <v>551.63967583646206</v>
      </c>
      <c r="P64" s="330">
        <v>523.79213851232294</v>
      </c>
      <c r="Q64" s="330">
        <v>495.94460118818392</v>
      </c>
      <c r="R64" s="330">
        <v>468.0970638640448</v>
      </c>
      <c r="S64" s="330">
        <v>440.24952653990573</v>
      </c>
    </row>
    <row r="65" spans="5:19" x14ac:dyDescent="0.25">
      <c r="F65" s="196" t="s">
        <v>930</v>
      </c>
      <c r="G65" s="196" t="s">
        <v>120</v>
      </c>
      <c r="H65" s="196" t="s">
        <v>145</v>
      </c>
      <c r="I65" s="66"/>
      <c r="J65" s="233">
        <f t="shared" si="2"/>
        <v>97.441843836801354</v>
      </c>
      <c r="K65" s="234"/>
      <c r="L65" s="330"/>
      <c r="M65" s="330"/>
      <c r="N65" s="330"/>
      <c r="O65" s="330">
        <v>97.441843836801354</v>
      </c>
      <c r="P65" s="330">
        <v>86.631193126521964</v>
      </c>
      <c r="Q65" s="330">
        <v>81.155572447134944</v>
      </c>
      <c r="R65" s="330">
        <v>75.44382364634204</v>
      </c>
      <c r="S65" s="330">
        <v>69.732074845549135</v>
      </c>
    </row>
    <row r="66" spans="5:19" x14ac:dyDescent="0.25">
      <c r="F66" s="196" t="s">
        <v>931</v>
      </c>
      <c r="G66" s="196" t="s">
        <v>120</v>
      </c>
      <c r="H66" s="196" t="s">
        <v>145</v>
      </c>
      <c r="I66" s="66"/>
      <c r="J66" s="233">
        <f t="shared" si="2"/>
        <v>0</v>
      </c>
      <c r="K66" s="234"/>
      <c r="L66" s="330"/>
      <c r="M66" s="330"/>
      <c r="N66" s="330"/>
      <c r="O66" s="330">
        <v>0</v>
      </c>
      <c r="P66" s="330">
        <v>0</v>
      </c>
      <c r="Q66" s="330">
        <v>0</v>
      </c>
      <c r="R66" s="330">
        <v>0</v>
      </c>
      <c r="S66" s="330">
        <v>0</v>
      </c>
    </row>
    <row r="67" spans="5:19" x14ac:dyDescent="0.25">
      <c r="F67" s="196" t="s">
        <v>932</v>
      </c>
      <c r="G67" s="196" t="s">
        <v>120</v>
      </c>
      <c r="H67" s="196" t="s">
        <v>145</v>
      </c>
      <c r="I67" s="66"/>
      <c r="J67" s="233">
        <f t="shared" si="2"/>
        <v>282.51298224599748</v>
      </c>
      <c r="K67" s="234"/>
      <c r="L67" s="330"/>
      <c r="M67" s="330"/>
      <c r="N67" s="330"/>
      <c r="O67" s="330">
        <v>282.51298224599748</v>
      </c>
      <c r="P67" s="330">
        <v>258.90784554545479</v>
      </c>
      <c r="Q67" s="330">
        <v>256.32170839918268</v>
      </c>
      <c r="R67" s="330">
        <v>253.24604290364641</v>
      </c>
      <c r="S67" s="330">
        <v>250.1703774081102</v>
      </c>
    </row>
    <row r="68" spans="5:19" x14ac:dyDescent="0.25">
      <c r="F68" s="196" t="s">
        <v>933</v>
      </c>
      <c r="G68" s="196" t="s">
        <v>120</v>
      </c>
      <c r="H68" s="196" t="s">
        <v>145</v>
      </c>
      <c r="I68" s="66"/>
      <c r="J68" s="239"/>
      <c r="K68" s="234"/>
      <c r="L68" s="239"/>
      <c r="M68" s="239"/>
      <c r="N68" s="239"/>
      <c r="O68" s="239"/>
      <c r="P68" s="239"/>
      <c r="Q68" s="239"/>
      <c r="R68" s="239"/>
      <c r="S68" s="239"/>
    </row>
    <row r="69" spans="5:19" x14ac:dyDescent="0.25">
      <c r="F69" s="196" t="s">
        <v>934</v>
      </c>
      <c r="G69" s="196" t="s">
        <v>120</v>
      </c>
      <c r="H69" s="196" t="s">
        <v>145</v>
      </c>
      <c r="I69" s="66"/>
      <c r="J69" s="233">
        <f t="shared" si="2"/>
        <v>674.85025217285374</v>
      </c>
      <c r="K69" s="234"/>
      <c r="L69" s="330"/>
      <c r="M69" s="330"/>
      <c r="N69" s="330"/>
      <c r="O69" s="330">
        <v>674.85025217285374</v>
      </c>
      <c r="P69" s="330">
        <v>683.46171132946768</v>
      </c>
      <c r="Q69" s="330">
        <v>692.07317048608184</v>
      </c>
      <c r="R69" s="330">
        <v>700.68462964269634</v>
      </c>
      <c r="S69" s="330">
        <v>709.29608879931072</v>
      </c>
    </row>
    <row r="70" spans="5:19" x14ac:dyDescent="0.25">
      <c r="F70" s="196" t="s">
        <v>935</v>
      </c>
      <c r="G70" s="196" t="s">
        <v>120</v>
      </c>
      <c r="H70" s="196" t="s">
        <v>145</v>
      </c>
      <c r="I70" s="66"/>
      <c r="J70" s="233">
        <f t="shared" si="2"/>
        <v>25.768606153818535</v>
      </c>
      <c r="K70" s="234"/>
      <c r="L70" s="330"/>
      <c r="M70" s="330"/>
      <c r="N70" s="330"/>
      <c r="O70" s="330">
        <v>25.768606153818535</v>
      </c>
      <c r="P70" s="330">
        <v>25.768606153818535</v>
      </c>
      <c r="Q70" s="330">
        <v>25.768606153818535</v>
      </c>
      <c r="R70" s="330">
        <v>25.768606153818535</v>
      </c>
      <c r="S70" s="330">
        <v>25.768606153818535</v>
      </c>
    </row>
    <row r="71" spans="5:19" x14ac:dyDescent="0.25">
      <c r="F71" s="196" t="s">
        <v>936</v>
      </c>
      <c r="G71" s="196" t="s">
        <v>120</v>
      </c>
      <c r="H71" s="196" t="s">
        <v>145</v>
      </c>
      <c r="I71" s="66"/>
      <c r="J71" s="233">
        <f t="shared" si="2"/>
        <v>3471.0598153050755</v>
      </c>
      <c r="K71" s="234"/>
      <c r="L71" s="330"/>
      <c r="M71" s="330"/>
      <c r="N71" s="330"/>
      <c r="O71" s="330">
        <v>3471.0598153050755</v>
      </c>
      <c r="P71" s="330">
        <v>3570.9088196565967</v>
      </c>
      <c r="Q71" s="330">
        <v>3670.7578240081166</v>
      </c>
      <c r="R71" s="330">
        <v>3770.6068283596364</v>
      </c>
      <c r="S71" s="330">
        <v>3870.4558327111563</v>
      </c>
    </row>
    <row r="72" spans="5:19" x14ac:dyDescent="0.25">
      <c r="F72" s="196" t="s">
        <v>937</v>
      </c>
      <c r="G72" s="196" t="s">
        <v>120</v>
      </c>
      <c r="H72" s="196" t="s">
        <v>145</v>
      </c>
      <c r="I72" s="66"/>
      <c r="J72" s="233">
        <f t="shared" si="2"/>
        <v>0</v>
      </c>
      <c r="K72" s="234"/>
      <c r="L72" s="330"/>
      <c r="M72" s="330"/>
      <c r="N72" s="330"/>
      <c r="O72" s="330">
        <v>0</v>
      </c>
      <c r="P72" s="330">
        <v>0</v>
      </c>
      <c r="Q72" s="330">
        <v>0</v>
      </c>
      <c r="R72" s="330">
        <v>0</v>
      </c>
      <c r="S72" s="330">
        <v>0</v>
      </c>
    </row>
    <row r="73" spans="5:19" x14ac:dyDescent="0.25">
      <c r="F73" s="196" t="s">
        <v>938</v>
      </c>
      <c r="G73" s="196" t="s">
        <v>120</v>
      </c>
      <c r="H73" s="196" t="s">
        <v>145</v>
      </c>
      <c r="I73" s="66"/>
      <c r="J73" s="233">
        <f t="shared" si="2"/>
        <v>0</v>
      </c>
      <c r="K73" s="234"/>
      <c r="L73" s="330"/>
      <c r="M73" s="330"/>
      <c r="N73" s="330"/>
      <c r="O73" s="330">
        <v>0</v>
      </c>
      <c r="P73" s="330">
        <v>0</v>
      </c>
      <c r="Q73" s="330">
        <v>0</v>
      </c>
      <c r="R73" s="330">
        <v>0</v>
      </c>
      <c r="S73" s="330">
        <v>0</v>
      </c>
    </row>
    <row r="74" spans="5:19" x14ac:dyDescent="0.25">
      <c r="F74" s="196" t="s">
        <v>939</v>
      </c>
      <c r="G74" s="196" t="s">
        <v>120</v>
      </c>
      <c r="H74" s="196" t="s">
        <v>145</v>
      </c>
      <c r="I74" s="66"/>
      <c r="J74" s="233">
        <f t="shared" si="2"/>
        <v>0</v>
      </c>
      <c r="K74" s="234"/>
      <c r="L74" s="330"/>
      <c r="M74" s="330"/>
      <c r="N74" s="330"/>
      <c r="O74" s="330">
        <v>0</v>
      </c>
      <c r="P74" s="330">
        <v>0</v>
      </c>
      <c r="Q74" s="330">
        <v>0</v>
      </c>
      <c r="R74" s="330">
        <v>0</v>
      </c>
      <c r="S74" s="330">
        <v>0</v>
      </c>
    </row>
    <row r="75" spans="5:19" x14ac:dyDescent="0.25">
      <c r="F75" s="196" t="s">
        <v>940</v>
      </c>
      <c r="G75" s="196" t="s">
        <v>120</v>
      </c>
      <c r="H75" s="196" t="s">
        <v>145</v>
      </c>
      <c r="I75" s="66"/>
      <c r="J75" s="233">
        <f t="shared" si="2"/>
        <v>86090.420132224855</v>
      </c>
      <c r="K75" s="234"/>
      <c r="L75" s="330"/>
      <c r="M75" s="330"/>
      <c r="N75" s="330"/>
      <c r="O75" s="330">
        <v>86090.420132224855</v>
      </c>
      <c r="P75" s="330">
        <v>82950.730132224853</v>
      </c>
      <c r="Q75" s="330">
        <v>82950.730132224853</v>
      </c>
      <c r="R75" s="330">
        <v>82950.730132224853</v>
      </c>
      <c r="S75" s="330">
        <v>82950.730132224853</v>
      </c>
    </row>
    <row r="76" spans="5:19" x14ac:dyDescent="0.25">
      <c r="F76" s="93" t="s">
        <v>941</v>
      </c>
      <c r="G76" s="93" t="s">
        <v>120</v>
      </c>
      <c r="H76" s="93" t="s">
        <v>145</v>
      </c>
      <c r="I76" s="145"/>
      <c r="J76" s="235">
        <f t="shared" si="2"/>
        <v>0</v>
      </c>
      <c r="K76" s="236"/>
      <c r="L76" s="331"/>
      <c r="M76" s="331"/>
      <c r="N76" s="331"/>
      <c r="O76" s="331">
        <v>0</v>
      </c>
      <c r="P76" s="331">
        <v>0</v>
      </c>
      <c r="Q76" s="331">
        <v>0</v>
      </c>
      <c r="R76" s="331">
        <v>0</v>
      </c>
      <c r="S76" s="331">
        <v>0</v>
      </c>
    </row>
    <row r="77" spans="5:19" x14ac:dyDescent="0.25">
      <c r="J77" s="237"/>
      <c r="K77" s="237"/>
      <c r="L77" s="237"/>
      <c r="M77" s="237"/>
      <c r="N77" s="237"/>
      <c r="O77" s="237"/>
      <c r="P77" s="237"/>
      <c r="Q77" s="237"/>
      <c r="R77" s="237"/>
      <c r="S77" s="237"/>
    </row>
    <row r="78" spans="5:19" x14ac:dyDescent="0.25">
      <c r="E78" s="144" t="s">
        <v>200</v>
      </c>
      <c r="J78" s="237"/>
      <c r="K78" s="237"/>
      <c r="L78" s="237"/>
      <c r="M78" s="237"/>
      <c r="N78" s="237"/>
      <c r="O78" s="237"/>
      <c r="P78" s="237"/>
      <c r="Q78" s="237"/>
      <c r="R78" s="237"/>
      <c r="S78" s="237"/>
    </row>
    <row r="79" spans="5:19" x14ac:dyDescent="0.25">
      <c r="F79" s="91" t="s">
        <v>926</v>
      </c>
      <c r="G79" s="91" t="s">
        <v>120</v>
      </c>
      <c r="H79" s="91" t="s">
        <v>145</v>
      </c>
      <c r="I79" s="112"/>
      <c r="J79" s="238"/>
      <c r="K79" s="232"/>
      <c r="L79" s="238"/>
      <c r="M79" s="238"/>
      <c r="N79" s="238"/>
      <c r="O79" s="238"/>
      <c r="P79" s="238"/>
      <c r="Q79" s="238"/>
      <c r="R79" s="238"/>
      <c r="S79" s="238"/>
    </row>
    <row r="80" spans="5:19" x14ac:dyDescent="0.25">
      <c r="F80" s="196" t="s">
        <v>927</v>
      </c>
      <c r="G80" s="196" t="s">
        <v>120</v>
      </c>
      <c r="H80" s="196" t="s">
        <v>145</v>
      </c>
      <c r="I80" s="66"/>
      <c r="J80" s="233">
        <f t="shared" ref="J80:J85" si="3">CHOOSE(year_selection, L80,M80,N80,O80,P80,Q80,R80,S80)</f>
        <v>43149.740797225757</v>
      </c>
      <c r="K80" s="234"/>
      <c r="L80" s="330"/>
      <c r="M80" s="330"/>
      <c r="N80" s="330"/>
      <c r="O80" s="330">
        <v>43149.740797225757</v>
      </c>
      <c r="P80" s="330">
        <v>36800.372758998521</v>
      </c>
      <c r="Q80" s="330">
        <v>33045.121509271114</v>
      </c>
      <c r="R80" s="330">
        <v>29318.670259972881</v>
      </c>
      <c r="S80" s="330">
        <v>25592.219010674646</v>
      </c>
    </row>
    <row r="81" spans="5:19" x14ac:dyDescent="0.25">
      <c r="F81" s="196" t="s">
        <v>928</v>
      </c>
      <c r="G81" s="196" t="s">
        <v>120</v>
      </c>
      <c r="H81" s="196" t="s">
        <v>145</v>
      </c>
      <c r="I81" s="66"/>
      <c r="J81" s="233">
        <f t="shared" si="3"/>
        <v>111.15518056847273</v>
      </c>
      <c r="K81" s="234"/>
      <c r="L81" s="330"/>
      <c r="M81" s="330"/>
      <c r="N81" s="330"/>
      <c r="O81" s="330">
        <v>111.15518056847273</v>
      </c>
      <c r="P81" s="330">
        <v>107.62849338896339</v>
      </c>
      <c r="Q81" s="330">
        <v>103.35890872820625</v>
      </c>
      <c r="R81" s="330">
        <v>98.745256085717756</v>
      </c>
      <c r="S81" s="330">
        <v>94.131603443229267</v>
      </c>
    </row>
    <row r="82" spans="5:19" x14ac:dyDescent="0.25">
      <c r="F82" s="196" t="s">
        <v>929</v>
      </c>
      <c r="G82" s="196" t="s">
        <v>120</v>
      </c>
      <c r="H82" s="196" t="s">
        <v>145</v>
      </c>
      <c r="I82" s="66"/>
      <c r="J82" s="233">
        <f t="shared" si="3"/>
        <v>7964.6066273601509</v>
      </c>
      <c r="K82" s="234"/>
      <c r="L82" s="330"/>
      <c r="M82" s="330"/>
      <c r="N82" s="330"/>
      <c r="O82" s="330">
        <v>7964.6066273601509</v>
      </c>
      <c r="P82" s="330">
        <v>7588.3837403030093</v>
      </c>
      <c r="Q82" s="330">
        <v>7194.0401067053635</v>
      </c>
      <c r="R82" s="330">
        <v>6792.0655578532296</v>
      </c>
      <c r="S82" s="330">
        <v>6390.0910090010948</v>
      </c>
    </row>
    <row r="83" spans="5:19" x14ac:dyDescent="0.25">
      <c r="F83" s="196" t="s">
        <v>930</v>
      </c>
      <c r="G83" s="196" t="s">
        <v>120</v>
      </c>
      <c r="H83" s="196" t="s">
        <v>145</v>
      </c>
      <c r="I83" s="66"/>
      <c r="J83" s="233">
        <f t="shared" si="3"/>
        <v>556.03409177375033</v>
      </c>
      <c r="K83" s="234"/>
      <c r="L83" s="330"/>
      <c r="M83" s="330"/>
      <c r="N83" s="330"/>
      <c r="O83" s="330">
        <v>556.03409177375033</v>
      </c>
      <c r="P83" s="330">
        <v>498.63260919437027</v>
      </c>
      <c r="Q83" s="330">
        <v>478.07872173539704</v>
      </c>
      <c r="R83" s="330">
        <v>459.3041683216457</v>
      </c>
      <c r="S83" s="330">
        <v>440.52961490789426</v>
      </c>
    </row>
    <row r="84" spans="5:19" x14ac:dyDescent="0.25">
      <c r="F84" s="196" t="s">
        <v>931</v>
      </c>
      <c r="G84" s="196" t="s">
        <v>120</v>
      </c>
      <c r="H84" s="196" t="s">
        <v>145</v>
      </c>
      <c r="I84" s="66"/>
      <c r="J84" s="233">
        <f t="shared" si="3"/>
        <v>0</v>
      </c>
      <c r="K84" s="234"/>
      <c r="L84" s="330"/>
      <c r="M84" s="330"/>
      <c r="N84" s="330"/>
      <c r="O84" s="330">
        <v>0</v>
      </c>
      <c r="P84" s="330">
        <v>0</v>
      </c>
      <c r="Q84" s="330">
        <v>0</v>
      </c>
      <c r="R84" s="330">
        <v>0</v>
      </c>
      <c r="S84" s="330">
        <v>0</v>
      </c>
    </row>
    <row r="85" spans="5:19" x14ac:dyDescent="0.25">
      <c r="F85" s="196" t="s">
        <v>932</v>
      </c>
      <c r="G85" s="196" t="s">
        <v>120</v>
      </c>
      <c r="H85" s="196" t="s">
        <v>145</v>
      </c>
      <c r="I85" s="66"/>
      <c r="J85" s="233">
        <f t="shared" si="3"/>
        <v>4354.8781058513705</v>
      </c>
      <c r="K85" s="234"/>
      <c r="L85" s="330"/>
      <c r="M85" s="330"/>
      <c r="N85" s="330"/>
      <c r="O85" s="330">
        <v>4354.8781058513705</v>
      </c>
      <c r="P85" s="330">
        <v>1439.8337328987664</v>
      </c>
      <c r="Q85" s="330">
        <v>1423.0359960170256</v>
      </c>
      <c r="R85" s="330">
        <v>1404.7439528147479</v>
      </c>
      <c r="S85" s="330">
        <v>1386.4519096124702</v>
      </c>
    </row>
    <row r="86" spans="5:19" x14ac:dyDescent="0.25">
      <c r="F86" s="196" t="s">
        <v>933</v>
      </c>
      <c r="G86" s="196" t="s">
        <v>120</v>
      </c>
      <c r="H86" s="196" t="s">
        <v>145</v>
      </c>
      <c r="I86" s="66"/>
      <c r="J86" s="239"/>
      <c r="K86" s="234"/>
      <c r="L86" s="239"/>
      <c r="M86" s="239"/>
      <c r="N86" s="239"/>
      <c r="O86" s="239"/>
      <c r="P86" s="239"/>
      <c r="Q86" s="239"/>
      <c r="R86" s="239"/>
      <c r="S86" s="239"/>
    </row>
    <row r="87" spans="5:19" x14ac:dyDescent="0.25">
      <c r="F87" s="196" t="s">
        <v>934</v>
      </c>
      <c r="G87" s="196" t="s">
        <v>120</v>
      </c>
      <c r="H87" s="196" t="s">
        <v>145</v>
      </c>
      <c r="I87" s="66"/>
      <c r="J87" s="233">
        <f t="shared" ref="J87:J94" si="4">CHOOSE(year_selection, L87,M87,N87,O87,P87,Q87,R87,S87)</f>
        <v>5290.0415585937481</v>
      </c>
      <c r="K87" s="234"/>
      <c r="L87" s="330"/>
      <c r="M87" s="330"/>
      <c r="N87" s="330"/>
      <c r="O87" s="330">
        <v>5290.0415585937481</v>
      </c>
      <c r="P87" s="330">
        <v>5357.4802277066547</v>
      </c>
      <c r="Q87" s="330">
        <v>5424.9188968195613</v>
      </c>
      <c r="R87" s="330">
        <v>5492.3575659324661</v>
      </c>
      <c r="S87" s="330">
        <v>5559.7962350453708</v>
      </c>
    </row>
    <row r="88" spans="5:19" x14ac:dyDescent="0.25">
      <c r="F88" s="196" t="s">
        <v>935</v>
      </c>
      <c r="G88" s="196" t="s">
        <v>120</v>
      </c>
      <c r="H88" s="196" t="s">
        <v>145</v>
      </c>
      <c r="I88" s="66"/>
      <c r="J88" s="233">
        <f t="shared" si="4"/>
        <v>199.9475994029803</v>
      </c>
      <c r="K88" s="234"/>
      <c r="L88" s="330"/>
      <c r="M88" s="330"/>
      <c r="N88" s="330"/>
      <c r="O88" s="330">
        <v>199.9475994029803</v>
      </c>
      <c r="P88" s="330">
        <v>199.9475994029803</v>
      </c>
      <c r="Q88" s="330">
        <v>199.9475994029803</v>
      </c>
      <c r="R88" s="330">
        <v>199.9475994029803</v>
      </c>
      <c r="S88" s="330">
        <v>199.9475994029803</v>
      </c>
    </row>
    <row r="89" spans="5:19" x14ac:dyDescent="0.25">
      <c r="F89" s="196" t="s">
        <v>936</v>
      </c>
      <c r="G89" s="196" t="s">
        <v>120</v>
      </c>
      <c r="H89" s="196" t="s">
        <v>145</v>
      </c>
      <c r="I89" s="66"/>
      <c r="J89" s="233">
        <f t="shared" si="4"/>
        <v>32553.160713646485</v>
      </c>
      <c r="K89" s="234"/>
      <c r="L89" s="330"/>
      <c r="M89" s="330"/>
      <c r="N89" s="330"/>
      <c r="O89" s="330">
        <v>32553.160713646485</v>
      </c>
      <c r="P89" s="330">
        <v>33592.839657351862</v>
      </c>
      <c r="Q89" s="330">
        <v>34638.278601057245</v>
      </c>
      <c r="R89" s="330">
        <v>35689.477544762623</v>
      </c>
      <c r="S89" s="330">
        <v>36740.676488468001</v>
      </c>
    </row>
    <row r="90" spans="5:19" x14ac:dyDescent="0.25">
      <c r="F90" s="196" t="s">
        <v>937</v>
      </c>
      <c r="G90" s="196" t="s">
        <v>120</v>
      </c>
      <c r="H90" s="196" t="s">
        <v>145</v>
      </c>
      <c r="I90" s="66"/>
      <c r="J90" s="233">
        <f t="shared" si="4"/>
        <v>0</v>
      </c>
      <c r="K90" s="234"/>
      <c r="L90" s="330"/>
      <c r="M90" s="330"/>
      <c r="N90" s="330"/>
      <c r="O90" s="330">
        <v>0</v>
      </c>
      <c r="P90" s="330">
        <v>0</v>
      </c>
      <c r="Q90" s="330">
        <v>0</v>
      </c>
      <c r="R90" s="330">
        <v>0</v>
      </c>
      <c r="S90" s="330">
        <v>0</v>
      </c>
    </row>
    <row r="91" spans="5:19" x14ac:dyDescent="0.25">
      <c r="F91" s="196" t="s">
        <v>938</v>
      </c>
      <c r="G91" s="196" t="s">
        <v>120</v>
      </c>
      <c r="H91" s="196" t="s">
        <v>145</v>
      </c>
      <c r="I91" s="66"/>
      <c r="J91" s="233">
        <f t="shared" si="4"/>
        <v>0</v>
      </c>
      <c r="K91" s="234"/>
      <c r="L91" s="330"/>
      <c r="M91" s="330"/>
      <c r="N91" s="330"/>
      <c r="O91" s="330">
        <v>0</v>
      </c>
      <c r="P91" s="330">
        <v>0</v>
      </c>
      <c r="Q91" s="330">
        <v>0</v>
      </c>
      <c r="R91" s="330">
        <v>0</v>
      </c>
      <c r="S91" s="330">
        <v>0</v>
      </c>
    </row>
    <row r="92" spans="5:19" x14ac:dyDescent="0.25">
      <c r="F92" s="196" t="s">
        <v>939</v>
      </c>
      <c r="G92" s="196" t="s">
        <v>120</v>
      </c>
      <c r="H92" s="196" t="s">
        <v>145</v>
      </c>
      <c r="I92" s="66"/>
      <c r="J92" s="233">
        <f t="shared" si="4"/>
        <v>0</v>
      </c>
      <c r="K92" s="234"/>
      <c r="L92" s="330"/>
      <c r="M92" s="330"/>
      <c r="N92" s="330"/>
      <c r="O92" s="330">
        <v>0</v>
      </c>
      <c r="P92" s="330">
        <v>0</v>
      </c>
      <c r="Q92" s="330">
        <v>0</v>
      </c>
      <c r="R92" s="330">
        <v>0</v>
      </c>
      <c r="S92" s="330">
        <v>0</v>
      </c>
    </row>
    <row r="93" spans="5:19" x14ac:dyDescent="0.25">
      <c r="F93" s="196" t="s">
        <v>940</v>
      </c>
      <c r="G93" s="196" t="s">
        <v>120</v>
      </c>
      <c r="H93" s="196" t="s">
        <v>145</v>
      </c>
      <c r="I93" s="66"/>
      <c r="J93" s="233">
        <f t="shared" si="4"/>
        <v>532778.46099718625</v>
      </c>
      <c r="K93" s="234"/>
      <c r="L93" s="330"/>
      <c r="M93" s="330"/>
      <c r="N93" s="330"/>
      <c r="O93" s="330">
        <v>532778.46099718625</v>
      </c>
      <c r="P93" s="330">
        <v>532053.71099718625</v>
      </c>
      <c r="Q93" s="330">
        <v>532053.71099718625</v>
      </c>
      <c r="R93" s="330">
        <v>532053.71099718625</v>
      </c>
      <c r="S93" s="330">
        <v>532053.71099718625</v>
      </c>
    </row>
    <row r="94" spans="5:19" x14ac:dyDescent="0.25">
      <c r="F94" s="93" t="s">
        <v>941</v>
      </c>
      <c r="G94" s="93" t="s">
        <v>120</v>
      </c>
      <c r="H94" s="93" t="s">
        <v>145</v>
      </c>
      <c r="I94" s="145"/>
      <c r="J94" s="235">
        <f t="shared" si="4"/>
        <v>0</v>
      </c>
      <c r="K94" s="236"/>
      <c r="L94" s="331"/>
      <c r="M94" s="331"/>
      <c r="N94" s="331"/>
      <c r="O94" s="331">
        <v>0</v>
      </c>
      <c r="P94" s="331">
        <v>0</v>
      </c>
      <c r="Q94" s="331">
        <v>0</v>
      </c>
      <c r="R94" s="331">
        <v>0</v>
      </c>
      <c r="S94" s="331">
        <v>0</v>
      </c>
    </row>
    <row r="95" spans="5:19" x14ac:dyDescent="0.25">
      <c r="J95" s="237"/>
      <c r="K95" s="237"/>
      <c r="L95" s="237"/>
      <c r="M95" s="237"/>
      <c r="N95" s="237"/>
      <c r="O95" s="237"/>
      <c r="P95" s="237"/>
      <c r="Q95" s="237"/>
      <c r="R95" s="237"/>
      <c r="S95" s="237"/>
    </row>
    <row r="96" spans="5:19" x14ac:dyDescent="0.25">
      <c r="E96" s="144" t="s">
        <v>201</v>
      </c>
      <c r="J96" s="237"/>
      <c r="K96" s="237"/>
      <c r="L96" s="237"/>
      <c r="M96" s="237"/>
      <c r="N96" s="237"/>
      <c r="O96" s="237"/>
      <c r="P96" s="237"/>
      <c r="Q96" s="237"/>
      <c r="R96" s="237"/>
      <c r="S96" s="237"/>
    </row>
    <row r="97" spans="6:19" x14ac:dyDescent="0.25">
      <c r="F97" s="91" t="s">
        <v>926</v>
      </c>
      <c r="G97" s="91" t="s">
        <v>120</v>
      </c>
      <c r="H97" s="91" t="s">
        <v>145</v>
      </c>
      <c r="I97" s="112"/>
      <c r="J97" s="238"/>
      <c r="K97" s="232"/>
      <c r="L97" s="238"/>
      <c r="M97" s="238"/>
      <c r="N97" s="238"/>
      <c r="O97" s="238"/>
      <c r="P97" s="238"/>
      <c r="Q97" s="238"/>
      <c r="R97" s="238"/>
      <c r="S97" s="238"/>
    </row>
    <row r="98" spans="6:19" x14ac:dyDescent="0.25">
      <c r="F98" s="196" t="s">
        <v>927</v>
      </c>
      <c r="G98" s="196" t="s">
        <v>120</v>
      </c>
      <c r="H98" s="196" t="s">
        <v>145</v>
      </c>
      <c r="I98" s="66"/>
      <c r="J98" s="233">
        <f t="shared" ref="J98:J103" si="5">CHOOSE(year_selection, L98,M98,N98,O98,P98,Q98,R98,S98)</f>
        <v>106119.38059189059</v>
      </c>
      <c r="K98" s="234"/>
      <c r="L98" s="330"/>
      <c r="M98" s="330"/>
      <c r="N98" s="330"/>
      <c r="O98" s="330">
        <v>106119.38059189059</v>
      </c>
      <c r="P98" s="330">
        <v>89365.309241458759</v>
      </c>
      <c r="Q98" s="330">
        <v>79208.194180042294</v>
      </c>
      <c r="R98" s="330">
        <v>69339.079118625814</v>
      </c>
      <c r="S98" s="330">
        <v>59469.964057209341</v>
      </c>
    </row>
    <row r="99" spans="6:19" x14ac:dyDescent="0.25">
      <c r="F99" s="196" t="s">
        <v>928</v>
      </c>
      <c r="G99" s="196" t="s">
        <v>120</v>
      </c>
      <c r="H99" s="196" t="s">
        <v>145</v>
      </c>
      <c r="I99" s="66"/>
      <c r="J99" s="233">
        <f t="shared" si="5"/>
        <v>49.387219902662743</v>
      </c>
      <c r="K99" s="234"/>
      <c r="L99" s="330"/>
      <c r="M99" s="330"/>
      <c r="N99" s="330"/>
      <c r="O99" s="330">
        <v>49.387219902662743</v>
      </c>
      <c r="P99" s="330">
        <v>47.841913466140767</v>
      </c>
      <c r="Q99" s="330">
        <v>46.287603783149152</v>
      </c>
      <c r="R99" s="330">
        <v>44.727745752972275</v>
      </c>
      <c r="S99" s="330">
        <v>43.167887722795399</v>
      </c>
    </row>
    <row r="100" spans="6:19" x14ac:dyDescent="0.25">
      <c r="F100" s="196" t="s">
        <v>929</v>
      </c>
      <c r="G100" s="196" t="s">
        <v>120</v>
      </c>
      <c r="H100" s="196" t="s">
        <v>145</v>
      </c>
      <c r="I100" s="66"/>
      <c r="J100" s="233">
        <f t="shared" si="5"/>
        <v>22951.54492456152</v>
      </c>
      <c r="K100" s="234"/>
      <c r="L100" s="330"/>
      <c r="M100" s="330"/>
      <c r="N100" s="330"/>
      <c r="O100" s="330">
        <v>22951.54492456152</v>
      </c>
      <c r="P100" s="330">
        <v>21349.450966905388</v>
      </c>
      <c r="Q100" s="330">
        <v>19732.474023087248</v>
      </c>
      <c r="R100" s="330">
        <v>18142.573418251151</v>
      </c>
      <c r="S100" s="330">
        <v>16552.672813415051</v>
      </c>
    </row>
    <row r="101" spans="6:19" x14ac:dyDescent="0.25">
      <c r="F101" s="196" t="s">
        <v>930</v>
      </c>
      <c r="G101" s="196" t="s">
        <v>120</v>
      </c>
      <c r="H101" s="196" t="s">
        <v>145</v>
      </c>
      <c r="I101" s="66"/>
      <c r="J101" s="233">
        <f t="shared" si="5"/>
        <v>291.55105418687663</v>
      </c>
      <c r="K101" s="234"/>
      <c r="L101" s="330"/>
      <c r="M101" s="330"/>
      <c r="N101" s="330"/>
      <c r="O101" s="330">
        <v>291.55105418687663</v>
      </c>
      <c r="P101" s="330">
        <v>263.87117048291765</v>
      </c>
      <c r="Q101" s="330">
        <v>254.95087824989309</v>
      </c>
      <c r="R101" s="330">
        <v>246.72389370150276</v>
      </c>
      <c r="S101" s="330">
        <v>238.49690915311245</v>
      </c>
    </row>
    <row r="102" spans="6:19" x14ac:dyDescent="0.25">
      <c r="F102" s="196" t="s">
        <v>931</v>
      </c>
      <c r="G102" s="196" t="s">
        <v>120</v>
      </c>
      <c r="H102" s="196" t="s">
        <v>145</v>
      </c>
      <c r="I102" s="66"/>
      <c r="J102" s="233">
        <f t="shared" si="5"/>
        <v>0</v>
      </c>
      <c r="K102" s="234"/>
      <c r="L102" s="330"/>
      <c r="M102" s="330"/>
      <c r="N102" s="330"/>
      <c r="O102" s="330">
        <v>0</v>
      </c>
      <c r="P102" s="330">
        <v>0</v>
      </c>
      <c r="Q102" s="330">
        <v>0</v>
      </c>
      <c r="R102" s="330">
        <v>0</v>
      </c>
      <c r="S102" s="330">
        <v>0</v>
      </c>
    </row>
    <row r="103" spans="6:19" x14ac:dyDescent="0.25">
      <c r="F103" s="196" t="s">
        <v>932</v>
      </c>
      <c r="G103" s="196" t="s">
        <v>120</v>
      </c>
      <c r="H103" s="196" t="s">
        <v>145</v>
      </c>
      <c r="I103" s="66"/>
      <c r="J103" s="233">
        <f t="shared" si="5"/>
        <v>3610.6522415063591</v>
      </c>
      <c r="K103" s="234"/>
      <c r="L103" s="330"/>
      <c r="M103" s="330"/>
      <c r="N103" s="330"/>
      <c r="O103" s="330">
        <v>3610.6522415063591</v>
      </c>
      <c r="P103" s="330">
        <v>984.96059522714233</v>
      </c>
      <c r="Q103" s="330">
        <v>971.69068185660421</v>
      </c>
      <c r="R103" s="330">
        <v>957.34617570019338</v>
      </c>
      <c r="S103" s="330">
        <v>943.00166954378244</v>
      </c>
    </row>
    <row r="104" spans="6:19" x14ac:dyDescent="0.25">
      <c r="F104" s="196" t="s">
        <v>933</v>
      </c>
      <c r="G104" s="196" t="s">
        <v>120</v>
      </c>
      <c r="H104" s="196" t="s">
        <v>145</v>
      </c>
      <c r="I104" s="66"/>
      <c r="J104" s="239"/>
      <c r="K104" s="234"/>
      <c r="L104" s="239"/>
      <c r="M104" s="239"/>
      <c r="N104" s="239"/>
      <c r="O104" s="239"/>
      <c r="P104" s="239"/>
      <c r="Q104" s="239"/>
      <c r="R104" s="239"/>
      <c r="S104" s="239"/>
    </row>
    <row r="105" spans="6:19" x14ac:dyDescent="0.25">
      <c r="F105" s="196" t="s">
        <v>934</v>
      </c>
      <c r="G105" s="196" t="s">
        <v>120</v>
      </c>
      <c r="H105" s="196" t="s">
        <v>145</v>
      </c>
      <c r="I105" s="66"/>
      <c r="J105" s="233">
        <f t="shared" ref="J105:J112" si="6">CHOOSE(year_selection, L105,M105,N105,O105,P105,Q105,R105,S105)</f>
        <v>705.96883393295752</v>
      </c>
      <c r="K105" s="234"/>
      <c r="L105" s="330"/>
      <c r="M105" s="330"/>
      <c r="N105" s="330"/>
      <c r="O105" s="330">
        <v>705.96883393295752</v>
      </c>
      <c r="P105" s="330">
        <v>737.87809799303011</v>
      </c>
      <c r="Q105" s="330">
        <v>770.36336205310249</v>
      </c>
      <c r="R105" s="330">
        <v>803.42462611317478</v>
      </c>
      <c r="S105" s="330">
        <v>836.48589017324707</v>
      </c>
    </row>
    <row r="106" spans="6:19" x14ac:dyDescent="0.25">
      <c r="F106" s="196" t="s">
        <v>935</v>
      </c>
      <c r="G106" s="196" t="s">
        <v>120</v>
      </c>
      <c r="H106" s="196" t="s">
        <v>145</v>
      </c>
      <c r="I106" s="66"/>
      <c r="J106" s="233">
        <f t="shared" si="6"/>
        <v>28.789763351391056</v>
      </c>
      <c r="K106" s="234"/>
      <c r="L106" s="330"/>
      <c r="M106" s="330"/>
      <c r="N106" s="330"/>
      <c r="O106" s="330">
        <v>28.789763351391056</v>
      </c>
      <c r="P106" s="330">
        <v>28.789763351391056</v>
      </c>
      <c r="Q106" s="330">
        <v>28.789763351391056</v>
      </c>
      <c r="R106" s="330">
        <v>28.789763351391056</v>
      </c>
      <c r="S106" s="330">
        <v>28.789763351391056</v>
      </c>
    </row>
    <row r="107" spans="6:19" x14ac:dyDescent="0.25">
      <c r="F107" s="196" t="s">
        <v>936</v>
      </c>
      <c r="G107" s="196" t="s">
        <v>120</v>
      </c>
      <c r="H107" s="196" t="s">
        <v>145</v>
      </c>
      <c r="I107" s="66"/>
      <c r="J107" s="233">
        <f t="shared" si="6"/>
        <v>8516.1143309833551</v>
      </c>
      <c r="K107" s="234"/>
      <c r="L107" s="330"/>
      <c r="M107" s="330"/>
      <c r="N107" s="330"/>
      <c r="O107" s="330">
        <v>8516.1143309833551</v>
      </c>
      <c r="P107" s="330">
        <v>8760.4300241044184</v>
      </c>
      <c r="Q107" s="330">
        <v>9004.7457172254817</v>
      </c>
      <c r="R107" s="330">
        <v>9249.061410346545</v>
      </c>
      <c r="S107" s="330">
        <v>9493.3771034676083</v>
      </c>
    </row>
    <row r="108" spans="6:19" x14ac:dyDescent="0.25">
      <c r="F108" s="196" t="s">
        <v>937</v>
      </c>
      <c r="G108" s="196" t="s">
        <v>120</v>
      </c>
      <c r="H108" s="196" t="s">
        <v>145</v>
      </c>
      <c r="I108" s="66"/>
      <c r="J108" s="233">
        <f t="shared" si="6"/>
        <v>0</v>
      </c>
      <c r="K108" s="234"/>
      <c r="L108" s="330"/>
      <c r="M108" s="330"/>
      <c r="N108" s="330"/>
      <c r="O108" s="330">
        <v>0</v>
      </c>
      <c r="P108" s="330">
        <v>0</v>
      </c>
      <c r="Q108" s="330">
        <v>0</v>
      </c>
      <c r="R108" s="330">
        <v>0</v>
      </c>
      <c r="S108" s="330">
        <v>0</v>
      </c>
    </row>
    <row r="109" spans="6:19" x14ac:dyDescent="0.25">
      <c r="F109" s="196" t="s">
        <v>938</v>
      </c>
      <c r="G109" s="196" t="s">
        <v>120</v>
      </c>
      <c r="H109" s="196" t="s">
        <v>145</v>
      </c>
      <c r="I109" s="66"/>
      <c r="J109" s="233">
        <f t="shared" si="6"/>
        <v>0</v>
      </c>
      <c r="K109" s="234"/>
      <c r="L109" s="330"/>
      <c r="M109" s="330"/>
      <c r="N109" s="330"/>
      <c r="O109" s="330">
        <v>0</v>
      </c>
      <c r="P109" s="330">
        <v>0</v>
      </c>
      <c r="Q109" s="330">
        <v>0</v>
      </c>
      <c r="R109" s="330">
        <v>0</v>
      </c>
      <c r="S109" s="330">
        <v>0</v>
      </c>
    </row>
    <row r="110" spans="6:19" x14ac:dyDescent="0.25">
      <c r="F110" s="196" t="s">
        <v>939</v>
      </c>
      <c r="G110" s="196" t="s">
        <v>120</v>
      </c>
      <c r="H110" s="196" t="s">
        <v>145</v>
      </c>
      <c r="I110" s="66"/>
      <c r="J110" s="233">
        <f t="shared" si="6"/>
        <v>0</v>
      </c>
      <c r="K110" s="234"/>
      <c r="L110" s="330"/>
      <c r="M110" s="330"/>
      <c r="N110" s="330"/>
      <c r="O110" s="330">
        <v>0</v>
      </c>
      <c r="P110" s="330">
        <v>0</v>
      </c>
      <c r="Q110" s="330">
        <v>0</v>
      </c>
      <c r="R110" s="330">
        <v>0</v>
      </c>
      <c r="S110" s="330">
        <v>0</v>
      </c>
    </row>
    <row r="111" spans="6:19" x14ac:dyDescent="0.25">
      <c r="F111" s="196" t="s">
        <v>940</v>
      </c>
      <c r="G111" s="196" t="s">
        <v>120</v>
      </c>
      <c r="H111" s="196" t="s">
        <v>145</v>
      </c>
      <c r="I111" s="66"/>
      <c r="J111" s="233">
        <f t="shared" si="6"/>
        <v>260951.76676867288</v>
      </c>
      <c r="K111" s="234"/>
      <c r="L111" s="330"/>
      <c r="M111" s="330"/>
      <c r="N111" s="330"/>
      <c r="O111" s="330">
        <v>260951.76676867288</v>
      </c>
      <c r="P111" s="330">
        <v>260103.14676867289</v>
      </c>
      <c r="Q111" s="330">
        <v>260103.14676867289</v>
      </c>
      <c r="R111" s="330">
        <v>260103.14676867289</v>
      </c>
      <c r="S111" s="330">
        <v>260103.14676867289</v>
      </c>
    </row>
    <row r="112" spans="6:19" x14ac:dyDescent="0.25">
      <c r="F112" s="93" t="s">
        <v>941</v>
      </c>
      <c r="G112" s="93" t="s">
        <v>120</v>
      </c>
      <c r="H112" s="93" t="s">
        <v>145</v>
      </c>
      <c r="I112" s="145"/>
      <c r="J112" s="235">
        <f t="shared" si="6"/>
        <v>0</v>
      </c>
      <c r="K112" s="236"/>
      <c r="L112" s="331"/>
      <c r="M112" s="331"/>
      <c r="N112" s="331"/>
      <c r="O112" s="331">
        <v>0</v>
      </c>
      <c r="P112" s="331">
        <v>0</v>
      </c>
      <c r="Q112" s="331">
        <v>0</v>
      </c>
      <c r="R112" s="331">
        <v>0</v>
      </c>
      <c r="S112" s="331">
        <v>0</v>
      </c>
    </row>
    <row r="113" spans="5:19" x14ac:dyDescent="0.25">
      <c r="J113" s="237"/>
      <c r="K113" s="237"/>
      <c r="L113" s="237"/>
      <c r="M113" s="237"/>
      <c r="N113" s="237"/>
      <c r="O113" s="237"/>
      <c r="P113" s="237"/>
      <c r="Q113" s="237"/>
      <c r="R113" s="237"/>
      <c r="S113" s="237"/>
    </row>
    <row r="114" spans="5:19" x14ac:dyDescent="0.25">
      <c r="E114" s="144" t="s">
        <v>74</v>
      </c>
      <c r="J114" s="237"/>
      <c r="K114" s="237"/>
      <c r="L114" s="237"/>
      <c r="M114" s="237"/>
      <c r="N114" s="237"/>
      <c r="O114" s="237"/>
      <c r="P114" s="237"/>
      <c r="Q114" s="237"/>
      <c r="R114" s="237"/>
      <c r="S114" s="237"/>
    </row>
    <row r="115" spans="5:19" x14ac:dyDescent="0.25">
      <c r="F115" s="91" t="s">
        <v>926</v>
      </c>
      <c r="G115" s="91" t="s">
        <v>74</v>
      </c>
      <c r="H115" s="91" t="s">
        <v>145</v>
      </c>
      <c r="I115" s="112"/>
      <c r="J115" s="238"/>
      <c r="K115" s="232"/>
      <c r="L115" s="238"/>
      <c r="M115" s="238"/>
      <c r="N115" s="238"/>
      <c r="O115" s="238"/>
      <c r="P115" s="238"/>
      <c r="Q115" s="238"/>
      <c r="R115" s="238"/>
      <c r="S115" s="238"/>
    </row>
    <row r="116" spans="5:19" x14ac:dyDescent="0.25">
      <c r="F116" s="196" t="s">
        <v>927</v>
      </c>
      <c r="G116" s="196" t="s">
        <v>74</v>
      </c>
      <c r="H116" s="196" t="s">
        <v>145</v>
      </c>
      <c r="I116" s="66"/>
      <c r="J116" s="233">
        <f t="shared" ref="J116:J121" si="7">CHOOSE(year_selection, L116,M116,N116,O116,P116,Q116,R116,S116)</f>
        <v>33762.707811624095</v>
      </c>
      <c r="K116" s="234"/>
      <c r="L116" s="330"/>
      <c r="M116" s="330"/>
      <c r="N116" s="330"/>
      <c r="O116" s="330">
        <v>33762.707811624095</v>
      </c>
      <c r="P116" s="330">
        <v>30762.707811624099</v>
      </c>
      <c r="Q116" s="330">
        <v>27762.707811624099</v>
      </c>
      <c r="R116" s="330">
        <v>24762.707811624092</v>
      </c>
      <c r="S116" s="330">
        <v>21762.707811624085</v>
      </c>
    </row>
    <row r="117" spans="5:19" x14ac:dyDescent="0.25">
      <c r="F117" s="196" t="s">
        <v>928</v>
      </c>
      <c r="G117" s="196" t="s">
        <v>74</v>
      </c>
      <c r="H117" s="196" t="s">
        <v>145</v>
      </c>
      <c r="I117" s="66"/>
      <c r="J117" s="233">
        <f t="shared" si="7"/>
        <v>8.4395178124941772</v>
      </c>
      <c r="K117" s="234"/>
      <c r="L117" s="330"/>
      <c r="M117" s="330"/>
      <c r="N117" s="330"/>
      <c r="O117" s="330">
        <v>8.4395178124941772</v>
      </c>
      <c r="P117" s="330">
        <v>8.4516518793166711</v>
      </c>
      <c r="Q117" s="330">
        <v>8.462974170758816</v>
      </c>
      <c r="R117" s="330">
        <v>8.4740504005200918</v>
      </c>
      <c r="S117" s="330">
        <v>8.4851266302813677</v>
      </c>
    </row>
    <row r="118" spans="5:19" x14ac:dyDescent="0.25">
      <c r="F118" s="196" t="s">
        <v>929</v>
      </c>
      <c r="G118" s="196" t="s">
        <v>74</v>
      </c>
      <c r="H118" s="196" t="s">
        <v>145</v>
      </c>
      <c r="I118" s="66"/>
      <c r="J118" s="233">
        <f t="shared" si="7"/>
        <v>4756.0967741935474</v>
      </c>
      <c r="K118" s="234"/>
      <c r="L118" s="330"/>
      <c r="M118" s="330"/>
      <c r="N118" s="330"/>
      <c r="O118" s="330">
        <v>4756.0967741935474</v>
      </c>
      <c r="P118" s="330">
        <v>4516.0967741935474</v>
      </c>
      <c r="Q118" s="330">
        <v>4276.0967741935474</v>
      </c>
      <c r="R118" s="330">
        <v>4036.0967741935478</v>
      </c>
      <c r="S118" s="330">
        <v>3796.0967741935483</v>
      </c>
    </row>
    <row r="119" spans="5:19" x14ac:dyDescent="0.25">
      <c r="F119" s="196" t="s">
        <v>930</v>
      </c>
      <c r="G119" s="196" t="s">
        <v>74</v>
      </c>
      <c r="H119" s="196" t="s">
        <v>145</v>
      </c>
      <c r="I119" s="66"/>
      <c r="J119" s="233">
        <f t="shared" si="7"/>
        <v>12.633774818491784</v>
      </c>
      <c r="K119" s="234"/>
      <c r="L119" s="330"/>
      <c r="M119" s="330"/>
      <c r="N119" s="330"/>
      <c r="O119" s="330">
        <v>12.633774818491784</v>
      </c>
      <c r="P119" s="330">
        <v>12.726164370079344</v>
      </c>
      <c r="Q119" s="330">
        <v>12.844679569315311</v>
      </c>
      <c r="R119" s="330">
        <v>12.973199703784118</v>
      </c>
      <c r="S119" s="330">
        <v>13.101719838252924</v>
      </c>
    </row>
    <row r="120" spans="5:19" x14ac:dyDescent="0.25">
      <c r="F120" s="196" t="s">
        <v>931</v>
      </c>
      <c r="G120" s="196" t="s">
        <v>74</v>
      </c>
      <c r="H120" s="196" t="s">
        <v>145</v>
      </c>
      <c r="I120" s="66"/>
      <c r="J120" s="233">
        <f t="shared" si="7"/>
        <v>0</v>
      </c>
      <c r="K120" s="234"/>
      <c r="L120" s="330"/>
      <c r="M120" s="330"/>
      <c r="N120" s="330"/>
      <c r="O120" s="330">
        <v>0</v>
      </c>
      <c r="P120" s="330">
        <v>0</v>
      </c>
      <c r="Q120" s="330">
        <v>0</v>
      </c>
      <c r="R120" s="330">
        <v>0</v>
      </c>
      <c r="S120" s="330">
        <v>0</v>
      </c>
    </row>
    <row r="121" spans="5:19" x14ac:dyDescent="0.25">
      <c r="F121" s="196" t="s">
        <v>932</v>
      </c>
      <c r="G121" s="196" t="s">
        <v>74</v>
      </c>
      <c r="H121" s="196" t="s">
        <v>145</v>
      </c>
      <c r="I121" s="66"/>
      <c r="J121" s="233">
        <f t="shared" si="7"/>
        <v>85.104651202741692</v>
      </c>
      <c r="K121" s="234"/>
      <c r="L121" s="330"/>
      <c r="M121" s="330"/>
      <c r="N121" s="330"/>
      <c r="O121" s="330">
        <v>85.104651202741692</v>
      </c>
      <c r="P121" s="330">
        <v>84.477290993670096</v>
      </c>
      <c r="Q121" s="330">
        <v>84.964009996999209</v>
      </c>
      <c r="R121" s="330">
        <v>85.491817331682</v>
      </c>
      <c r="S121" s="330">
        <v>86.019624666364791</v>
      </c>
    </row>
    <row r="122" spans="5:19" x14ac:dyDescent="0.25">
      <c r="F122" s="196" t="s">
        <v>933</v>
      </c>
      <c r="G122" s="196" t="s">
        <v>74</v>
      </c>
      <c r="H122" s="196" t="s">
        <v>145</v>
      </c>
      <c r="I122" s="66"/>
      <c r="J122" s="239"/>
      <c r="K122" s="234"/>
      <c r="L122" s="239"/>
      <c r="M122" s="239"/>
      <c r="N122" s="239"/>
      <c r="O122" s="239"/>
      <c r="P122" s="239"/>
      <c r="Q122" s="239"/>
      <c r="R122" s="239"/>
      <c r="S122" s="239"/>
    </row>
    <row r="123" spans="5:19" x14ac:dyDescent="0.25">
      <c r="F123" s="196" t="s">
        <v>934</v>
      </c>
      <c r="G123" s="196" t="s">
        <v>74</v>
      </c>
      <c r="H123" s="196" t="s">
        <v>145</v>
      </c>
      <c r="I123" s="66"/>
      <c r="J123" s="233">
        <f t="shared" ref="J123:J130" si="8">CHOOSE(year_selection, L123,M123,N123,O123,P123,Q123,R123,S123)</f>
        <v>1884.9999999999998</v>
      </c>
      <c r="K123" s="234"/>
      <c r="L123" s="330"/>
      <c r="M123" s="330"/>
      <c r="N123" s="330"/>
      <c r="O123" s="330">
        <v>1884.9999999999998</v>
      </c>
      <c r="P123" s="330">
        <v>1908.9999999999998</v>
      </c>
      <c r="Q123" s="330">
        <v>1932.9999999999998</v>
      </c>
      <c r="R123" s="330">
        <v>1956.9999999999998</v>
      </c>
      <c r="S123" s="330">
        <v>1980.9999999999998</v>
      </c>
    </row>
    <row r="124" spans="5:19" x14ac:dyDescent="0.25">
      <c r="F124" s="196" t="s">
        <v>935</v>
      </c>
      <c r="G124" s="196" t="s">
        <v>74</v>
      </c>
      <c r="H124" s="196" t="s">
        <v>145</v>
      </c>
      <c r="I124" s="66"/>
      <c r="J124" s="233">
        <f t="shared" si="8"/>
        <v>38.935483870967744</v>
      </c>
      <c r="K124" s="234"/>
      <c r="L124" s="330"/>
      <c r="M124" s="330"/>
      <c r="N124" s="330"/>
      <c r="O124" s="330">
        <v>38.935483870967744</v>
      </c>
      <c r="P124" s="330">
        <v>38.935483870967744</v>
      </c>
      <c r="Q124" s="330">
        <v>38.935483870967744</v>
      </c>
      <c r="R124" s="330">
        <v>38.935483870967744</v>
      </c>
      <c r="S124" s="330">
        <v>38.935483870967744</v>
      </c>
    </row>
    <row r="125" spans="5:19" x14ac:dyDescent="0.25">
      <c r="F125" s="196" t="s">
        <v>936</v>
      </c>
      <c r="G125" s="196" t="s">
        <v>74</v>
      </c>
      <c r="H125" s="196" t="s">
        <v>145</v>
      </c>
      <c r="I125" s="66"/>
      <c r="J125" s="233">
        <f t="shared" si="8"/>
        <v>836.76967715751107</v>
      </c>
      <c r="K125" s="234"/>
      <c r="L125" s="330"/>
      <c r="M125" s="330"/>
      <c r="N125" s="330"/>
      <c r="O125" s="330">
        <v>836.76967715751107</v>
      </c>
      <c r="P125" s="330">
        <v>860.76967715751107</v>
      </c>
      <c r="Q125" s="330">
        <v>884.76967715751107</v>
      </c>
      <c r="R125" s="330">
        <v>908.76967715751107</v>
      </c>
      <c r="S125" s="330">
        <v>932.76967715751107</v>
      </c>
    </row>
    <row r="126" spans="5:19" x14ac:dyDescent="0.25">
      <c r="F126" s="196" t="s">
        <v>937</v>
      </c>
      <c r="G126" s="196" t="s">
        <v>74</v>
      </c>
      <c r="H126" s="196" t="s">
        <v>145</v>
      </c>
      <c r="I126" s="66"/>
      <c r="J126" s="233">
        <f t="shared" si="8"/>
        <v>0</v>
      </c>
      <c r="K126" s="234"/>
      <c r="L126" s="330"/>
      <c r="M126" s="330"/>
      <c r="N126" s="330"/>
      <c r="O126" s="330">
        <v>0</v>
      </c>
      <c r="P126" s="330">
        <v>0</v>
      </c>
      <c r="Q126" s="330">
        <v>0</v>
      </c>
      <c r="R126" s="330">
        <v>0</v>
      </c>
      <c r="S126" s="330">
        <v>0</v>
      </c>
    </row>
    <row r="127" spans="5:19" x14ac:dyDescent="0.25">
      <c r="F127" s="196" t="s">
        <v>938</v>
      </c>
      <c r="G127" s="196" t="s">
        <v>74</v>
      </c>
      <c r="H127" s="196" t="s">
        <v>145</v>
      </c>
      <c r="I127" s="66"/>
      <c r="J127" s="233">
        <f t="shared" si="8"/>
        <v>1</v>
      </c>
      <c r="K127" s="234"/>
      <c r="L127" s="330"/>
      <c r="M127" s="330"/>
      <c r="N127" s="330"/>
      <c r="O127" s="330">
        <v>1</v>
      </c>
      <c r="P127" s="330">
        <v>1</v>
      </c>
      <c r="Q127" s="330">
        <v>1</v>
      </c>
      <c r="R127" s="330">
        <v>1</v>
      </c>
      <c r="S127" s="330">
        <v>1</v>
      </c>
    </row>
    <row r="128" spans="5:19" x14ac:dyDescent="0.25">
      <c r="F128" s="196" t="s">
        <v>939</v>
      </c>
      <c r="G128" s="196" t="s">
        <v>74</v>
      </c>
      <c r="H128" s="196" t="s">
        <v>145</v>
      </c>
      <c r="I128" s="66"/>
      <c r="J128" s="233">
        <f t="shared" si="8"/>
        <v>0</v>
      </c>
      <c r="K128" s="234"/>
      <c r="L128" s="330"/>
      <c r="M128" s="330"/>
      <c r="N128" s="330"/>
      <c r="O128" s="330">
        <v>0</v>
      </c>
      <c r="P128" s="330">
        <v>0</v>
      </c>
      <c r="Q128" s="330">
        <v>0</v>
      </c>
      <c r="R128" s="330">
        <v>0</v>
      </c>
      <c r="S128" s="330">
        <v>0</v>
      </c>
    </row>
    <row r="129" spans="5:19" x14ac:dyDescent="0.25">
      <c r="F129" s="196" t="s">
        <v>940</v>
      </c>
      <c r="G129" s="196" t="s">
        <v>74</v>
      </c>
      <c r="H129" s="196" t="s">
        <v>145</v>
      </c>
      <c r="I129" s="66"/>
      <c r="J129" s="233">
        <f t="shared" si="8"/>
        <v>232.35483870967744</v>
      </c>
      <c r="K129" s="234"/>
      <c r="L129" s="330"/>
      <c r="M129" s="330"/>
      <c r="N129" s="330"/>
      <c r="O129" s="330">
        <v>232.35483870967744</v>
      </c>
      <c r="P129" s="330">
        <v>231.35483870967744</v>
      </c>
      <c r="Q129" s="330">
        <v>231.35483870967744</v>
      </c>
      <c r="R129" s="330">
        <v>231.35483870967744</v>
      </c>
      <c r="S129" s="330">
        <v>231.35483870967744</v>
      </c>
    </row>
    <row r="130" spans="5:19" x14ac:dyDescent="0.25">
      <c r="F130" s="93" t="s">
        <v>941</v>
      </c>
      <c r="G130" s="93" t="s">
        <v>74</v>
      </c>
      <c r="H130" s="93" t="s">
        <v>145</v>
      </c>
      <c r="I130" s="145"/>
      <c r="J130" s="235">
        <f t="shared" si="8"/>
        <v>0</v>
      </c>
      <c r="K130" s="236"/>
      <c r="L130" s="331"/>
      <c r="M130" s="331"/>
      <c r="N130" s="331"/>
      <c r="O130" s="331">
        <v>0</v>
      </c>
      <c r="P130" s="331">
        <v>0</v>
      </c>
      <c r="Q130" s="331">
        <v>0</v>
      </c>
      <c r="R130" s="331">
        <v>0</v>
      </c>
      <c r="S130" s="331">
        <v>0</v>
      </c>
    </row>
    <row r="131" spans="5:19" x14ac:dyDescent="0.25">
      <c r="J131" s="237"/>
      <c r="K131" s="237"/>
      <c r="L131" s="237"/>
      <c r="M131" s="237"/>
      <c r="N131" s="237"/>
      <c r="O131" s="237"/>
      <c r="P131" s="237"/>
      <c r="Q131" s="237"/>
      <c r="R131" s="237"/>
      <c r="S131" s="237"/>
    </row>
    <row r="132" spans="5:19" x14ac:dyDescent="0.25">
      <c r="E132" s="144" t="s">
        <v>202</v>
      </c>
      <c r="J132" s="237"/>
      <c r="K132" s="237"/>
      <c r="L132" s="237"/>
      <c r="M132" s="237"/>
      <c r="N132" s="237"/>
      <c r="O132" s="237"/>
      <c r="P132" s="237"/>
      <c r="Q132" s="237"/>
      <c r="R132" s="237"/>
      <c r="S132" s="237"/>
    </row>
    <row r="133" spans="5:19" x14ac:dyDescent="0.25">
      <c r="F133" s="91" t="s">
        <v>926</v>
      </c>
      <c r="G133" s="91" t="s">
        <v>169</v>
      </c>
      <c r="H133" s="91" t="s">
        <v>145</v>
      </c>
      <c r="I133" s="112"/>
      <c r="J133" s="238"/>
      <c r="K133" s="232"/>
      <c r="L133" s="238"/>
      <c r="M133" s="238"/>
      <c r="N133" s="238"/>
      <c r="O133" s="238"/>
      <c r="P133" s="238"/>
      <c r="Q133" s="238"/>
      <c r="R133" s="238"/>
      <c r="S133" s="238"/>
    </row>
    <row r="134" spans="5:19" x14ac:dyDescent="0.25">
      <c r="F134" s="196" t="s">
        <v>927</v>
      </c>
      <c r="G134" s="196" t="s">
        <v>169</v>
      </c>
      <c r="H134" s="196" t="s">
        <v>145</v>
      </c>
      <c r="I134" s="66"/>
      <c r="J134" s="239"/>
      <c r="K134" s="234"/>
      <c r="L134" s="239"/>
      <c r="M134" s="239"/>
      <c r="N134" s="239"/>
      <c r="O134" s="239"/>
      <c r="P134" s="239"/>
      <c r="Q134" s="239"/>
      <c r="R134" s="239"/>
      <c r="S134" s="239"/>
    </row>
    <row r="135" spans="5:19" x14ac:dyDescent="0.25">
      <c r="F135" s="196" t="s">
        <v>928</v>
      </c>
      <c r="G135" s="196" t="s">
        <v>169</v>
      </c>
      <c r="H135" s="196" t="s">
        <v>145</v>
      </c>
      <c r="I135" s="66"/>
      <c r="J135" s="239"/>
      <c r="K135" s="234"/>
      <c r="L135" s="239"/>
      <c r="M135" s="239"/>
      <c r="N135" s="239"/>
      <c r="O135" s="239"/>
      <c r="P135" s="239"/>
      <c r="Q135" s="239"/>
      <c r="R135" s="239"/>
      <c r="S135" s="239"/>
    </row>
    <row r="136" spans="5:19" x14ac:dyDescent="0.25">
      <c r="F136" s="196" t="s">
        <v>929</v>
      </c>
      <c r="G136" s="196" t="s">
        <v>169</v>
      </c>
      <c r="H136" s="196" t="s">
        <v>145</v>
      </c>
      <c r="I136" s="66"/>
      <c r="J136" s="239"/>
      <c r="K136" s="234"/>
      <c r="L136" s="239"/>
      <c r="M136" s="239"/>
      <c r="N136" s="239"/>
      <c r="O136" s="239"/>
      <c r="P136" s="239"/>
      <c r="Q136" s="239"/>
      <c r="R136" s="239"/>
      <c r="S136" s="239"/>
    </row>
    <row r="137" spans="5:19" x14ac:dyDescent="0.25">
      <c r="F137" s="196" t="s">
        <v>930</v>
      </c>
      <c r="G137" s="196" t="s">
        <v>169</v>
      </c>
      <c r="H137" s="196" t="s">
        <v>145</v>
      </c>
      <c r="I137" s="66"/>
      <c r="J137" s="233">
        <f t="shared" ref="J137:J139" si="9">CHOOSE(year_selection, L137,M137,N137,O137,P137,Q137,R137,S137)</f>
        <v>626.42426685731766</v>
      </c>
      <c r="K137" s="234"/>
      <c r="L137" s="330"/>
      <c r="M137" s="330"/>
      <c r="N137" s="330"/>
      <c r="O137" s="330">
        <v>626.42426685731766</v>
      </c>
      <c r="P137" s="330">
        <v>636.88163695675746</v>
      </c>
      <c r="Q137" s="330">
        <v>636.88163695675746</v>
      </c>
      <c r="R137" s="330">
        <v>643.25408970550291</v>
      </c>
      <c r="S137" s="330">
        <v>649.62654245424824</v>
      </c>
    </row>
    <row r="138" spans="5:19" x14ac:dyDescent="0.25">
      <c r="F138" s="196" t="s">
        <v>931</v>
      </c>
      <c r="G138" s="196" t="s">
        <v>169</v>
      </c>
      <c r="H138" s="196" t="s">
        <v>145</v>
      </c>
      <c r="I138" s="66"/>
      <c r="J138" s="233">
        <f t="shared" si="9"/>
        <v>0</v>
      </c>
      <c r="K138" s="234"/>
      <c r="L138" s="330"/>
      <c r="M138" s="330"/>
      <c r="N138" s="330"/>
      <c r="O138" s="330">
        <v>0</v>
      </c>
      <c r="P138" s="330">
        <v>0</v>
      </c>
      <c r="Q138" s="330">
        <v>0</v>
      </c>
      <c r="R138" s="330">
        <v>0</v>
      </c>
      <c r="S138" s="330">
        <v>0</v>
      </c>
    </row>
    <row r="139" spans="5:19" x14ac:dyDescent="0.25">
      <c r="F139" s="196" t="s">
        <v>932</v>
      </c>
      <c r="G139" s="196" t="s">
        <v>169</v>
      </c>
      <c r="H139" s="196" t="s">
        <v>145</v>
      </c>
      <c r="I139" s="66"/>
      <c r="J139" s="233">
        <f t="shared" si="9"/>
        <v>8729.7065907776232</v>
      </c>
      <c r="K139" s="234"/>
      <c r="L139" s="330"/>
      <c r="M139" s="330"/>
      <c r="N139" s="330"/>
      <c r="O139" s="330">
        <v>8729.7065907776232</v>
      </c>
      <c r="P139" s="330">
        <v>1242.2910126211671</v>
      </c>
      <c r="Q139" s="330">
        <v>1242.2910126211671</v>
      </c>
      <c r="R139" s="330">
        <v>1250.0083059666192</v>
      </c>
      <c r="S139" s="330">
        <v>1257.7255993120716</v>
      </c>
    </row>
    <row r="140" spans="5:19" x14ac:dyDescent="0.25">
      <c r="F140" s="196" t="s">
        <v>933</v>
      </c>
      <c r="G140" s="196" t="s">
        <v>169</v>
      </c>
      <c r="H140" s="196" t="s">
        <v>145</v>
      </c>
      <c r="I140" s="66"/>
      <c r="J140" s="239"/>
      <c r="K140" s="234"/>
      <c r="L140" s="239"/>
      <c r="M140" s="239"/>
      <c r="N140" s="239"/>
      <c r="O140" s="239"/>
      <c r="P140" s="239"/>
      <c r="Q140" s="239"/>
      <c r="R140" s="239"/>
      <c r="S140" s="239"/>
    </row>
    <row r="141" spans="5:19" x14ac:dyDescent="0.25">
      <c r="F141" s="196" t="s">
        <v>934</v>
      </c>
      <c r="G141" s="196" t="s">
        <v>169</v>
      </c>
      <c r="H141" s="196" t="s">
        <v>145</v>
      </c>
      <c r="I141" s="66"/>
      <c r="J141" s="239"/>
      <c r="K141" s="234"/>
      <c r="L141" s="239"/>
      <c r="M141" s="239"/>
      <c r="N141" s="239"/>
      <c r="O141" s="239"/>
      <c r="P141" s="239"/>
      <c r="Q141" s="239"/>
      <c r="R141" s="239"/>
      <c r="S141" s="239"/>
    </row>
    <row r="142" spans="5:19" x14ac:dyDescent="0.25">
      <c r="F142" s="196" t="s">
        <v>935</v>
      </c>
      <c r="G142" s="196" t="s">
        <v>169</v>
      </c>
      <c r="H142" s="196" t="s">
        <v>145</v>
      </c>
      <c r="I142" s="66"/>
      <c r="J142" s="239"/>
      <c r="K142" s="234"/>
      <c r="L142" s="239"/>
      <c r="M142" s="239"/>
      <c r="N142" s="239"/>
      <c r="O142" s="239"/>
      <c r="P142" s="239"/>
      <c r="Q142" s="239"/>
      <c r="R142" s="239"/>
      <c r="S142" s="239"/>
    </row>
    <row r="143" spans="5:19" x14ac:dyDescent="0.25">
      <c r="F143" s="196" t="s">
        <v>936</v>
      </c>
      <c r="G143" s="196" t="s">
        <v>169</v>
      </c>
      <c r="H143" s="196" t="s">
        <v>145</v>
      </c>
      <c r="I143" s="66"/>
      <c r="J143" s="239"/>
      <c r="K143" s="234"/>
      <c r="L143" s="239"/>
      <c r="M143" s="239"/>
      <c r="N143" s="239"/>
      <c r="O143" s="239"/>
      <c r="P143" s="239"/>
      <c r="Q143" s="239"/>
      <c r="R143" s="239"/>
      <c r="S143" s="239"/>
    </row>
    <row r="144" spans="5:19" x14ac:dyDescent="0.25">
      <c r="F144" s="196" t="s">
        <v>937</v>
      </c>
      <c r="G144" s="196" t="s">
        <v>169</v>
      </c>
      <c r="H144" s="196" t="s">
        <v>145</v>
      </c>
      <c r="I144" s="66"/>
      <c r="J144" s="239"/>
      <c r="K144" s="234"/>
      <c r="L144" s="239"/>
      <c r="M144" s="239"/>
      <c r="N144" s="239"/>
      <c r="O144" s="239"/>
      <c r="P144" s="239"/>
      <c r="Q144" s="239"/>
      <c r="R144" s="239"/>
      <c r="S144" s="239"/>
    </row>
    <row r="145" spans="5:19" x14ac:dyDescent="0.25">
      <c r="F145" s="196" t="s">
        <v>938</v>
      </c>
      <c r="G145" s="196" t="s">
        <v>169</v>
      </c>
      <c r="H145" s="196" t="s">
        <v>145</v>
      </c>
      <c r="I145" s="66"/>
      <c r="J145" s="239"/>
      <c r="K145" s="234"/>
      <c r="L145" s="239"/>
      <c r="M145" s="239"/>
      <c r="N145" s="239"/>
      <c r="O145" s="239"/>
      <c r="P145" s="239"/>
      <c r="Q145" s="239"/>
      <c r="R145" s="239"/>
      <c r="S145" s="239"/>
    </row>
    <row r="146" spans="5:19" x14ac:dyDescent="0.25">
      <c r="F146" s="196" t="s">
        <v>939</v>
      </c>
      <c r="G146" s="196" t="s">
        <v>169</v>
      </c>
      <c r="H146" s="196" t="s">
        <v>145</v>
      </c>
      <c r="I146" s="66"/>
      <c r="J146" s="239"/>
      <c r="K146" s="234"/>
      <c r="L146" s="239"/>
      <c r="M146" s="239"/>
      <c r="N146" s="239"/>
      <c r="O146" s="239"/>
      <c r="P146" s="239"/>
      <c r="Q146" s="239"/>
      <c r="R146" s="239"/>
      <c r="S146" s="239"/>
    </row>
    <row r="147" spans="5:19" x14ac:dyDescent="0.25">
      <c r="F147" s="196" t="s">
        <v>940</v>
      </c>
      <c r="G147" s="196" t="s">
        <v>169</v>
      </c>
      <c r="H147" s="196" t="s">
        <v>145</v>
      </c>
      <c r="I147" s="66"/>
      <c r="J147" s="239"/>
      <c r="K147" s="234"/>
      <c r="L147" s="239"/>
      <c r="M147" s="239"/>
      <c r="N147" s="239"/>
      <c r="O147" s="239"/>
      <c r="P147" s="239"/>
      <c r="Q147" s="239"/>
      <c r="R147" s="239"/>
      <c r="S147" s="239"/>
    </row>
    <row r="148" spans="5:19" x14ac:dyDescent="0.25">
      <c r="F148" s="93" t="s">
        <v>941</v>
      </c>
      <c r="G148" s="93" t="s">
        <v>169</v>
      </c>
      <c r="H148" s="93" t="s">
        <v>145</v>
      </c>
      <c r="I148" s="145"/>
      <c r="J148" s="240"/>
      <c r="K148" s="236"/>
      <c r="L148" s="240"/>
      <c r="M148" s="240"/>
      <c r="N148" s="240"/>
      <c r="O148" s="240"/>
      <c r="P148" s="240"/>
      <c r="Q148" s="240"/>
      <c r="R148" s="240"/>
      <c r="S148" s="240"/>
    </row>
    <row r="149" spans="5:19" x14ac:dyDescent="0.25">
      <c r="J149" s="237"/>
      <c r="K149" s="237"/>
      <c r="L149" s="237"/>
      <c r="M149" s="237"/>
      <c r="N149" s="237"/>
      <c r="O149" s="237"/>
      <c r="P149" s="237"/>
      <c r="Q149" s="237"/>
      <c r="R149" s="237"/>
      <c r="S149" s="237"/>
    </row>
    <row r="150" spans="5:19" x14ac:dyDescent="0.25">
      <c r="E150" s="144" t="s">
        <v>203</v>
      </c>
      <c r="J150" s="237"/>
      <c r="K150" s="237"/>
      <c r="L150" s="237"/>
      <c r="M150" s="237"/>
      <c r="N150" s="237"/>
      <c r="O150" s="237"/>
      <c r="P150" s="237"/>
      <c r="Q150" s="237"/>
      <c r="R150" s="237"/>
      <c r="S150" s="237"/>
    </row>
    <row r="151" spans="5:19" x14ac:dyDescent="0.25">
      <c r="F151" s="91" t="s">
        <v>926</v>
      </c>
      <c r="G151" s="91" t="s">
        <v>169</v>
      </c>
      <c r="H151" s="91" t="s">
        <v>145</v>
      </c>
      <c r="I151" s="112"/>
      <c r="J151" s="238"/>
      <c r="K151" s="232"/>
      <c r="L151" s="238"/>
      <c r="M151" s="238"/>
      <c r="N151" s="238"/>
      <c r="O151" s="238"/>
      <c r="P151" s="238"/>
      <c r="Q151" s="238"/>
      <c r="R151" s="238"/>
      <c r="S151" s="238"/>
    </row>
    <row r="152" spans="5:19" x14ac:dyDescent="0.25">
      <c r="F152" s="196" t="s">
        <v>927</v>
      </c>
      <c r="G152" s="196" t="s">
        <v>169</v>
      </c>
      <c r="H152" s="196" t="s">
        <v>145</v>
      </c>
      <c r="I152" s="66"/>
      <c r="J152" s="239"/>
      <c r="K152" s="234"/>
      <c r="L152" s="239"/>
      <c r="M152" s="239"/>
      <c r="N152" s="239"/>
      <c r="O152" s="239"/>
      <c r="P152" s="239"/>
      <c r="Q152" s="239"/>
      <c r="R152" s="239"/>
      <c r="S152" s="239"/>
    </row>
    <row r="153" spans="5:19" x14ac:dyDescent="0.25">
      <c r="F153" s="196" t="s">
        <v>928</v>
      </c>
      <c r="G153" s="196" t="s">
        <v>169</v>
      </c>
      <c r="H153" s="196" t="s">
        <v>145</v>
      </c>
      <c r="I153" s="66"/>
      <c r="J153" s="239"/>
      <c r="K153" s="234"/>
      <c r="L153" s="239"/>
      <c r="M153" s="239"/>
      <c r="N153" s="239"/>
      <c r="O153" s="239"/>
      <c r="P153" s="239"/>
      <c r="Q153" s="239"/>
      <c r="R153" s="239"/>
      <c r="S153" s="239"/>
    </row>
    <row r="154" spans="5:19" x14ac:dyDescent="0.25">
      <c r="F154" s="196" t="s">
        <v>929</v>
      </c>
      <c r="G154" s="196" t="s">
        <v>169</v>
      </c>
      <c r="H154" s="196" t="s">
        <v>145</v>
      </c>
      <c r="I154" s="66"/>
      <c r="J154" s="239"/>
      <c r="K154" s="234"/>
      <c r="L154" s="239"/>
      <c r="M154" s="239"/>
      <c r="N154" s="239"/>
      <c r="O154" s="239"/>
      <c r="P154" s="239"/>
      <c r="Q154" s="239"/>
      <c r="R154" s="239"/>
      <c r="S154" s="239"/>
    </row>
    <row r="155" spans="5:19" x14ac:dyDescent="0.25">
      <c r="F155" s="196" t="s">
        <v>930</v>
      </c>
      <c r="G155" s="196" t="s">
        <v>169</v>
      </c>
      <c r="H155" s="196" t="s">
        <v>145</v>
      </c>
      <c r="I155" s="66"/>
      <c r="J155" s="233">
        <f t="shared" ref="J155:J157" si="10">CHOOSE(year_selection, L155,M155,N155,O155,P155,Q155,R155,S155)</f>
        <v>8.5416436780123615</v>
      </c>
      <c r="K155" s="234"/>
      <c r="L155" s="330"/>
      <c r="M155" s="330"/>
      <c r="N155" s="330"/>
      <c r="O155" s="330">
        <v>8.5416436780123615</v>
      </c>
      <c r="P155" s="330">
        <v>8.6842357420884202</v>
      </c>
      <c r="Q155" s="330">
        <v>8.6842357420884202</v>
      </c>
      <c r="R155" s="330">
        <v>8.7711276835641669</v>
      </c>
      <c r="S155" s="330">
        <v>8.8580196250399137</v>
      </c>
    </row>
    <row r="156" spans="5:19" x14ac:dyDescent="0.25">
      <c r="F156" s="196" t="s">
        <v>931</v>
      </c>
      <c r="G156" s="196" t="s">
        <v>169</v>
      </c>
      <c r="H156" s="196" t="s">
        <v>145</v>
      </c>
      <c r="I156" s="66"/>
      <c r="J156" s="233">
        <f t="shared" si="10"/>
        <v>0</v>
      </c>
      <c r="K156" s="234"/>
      <c r="L156" s="330"/>
      <c r="M156" s="330"/>
      <c r="N156" s="330"/>
      <c r="O156" s="330">
        <v>0</v>
      </c>
      <c r="P156" s="330">
        <v>0</v>
      </c>
      <c r="Q156" s="330">
        <v>0</v>
      </c>
      <c r="R156" s="330">
        <v>0</v>
      </c>
      <c r="S156" s="330">
        <v>0</v>
      </c>
    </row>
    <row r="157" spans="5:19" x14ac:dyDescent="0.25">
      <c r="F157" s="196" t="s">
        <v>932</v>
      </c>
      <c r="G157" s="196" t="s">
        <v>169</v>
      </c>
      <c r="H157" s="196" t="s">
        <v>145</v>
      </c>
      <c r="I157" s="66"/>
      <c r="J157" s="233">
        <f t="shared" si="10"/>
        <v>14.746655548020247</v>
      </c>
      <c r="K157" s="234"/>
      <c r="L157" s="330"/>
      <c r="M157" s="330"/>
      <c r="N157" s="330"/>
      <c r="O157" s="330">
        <v>14.746655548020247</v>
      </c>
      <c r="P157" s="330">
        <v>14.897568079179718</v>
      </c>
      <c r="Q157" s="330">
        <v>14.897568079179718</v>
      </c>
      <c r="R157" s="330">
        <v>14.99011394953766</v>
      </c>
      <c r="S157" s="330">
        <v>15.0826598198956</v>
      </c>
    </row>
    <row r="158" spans="5:19" x14ac:dyDescent="0.25">
      <c r="F158" s="196" t="s">
        <v>933</v>
      </c>
      <c r="G158" s="196" t="s">
        <v>169</v>
      </c>
      <c r="H158" s="196" t="s">
        <v>145</v>
      </c>
      <c r="I158" s="66"/>
      <c r="J158" s="239"/>
      <c r="K158" s="234"/>
      <c r="L158" s="239"/>
      <c r="M158" s="239"/>
      <c r="N158" s="239"/>
      <c r="O158" s="239"/>
      <c r="P158" s="239"/>
      <c r="Q158" s="239"/>
      <c r="R158" s="239"/>
      <c r="S158" s="239"/>
    </row>
    <row r="159" spans="5:19" x14ac:dyDescent="0.25">
      <c r="F159" s="196" t="s">
        <v>934</v>
      </c>
      <c r="G159" s="196" t="s">
        <v>169</v>
      </c>
      <c r="H159" s="196" t="s">
        <v>145</v>
      </c>
      <c r="I159" s="66"/>
      <c r="J159" s="239"/>
      <c r="K159" s="234"/>
      <c r="L159" s="239"/>
      <c r="M159" s="239"/>
      <c r="N159" s="239"/>
      <c r="O159" s="239"/>
      <c r="P159" s="239"/>
      <c r="Q159" s="239"/>
      <c r="R159" s="239"/>
      <c r="S159" s="239"/>
    </row>
    <row r="160" spans="5:19" x14ac:dyDescent="0.25">
      <c r="F160" s="196" t="s">
        <v>935</v>
      </c>
      <c r="G160" s="196" t="s">
        <v>169</v>
      </c>
      <c r="H160" s="196" t="s">
        <v>145</v>
      </c>
      <c r="I160" s="66"/>
      <c r="J160" s="239"/>
      <c r="K160" s="234"/>
      <c r="L160" s="239"/>
      <c r="M160" s="239"/>
      <c r="N160" s="239"/>
      <c r="O160" s="239"/>
      <c r="P160" s="239"/>
      <c r="Q160" s="239"/>
      <c r="R160" s="239"/>
      <c r="S160" s="239"/>
    </row>
    <row r="161" spans="5:19" x14ac:dyDescent="0.25">
      <c r="F161" s="196" t="s">
        <v>936</v>
      </c>
      <c r="G161" s="196" t="s">
        <v>169</v>
      </c>
      <c r="H161" s="196" t="s">
        <v>145</v>
      </c>
      <c r="I161" s="66"/>
      <c r="J161" s="239"/>
      <c r="K161" s="234"/>
      <c r="L161" s="239"/>
      <c r="M161" s="239"/>
      <c r="N161" s="239"/>
      <c r="O161" s="239"/>
      <c r="P161" s="239"/>
      <c r="Q161" s="239"/>
      <c r="R161" s="239"/>
      <c r="S161" s="239"/>
    </row>
    <row r="162" spans="5:19" x14ac:dyDescent="0.25">
      <c r="F162" s="196" t="s">
        <v>937</v>
      </c>
      <c r="G162" s="196" t="s">
        <v>169</v>
      </c>
      <c r="H162" s="196" t="s">
        <v>145</v>
      </c>
      <c r="I162" s="66"/>
      <c r="J162" s="239"/>
      <c r="K162" s="234"/>
      <c r="L162" s="239"/>
      <c r="M162" s="239"/>
      <c r="N162" s="239"/>
      <c r="O162" s="239"/>
      <c r="P162" s="239"/>
      <c r="Q162" s="239"/>
      <c r="R162" s="239"/>
      <c r="S162" s="239"/>
    </row>
    <row r="163" spans="5:19" x14ac:dyDescent="0.25">
      <c r="F163" s="196" t="s">
        <v>938</v>
      </c>
      <c r="G163" s="196" t="s">
        <v>169</v>
      </c>
      <c r="H163" s="196" t="s">
        <v>145</v>
      </c>
      <c r="I163" s="66"/>
      <c r="J163" s="239"/>
      <c r="K163" s="234"/>
      <c r="L163" s="239"/>
      <c r="M163" s="239"/>
      <c r="N163" s="239"/>
      <c r="O163" s="239"/>
      <c r="P163" s="239"/>
      <c r="Q163" s="239"/>
      <c r="R163" s="239"/>
      <c r="S163" s="239"/>
    </row>
    <row r="164" spans="5:19" x14ac:dyDescent="0.25">
      <c r="F164" s="196" t="s">
        <v>939</v>
      </c>
      <c r="G164" s="196" t="s">
        <v>169</v>
      </c>
      <c r="H164" s="196" t="s">
        <v>145</v>
      </c>
      <c r="I164" s="66"/>
      <c r="J164" s="239"/>
      <c r="K164" s="234"/>
      <c r="L164" s="239"/>
      <c r="M164" s="239"/>
      <c r="N164" s="239"/>
      <c r="O164" s="239"/>
      <c r="P164" s="239"/>
      <c r="Q164" s="239"/>
      <c r="R164" s="239"/>
      <c r="S164" s="239"/>
    </row>
    <row r="165" spans="5:19" x14ac:dyDescent="0.25">
      <c r="F165" s="196" t="s">
        <v>940</v>
      </c>
      <c r="G165" s="196" t="s">
        <v>169</v>
      </c>
      <c r="H165" s="196" t="s">
        <v>145</v>
      </c>
      <c r="I165" s="66"/>
      <c r="J165" s="239"/>
      <c r="K165" s="234"/>
      <c r="L165" s="239"/>
      <c r="M165" s="239"/>
      <c r="N165" s="239"/>
      <c r="O165" s="239"/>
      <c r="P165" s="239"/>
      <c r="Q165" s="239"/>
      <c r="R165" s="239"/>
      <c r="S165" s="239"/>
    </row>
    <row r="166" spans="5:19" x14ac:dyDescent="0.25">
      <c r="F166" s="93" t="s">
        <v>941</v>
      </c>
      <c r="G166" s="93" t="s">
        <v>169</v>
      </c>
      <c r="H166" s="93" t="s">
        <v>145</v>
      </c>
      <c r="I166" s="145"/>
      <c r="J166" s="240"/>
      <c r="K166" s="236"/>
      <c r="L166" s="240"/>
      <c r="M166" s="240"/>
      <c r="N166" s="240"/>
      <c r="O166" s="240"/>
      <c r="P166" s="240"/>
      <c r="Q166" s="240"/>
      <c r="R166" s="240"/>
      <c r="S166" s="240"/>
    </row>
    <row r="167" spans="5:19" x14ac:dyDescent="0.25">
      <c r="J167" s="237"/>
      <c r="K167" s="237"/>
      <c r="L167" s="237"/>
      <c r="M167" s="237"/>
      <c r="N167" s="237"/>
      <c r="O167" s="237"/>
      <c r="P167" s="237"/>
      <c r="Q167" s="237"/>
      <c r="R167" s="237"/>
      <c r="S167" s="237"/>
    </row>
    <row r="168" spans="5:19" x14ac:dyDescent="0.25">
      <c r="E168" s="144" t="s">
        <v>204</v>
      </c>
      <c r="J168" s="237"/>
      <c r="K168" s="237"/>
      <c r="L168" s="237"/>
      <c r="M168" s="237"/>
      <c r="N168" s="237"/>
      <c r="O168" s="237"/>
      <c r="P168" s="237"/>
      <c r="Q168" s="237"/>
      <c r="R168" s="237"/>
      <c r="S168" s="237"/>
    </row>
    <row r="169" spans="5:19" x14ac:dyDescent="0.25">
      <c r="F169" s="91" t="s">
        <v>926</v>
      </c>
      <c r="G169" s="91" t="s">
        <v>170</v>
      </c>
      <c r="H169" s="91" t="s">
        <v>145</v>
      </c>
      <c r="I169" s="112"/>
      <c r="J169" s="238"/>
      <c r="K169" s="232"/>
      <c r="L169" s="238"/>
      <c r="M169" s="238"/>
      <c r="N169" s="238"/>
      <c r="O169" s="238"/>
      <c r="P169" s="238"/>
      <c r="Q169" s="238"/>
      <c r="R169" s="238"/>
      <c r="S169" s="238"/>
    </row>
    <row r="170" spans="5:19" x14ac:dyDescent="0.25">
      <c r="F170" s="196" t="s">
        <v>927</v>
      </c>
      <c r="G170" s="196" t="s">
        <v>170</v>
      </c>
      <c r="H170" s="196" t="s">
        <v>145</v>
      </c>
      <c r="I170" s="66"/>
      <c r="J170" s="239"/>
      <c r="K170" s="234"/>
      <c r="L170" s="239"/>
      <c r="M170" s="239"/>
      <c r="N170" s="239"/>
      <c r="O170" s="239"/>
      <c r="P170" s="239"/>
      <c r="Q170" s="239"/>
      <c r="R170" s="239"/>
      <c r="S170" s="239"/>
    </row>
    <row r="171" spans="5:19" x14ac:dyDescent="0.25">
      <c r="F171" s="196" t="s">
        <v>928</v>
      </c>
      <c r="G171" s="196" t="s">
        <v>170</v>
      </c>
      <c r="H171" s="196" t="s">
        <v>145</v>
      </c>
      <c r="I171" s="66"/>
      <c r="J171" s="239"/>
      <c r="K171" s="234"/>
      <c r="L171" s="239"/>
      <c r="M171" s="239"/>
      <c r="N171" s="239"/>
      <c r="O171" s="239"/>
      <c r="P171" s="239"/>
      <c r="Q171" s="239"/>
      <c r="R171" s="239"/>
      <c r="S171" s="239"/>
    </row>
    <row r="172" spans="5:19" x14ac:dyDescent="0.25">
      <c r="F172" s="196" t="s">
        <v>929</v>
      </c>
      <c r="G172" s="196" t="s">
        <v>170</v>
      </c>
      <c r="H172" s="196" t="s">
        <v>145</v>
      </c>
      <c r="I172" s="66"/>
      <c r="J172" s="239"/>
      <c r="K172" s="234"/>
      <c r="L172" s="239"/>
      <c r="M172" s="239"/>
      <c r="N172" s="239"/>
      <c r="O172" s="239"/>
      <c r="P172" s="239"/>
      <c r="Q172" s="239"/>
      <c r="R172" s="239"/>
      <c r="S172" s="239"/>
    </row>
    <row r="173" spans="5:19" x14ac:dyDescent="0.25">
      <c r="F173" s="196" t="s">
        <v>930</v>
      </c>
      <c r="G173" s="196" t="s">
        <v>170</v>
      </c>
      <c r="H173" s="196" t="s">
        <v>145</v>
      </c>
      <c r="I173" s="66"/>
      <c r="J173" s="233">
        <f t="shared" ref="J173:J175" si="11">CHOOSE(year_selection, L173,M173,N173,O173,P173,Q173,R173,S173)</f>
        <v>79.281923184762576</v>
      </c>
      <c r="K173" s="234"/>
      <c r="L173" s="330"/>
      <c r="M173" s="330"/>
      <c r="N173" s="330"/>
      <c r="O173" s="330">
        <v>79.281923184762576</v>
      </c>
      <c r="P173" s="330">
        <v>75.646682645272122</v>
      </c>
      <c r="Q173" s="330">
        <v>75.646682645272122</v>
      </c>
      <c r="R173" s="330">
        <v>72.011442105781654</v>
      </c>
      <c r="S173" s="330">
        <v>68.376201566291201</v>
      </c>
    </row>
    <row r="174" spans="5:19" x14ac:dyDescent="0.25">
      <c r="F174" s="196" t="s">
        <v>931</v>
      </c>
      <c r="G174" s="196" t="s">
        <v>170</v>
      </c>
      <c r="H174" s="196" t="s">
        <v>145</v>
      </c>
      <c r="I174" s="66"/>
      <c r="J174" s="233">
        <f t="shared" si="11"/>
        <v>0</v>
      </c>
      <c r="K174" s="234"/>
      <c r="L174" s="330"/>
      <c r="M174" s="330"/>
      <c r="N174" s="330"/>
      <c r="O174" s="330">
        <v>0</v>
      </c>
      <c r="P174" s="330">
        <v>0</v>
      </c>
      <c r="Q174" s="330">
        <v>0</v>
      </c>
      <c r="R174" s="330">
        <v>0</v>
      </c>
      <c r="S174" s="330">
        <v>0</v>
      </c>
    </row>
    <row r="175" spans="5:19" x14ac:dyDescent="0.25">
      <c r="F175" s="196" t="s">
        <v>932</v>
      </c>
      <c r="G175" s="196" t="s">
        <v>170</v>
      </c>
      <c r="H175" s="196" t="s">
        <v>145</v>
      </c>
      <c r="I175" s="66"/>
      <c r="J175" s="233">
        <f t="shared" si="11"/>
        <v>433.70015170933488</v>
      </c>
      <c r="K175" s="234"/>
      <c r="L175" s="330"/>
      <c r="M175" s="330"/>
      <c r="N175" s="330"/>
      <c r="O175" s="330">
        <v>433.70015170933488</v>
      </c>
      <c r="P175" s="330">
        <v>188.73484495090437</v>
      </c>
      <c r="Q175" s="330">
        <v>188.73484495090437</v>
      </c>
      <c r="R175" s="330">
        <v>186.78953819247394</v>
      </c>
      <c r="S175" s="330">
        <v>184.84423143404345</v>
      </c>
    </row>
    <row r="176" spans="5:19" x14ac:dyDescent="0.25">
      <c r="F176" s="196" t="s">
        <v>933</v>
      </c>
      <c r="G176" s="196" t="s">
        <v>170</v>
      </c>
      <c r="H176" s="196" t="s">
        <v>145</v>
      </c>
      <c r="I176" s="66"/>
      <c r="J176" s="239"/>
      <c r="K176" s="234"/>
      <c r="L176" s="239"/>
      <c r="M176" s="239"/>
      <c r="N176" s="239"/>
      <c r="O176" s="239"/>
      <c r="P176" s="239"/>
      <c r="Q176" s="239"/>
      <c r="R176" s="239"/>
      <c r="S176" s="239"/>
    </row>
    <row r="177" spans="3:21" x14ac:dyDescent="0.25">
      <c r="F177" s="196" t="s">
        <v>934</v>
      </c>
      <c r="G177" s="196" t="s">
        <v>170</v>
      </c>
      <c r="H177" s="196" t="s">
        <v>145</v>
      </c>
      <c r="I177" s="66"/>
      <c r="J177" s="239"/>
      <c r="K177" s="234"/>
      <c r="L177" s="239"/>
      <c r="M177" s="239"/>
      <c r="N177" s="239"/>
      <c r="O177" s="239"/>
      <c r="P177" s="239"/>
      <c r="Q177" s="239"/>
      <c r="R177" s="239"/>
      <c r="S177" s="239"/>
    </row>
    <row r="178" spans="3:21" x14ac:dyDescent="0.25">
      <c r="F178" s="196" t="s">
        <v>935</v>
      </c>
      <c r="G178" s="196" t="s">
        <v>170</v>
      </c>
      <c r="H178" s="196" t="s">
        <v>145</v>
      </c>
      <c r="I178" s="66"/>
      <c r="J178" s="239"/>
      <c r="K178" s="234"/>
      <c r="L178" s="239"/>
      <c r="M178" s="239"/>
      <c r="N178" s="239"/>
      <c r="O178" s="239"/>
      <c r="P178" s="239"/>
      <c r="Q178" s="239"/>
      <c r="R178" s="239"/>
      <c r="S178" s="239"/>
    </row>
    <row r="179" spans="3:21" x14ac:dyDescent="0.25">
      <c r="F179" s="196" t="s">
        <v>936</v>
      </c>
      <c r="G179" s="196" t="s">
        <v>170</v>
      </c>
      <c r="H179" s="196" t="s">
        <v>145</v>
      </c>
      <c r="I179" s="66"/>
      <c r="J179" s="233">
        <f t="shared" ref="J179" si="12">CHOOSE(year_selection, L179,M179,N179,O179,P179,Q179,R179,S179)</f>
        <v>5486.7326098670592</v>
      </c>
      <c r="K179" s="234"/>
      <c r="L179" s="330"/>
      <c r="M179" s="330"/>
      <c r="N179" s="330"/>
      <c r="O179" s="330">
        <v>5486.7326098670592</v>
      </c>
      <c r="P179" s="330">
        <v>5657.2023662549527</v>
      </c>
      <c r="Q179" s="330">
        <v>5657.2023662549527</v>
      </c>
      <c r="R179" s="330">
        <v>5827.6721226428463</v>
      </c>
      <c r="S179" s="330">
        <v>5998.1418790307389</v>
      </c>
    </row>
    <row r="180" spans="3:21" x14ac:dyDescent="0.25">
      <c r="F180" s="196" t="s">
        <v>937</v>
      </c>
      <c r="G180" s="196" t="s">
        <v>170</v>
      </c>
      <c r="H180" s="196" t="s">
        <v>145</v>
      </c>
      <c r="I180" s="66"/>
      <c r="J180" s="239"/>
      <c r="K180" s="234"/>
      <c r="L180" s="239"/>
      <c r="M180" s="239"/>
      <c r="N180" s="239"/>
      <c r="O180" s="239"/>
      <c r="P180" s="239"/>
      <c r="Q180" s="239"/>
      <c r="R180" s="239"/>
      <c r="S180" s="239"/>
    </row>
    <row r="181" spans="3:21" x14ac:dyDescent="0.25">
      <c r="F181" s="196" t="s">
        <v>938</v>
      </c>
      <c r="G181" s="196" t="s">
        <v>170</v>
      </c>
      <c r="H181" s="196" t="s">
        <v>145</v>
      </c>
      <c r="I181" s="66"/>
      <c r="J181" s="233">
        <f t="shared" ref="J181" si="13">CHOOSE(year_selection, L181,M181,N181,O181,P181,Q181,R181,S181)</f>
        <v>0</v>
      </c>
      <c r="K181" s="234"/>
      <c r="L181" s="330"/>
      <c r="M181" s="330"/>
      <c r="N181" s="330"/>
      <c r="O181" s="330">
        <v>0</v>
      </c>
      <c r="P181" s="330">
        <v>0</v>
      </c>
      <c r="Q181" s="330">
        <v>0</v>
      </c>
      <c r="R181" s="330">
        <v>0</v>
      </c>
      <c r="S181" s="330">
        <v>0</v>
      </c>
    </row>
    <row r="182" spans="3:21" x14ac:dyDescent="0.25">
      <c r="F182" s="196" t="s">
        <v>939</v>
      </c>
      <c r="G182" s="196" t="s">
        <v>170</v>
      </c>
      <c r="H182" s="196" t="s">
        <v>145</v>
      </c>
      <c r="I182" s="66"/>
      <c r="J182" s="239"/>
      <c r="K182" s="234"/>
      <c r="L182" s="239"/>
      <c r="M182" s="239"/>
      <c r="N182" s="239"/>
      <c r="O182" s="239"/>
      <c r="P182" s="239"/>
      <c r="Q182" s="239"/>
      <c r="R182" s="239"/>
      <c r="S182" s="239"/>
    </row>
    <row r="183" spans="3:21" x14ac:dyDescent="0.25">
      <c r="F183" s="196" t="s">
        <v>940</v>
      </c>
      <c r="G183" s="196" t="s">
        <v>170</v>
      </c>
      <c r="H183" s="196" t="s">
        <v>145</v>
      </c>
      <c r="I183" s="66"/>
      <c r="J183" s="233">
        <f t="shared" ref="J183" si="14">CHOOSE(year_selection, L183,M183,N183,O183,P183,Q183,R183,S183)</f>
        <v>37970.304935278305</v>
      </c>
      <c r="K183" s="234"/>
      <c r="L183" s="330"/>
      <c r="M183" s="330"/>
      <c r="N183" s="330"/>
      <c r="O183" s="330">
        <v>37970.304935278305</v>
      </c>
      <c r="P183" s="330">
        <v>37678.634935278307</v>
      </c>
      <c r="Q183" s="330">
        <v>37678.634935278307</v>
      </c>
      <c r="R183" s="330">
        <v>37678.634935278307</v>
      </c>
      <c r="S183" s="330">
        <v>37678.634935278307</v>
      </c>
    </row>
    <row r="184" spans="3:21" x14ac:dyDescent="0.25">
      <c r="F184" s="93" t="s">
        <v>941</v>
      </c>
      <c r="G184" s="93" t="s">
        <v>170</v>
      </c>
      <c r="H184" s="93" t="s">
        <v>145</v>
      </c>
      <c r="I184" s="145"/>
      <c r="J184" s="240"/>
      <c r="K184" s="236"/>
      <c r="L184" s="240"/>
      <c r="M184" s="240"/>
      <c r="N184" s="240"/>
      <c r="O184" s="240"/>
      <c r="P184" s="240"/>
      <c r="Q184" s="240"/>
      <c r="R184" s="240"/>
      <c r="S184" s="240"/>
    </row>
    <row r="185" spans="3:21" x14ac:dyDescent="0.25">
      <c r="J185" s="237"/>
      <c r="K185" s="237"/>
      <c r="L185" s="237"/>
      <c r="M185" s="237"/>
      <c r="N185" s="237"/>
      <c r="O185" s="237"/>
      <c r="P185" s="237"/>
      <c r="Q185" s="237"/>
      <c r="R185" s="237"/>
      <c r="S185" s="237"/>
    </row>
    <row r="186" spans="3:21" s="293" customFormat="1" x14ac:dyDescent="0.25">
      <c r="C186" s="7" t="str">
        <f ca="1">INDEX('Version control'!$H$35:$H$61,MATCH($A$1,'Version control'!$F$35:$F$61,0),1)&amp;"-D: All-the-way volumes - Residual Band 1"</f>
        <v>Input 501-D: All-the-way volumes - Residual Band 1</v>
      </c>
      <c r="D186" s="7"/>
      <c r="E186" s="7"/>
      <c r="F186" s="7"/>
      <c r="G186" s="7"/>
      <c r="H186" s="7"/>
      <c r="I186" s="171"/>
      <c r="J186" s="7"/>
      <c r="K186" s="7"/>
      <c r="L186" s="7"/>
      <c r="M186" s="7"/>
      <c r="N186" s="7"/>
      <c r="O186" s="7"/>
      <c r="P186" s="7"/>
      <c r="Q186" s="7"/>
      <c r="R186" s="7"/>
      <c r="S186" s="7"/>
      <c r="T186" s="7"/>
      <c r="U186" s="7"/>
    </row>
    <row r="187" spans="3:21" s="293" customFormat="1" x14ac:dyDescent="0.25">
      <c r="C187" s="96"/>
      <c r="I187" s="111"/>
    </row>
    <row r="188" spans="3:21" s="293" customFormat="1" x14ac:dyDescent="0.25">
      <c r="E188" s="144" t="s">
        <v>199</v>
      </c>
      <c r="I188" s="111" t="s">
        <v>359</v>
      </c>
      <c r="U188" s="293" t="s">
        <v>692</v>
      </c>
    </row>
    <row r="189" spans="3:21" s="293" customFormat="1" x14ac:dyDescent="0.25">
      <c r="F189" s="91" t="s">
        <v>926</v>
      </c>
      <c r="G189" s="91" t="s">
        <v>120</v>
      </c>
      <c r="H189" s="91" t="s">
        <v>145</v>
      </c>
      <c r="I189" s="112"/>
      <c r="J189" s="231">
        <f t="shared" ref="J189:J196" si="15">CHOOSE(year_selection, L189,M189,N189,O189,P189,Q189,R189,S189)</f>
        <v>1519528.9909572054</v>
      </c>
      <c r="K189" s="232"/>
      <c r="L189" s="329"/>
      <c r="M189" s="329"/>
      <c r="N189" s="329"/>
      <c r="O189" s="329">
        <v>1519528.9909572054</v>
      </c>
      <c r="P189" s="329">
        <v>1424596.5400796882</v>
      </c>
      <c r="Q189" s="329">
        <v>1424157.3251991596</v>
      </c>
      <c r="R189" s="329">
        <v>1425686.2963363715</v>
      </c>
      <c r="S189" s="329">
        <v>1427215.2674735836</v>
      </c>
    </row>
    <row r="190" spans="3:21" s="293" customFormat="1" x14ac:dyDescent="0.25">
      <c r="F190" s="196" t="s">
        <v>927</v>
      </c>
      <c r="G190" s="196" t="s">
        <v>120</v>
      </c>
      <c r="H190" s="196" t="s">
        <v>145</v>
      </c>
      <c r="I190" s="66"/>
      <c r="J190" s="239"/>
      <c r="K190" s="234"/>
      <c r="L190" s="239"/>
      <c r="M190" s="239"/>
      <c r="N190" s="239"/>
      <c r="O190" s="239"/>
      <c r="P190" s="239"/>
      <c r="Q190" s="239"/>
      <c r="R190" s="239"/>
      <c r="S190" s="239"/>
    </row>
    <row r="191" spans="3:21" s="293" customFormat="1" x14ac:dyDescent="0.25">
      <c r="F191" s="196" t="s">
        <v>928</v>
      </c>
      <c r="G191" s="196" t="s">
        <v>120</v>
      </c>
      <c r="H191" s="196" t="s">
        <v>145</v>
      </c>
      <c r="I191" s="66"/>
      <c r="J191" s="233">
        <f t="shared" si="15"/>
        <v>22037.121295722271</v>
      </c>
      <c r="K191" s="234"/>
      <c r="L191" s="330"/>
      <c r="M191" s="330"/>
      <c r="N191" s="330"/>
      <c r="O191" s="330">
        <v>22037.121295722271</v>
      </c>
      <c r="P191" s="330">
        <v>21455.93658515015</v>
      </c>
      <c r="Q191" s="330">
        <v>20750.920391257965</v>
      </c>
      <c r="R191" s="330">
        <v>19988.611834329302</v>
      </c>
      <c r="S191" s="330">
        <v>19226.303277400642</v>
      </c>
    </row>
    <row r="192" spans="3:21" s="293" customFormat="1" x14ac:dyDescent="0.25">
      <c r="F192" s="196" t="s">
        <v>929</v>
      </c>
      <c r="G192" s="196" t="s">
        <v>120</v>
      </c>
      <c r="H192" s="196" t="s">
        <v>145</v>
      </c>
      <c r="I192" s="66"/>
      <c r="J192" s="239"/>
      <c r="K192" s="234"/>
      <c r="L192" s="239"/>
      <c r="M192" s="239"/>
      <c r="N192" s="239"/>
      <c r="O192" s="239"/>
      <c r="P192" s="239"/>
      <c r="Q192" s="239"/>
      <c r="R192" s="239"/>
      <c r="S192" s="239"/>
    </row>
    <row r="193" spans="5:19" s="293" customFormat="1" x14ac:dyDescent="0.25">
      <c r="F193" s="196" t="s">
        <v>930</v>
      </c>
      <c r="G193" s="196" t="s">
        <v>120</v>
      </c>
      <c r="H193" s="196" t="s">
        <v>145</v>
      </c>
      <c r="I193" s="66"/>
      <c r="J193" s="233">
        <f t="shared" si="15"/>
        <v>97145.713871124273</v>
      </c>
      <c r="K193" s="234"/>
      <c r="L193" s="330"/>
      <c r="M193" s="330"/>
      <c r="N193" s="330"/>
      <c r="O193" s="330">
        <v>97145.713871124273</v>
      </c>
      <c r="P193" s="330">
        <v>86367.917194571331</v>
      </c>
      <c r="Q193" s="330">
        <v>80908.937162569477</v>
      </c>
      <c r="R193" s="330">
        <v>75214.54661270589</v>
      </c>
      <c r="S193" s="330">
        <v>69520.156062842303</v>
      </c>
    </row>
    <row r="194" spans="5:19" s="293" customFormat="1" x14ac:dyDescent="0.25">
      <c r="F194" s="196" t="s">
        <v>931</v>
      </c>
      <c r="G194" s="196" t="s">
        <v>120</v>
      </c>
      <c r="H194" s="196" t="s">
        <v>145</v>
      </c>
      <c r="I194" s="66"/>
      <c r="J194" s="233">
        <f t="shared" si="15"/>
        <v>138.89808368080392</v>
      </c>
      <c r="K194" s="234"/>
      <c r="L194" s="330"/>
      <c r="M194" s="330"/>
      <c r="N194" s="330"/>
      <c r="O194" s="330">
        <v>138.89808368080392</v>
      </c>
      <c r="P194" s="330">
        <v>132.82243399138108</v>
      </c>
      <c r="Q194" s="330">
        <v>134.39266742606614</v>
      </c>
      <c r="R194" s="330">
        <v>135.78274261167988</v>
      </c>
      <c r="S194" s="330">
        <v>137.17281779729362</v>
      </c>
    </row>
    <row r="195" spans="5:19" s="293" customFormat="1" x14ac:dyDescent="0.25">
      <c r="F195" s="196" t="s">
        <v>932</v>
      </c>
      <c r="G195" s="196" t="s">
        <v>120</v>
      </c>
      <c r="H195" s="196" t="s">
        <v>145</v>
      </c>
      <c r="I195" s="66"/>
      <c r="J195" s="233">
        <f t="shared" si="15"/>
        <v>28861.873179192746</v>
      </c>
      <c r="K195" s="234"/>
      <c r="L195" s="330"/>
      <c r="M195" s="330"/>
      <c r="N195" s="330"/>
      <c r="O195" s="330">
        <v>28861.873179192746</v>
      </c>
      <c r="P195" s="330">
        <v>28676.336953487749</v>
      </c>
      <c r="Q195" s="330">
        <v>28389.899359995012</v>
      </c>
      <c r="R195" s="330">
        <v>28049.242166234038</v>
      </c>
      <c r="S195" s="330">
        <v>27708.584972473072</v>
      </c>
    </row>
    <row r="196" spans="5:19" s="293" customFormat="1" x14ac:dyDescent="0.25">
      <c r="F196" s="196" t="s">
        <v>933</v>
      </c>
      <c r="G196" s="196" t="s">
        <v>120</v>
      </c>
      <c r="H196" s="196" t="s">
        <v>145</v>
      </c>
      <c r="I196" s="66"/>
      <c r="J196" s="233">
        <f t="shared" si="15"/>
        <v>11517.961391048839</v>
      </c>
      <c r="K196" s="234"/>
      <c r="L196" s="330"/>
      <c r="M196" s="330"/>
      <c r="N196" s="330"/>
      <c r="O196" s="330">
        <v>11517.961391048839</v>
      </c>
      <c r="P196" s="330">
        <v>11047.919428944861</v>
      </c>
      <c r="Q196" s="330">
        <v>10577.877466840884</v>
      </c>
      <c r="R196" s="330">
        <v>10107.83550473691</v>
      </c>
      <c r="S196" s="330">
        <v>9637.7935426329332</v>
      </c>
    </row>
    <row r="197" spans="5:19" s="293" customFormat="1" x14ac:dyDescent="0.25">
      <c r="F197" s="196" t="s">
        <v>934</v>
      </c>
      <c r="G197" s="196" t="s">
        <v>120</v>
      </c>
      <c r="H197" s="196" t="s">
        <v>145</v>
      </c>
      <c r="I197" s="66"/>
      <c r="J197" s="239"/>
      <c r="K197" s="234"/>
      <c r="L197" s="239"/>
      <c r="M197" s="239"/>
      <c r="N197" s="239"/>
      <c r="O197" s="239"/>
      <c r="P197" s="239"/>
      <c r="Q197" s="239"/>
      <c r="R197" s="239"/>
      <c r="S197" s="239"/>
    </row>
    <row r="198" spans="5:19" s="293" customFormat="1" x14ac:dyDescent="0.25">
      <c r="F198" s="196" t="s">
        <v>935</v>
      </c>
      <c r="G198" s="196" t="s">
        <v>120</v>
      </c>
      <c r="H198" s="196" t="s">
        <v>145</v>
      </c>
      <c r="I198" s="66"/>
      <c r="J198" s="239"/>
      <c r="K198" s="234"/>
      <c r="L198" s="239"/>
      <c r="M198" s="239"/>
      <c r="N198" s="239"/>
      <c r="O198" s="239"/>
      <c r="P198" s="239"/>
      <c r="Q198" s="239"/>
      <c r="R198" s="239"/>
      <c r="S198" s="239"/>
    </row>
    <row r="199" spans="5:19" s="293" customFormat="1" x14ac:dyDescent="0.25">
      <c r="F199" s="196" t="s">
        <v>936</v>
      </c>
      <c r="G199" s="196" t="s">
        <v>120</v>
      </c>
      <c r="H199" s="196" t="s">
        <v>145</v>
      </c>
      <c r="I199" s="66"/>
      <c r="J199" s="239"/>
      <c r="K199" s="234"/>
      <c r="L199" s="239"/>
      <c r="M199" s="239"/>
      <c r="N199" s="239"/>
      <c r="O199" s="239"/>
      <c r="P199" s="239"/>
      <c r="Q199" s="239"/>
      <c r="R199" s="239"/>
      <c r="S199" s="239"/>
    </row>
    <row r="200" spans="5:19" s="293" customFormat="1" x14ac:dyDescent="0.25">
      <c r="F200" s="196" t="s">
        <v>937</v>
      </c>
      <c r="G200" s="196" t="s">
        <v>120</v>
      </c>
      <c r="H200" s="196" t="s">
        <v>145</v>
      </c>
      <c r="I200" s="66"/>
      <c r="J200" s="239"/>
      <c r="K200" s="234"/>
      <c r="L200" s="239"/>
      <c r="M200" s="239"/>
      <c r="N200" s="239"/>
      <c r="O200" s="239"/>
      <c r="P200" s="239"/>
      <c r="Q200" s="239"/>
      <c r="R200" s="239"/>
      <c r="S200" s="239"/>
    </row>
    <row r="201" spans="5:19" s="293" customFormat="1" x14ac:dyDescent="0.25">
      <c r="F201" s="196" t="s">
        <v>938</v>
      </c>
      <c r="G201" s="196" t="s">
        <v>120</v>
      </c>
      <c r="H201" s="196" t="s">
        <v>145</v>
      </c>
      <c r="I201" s="66"/>
      <c r="J201" s="239"/>
      <c r="K201" s="234"/>
      <c r="L201" s="239"/>
      <c r="M201" s="239"/>
      <c r="N201" s="239"/>
      <c r="O201" s="239"/>
      <c r="P201" s="239"/>
      <c r="Q201" s="239"/>
      <c r="R201" s="239"/>
      <c r="S201" s="239"/>
    </row>
    <row r="202" spans="5:19" s="293" customFormat="1" x14ac:dyDescent="0.25">
      <c r="F202" s="196" t="s">
        <v>939</v>
      </c>
      <c r="G202" s="196" t="s">
        <v>120</v>
      </c>
      <c r="H202" s="196" t="s">
        <v>145</v>
      </c>
      <c r="I202" s="66"/>
      <c r="J202" s="239"/>
      <c r="K202" s="234"/>
      <c r="L202" s="239"/>
      <c r="M202" s="239"/>
      <c r="N202" s="239"/>
      <c r="O202" s="239"/>
      <c r="P202" s="239"/>
      <c r="Q202" s="239"/>
      <c r="R202" s="239"/>
      <c r="S202" s="239"/>
    </row>
    <row r="203" spans="5:19" s="293" customFormat="1" x14ac:dyDescent="0.25">
      <c r="F203" s="196" t="s">
        <v>940</v>
      </c>
      <c r="G203" s="196" t="s">
        <v>120</v>
      </c>
      <c r="H203" s="196" t="s">
        <v>145</v>
      </c>
      <c r="I203" s="66"/>
      <c r="J203" s="239"/>
      <c r="K203" s="234"/>
      <c r="L203" s="239"/>
      <c r="M203" s="239"/>
      <c r="N203" s="239"/>
      <c r="O203" s="239"/>
      <c r="P203" s="239"/>
      <c r="Q203" s="239"/>
      <c r="R203" s="239"/>
      <c r="S203" s="239"/>
    </row>
    <row r="204" spans="5:19" s="293" customFormat="1" x14ac:dyDescent="0.25">
      <c r="F204" s="93" t="s">
        <v>941</v>
      </c>
      <c r="G204" s="93" t="s">
        <v>120</v>
      </c>
      <c r="H204" s="93" t="s">
        <v>145</v>
      </c>
      <c r="I204" s="145"/>
      <c r="J204" s="240"/>
      <c r="K204" s="236"/>
      <c r="L204" s="240"/>
      <c r="M204" s="240"/>
      <c r="N204" s="240"/>
      <c r="O204" s="240"/>
      <c r="P204" s="240"/>
      <c r="Q204" s="240"/>
      <c r="R204" s="240"/>
      <c r="S204" s="240"/>
    </row>
    <row r="205" spans="5:19" s="293" customFormat="1" x14ac:dyDescent="0.25">
      <c r="I205" s="111"/>
      <c r="J205" s="237"/>
      <c r="K205" s="237"/>
      <c r="L205" s="237"/>
      <c r="M205" s="237"/>
      <c r="N205" s="237"/>
      <c r="O205" s="237"/>
      <c r="P205" s="237"/>
      <c r="Q205" s="237"/>
      <c r="R205" s="237"/>
      <c r="S205" s="237"/>
    </row>
    <row r="206" spans="5:19" s="293" customFormat="1" x14ac:dyDescent="0.25">
      <c r="E206" s="144" t="s">
        <v>200</v>
      </c>
      <c r="I206" s="111"/>
      <c r="J206" s="237"/>
      <c r="K206" s="237"/>
      <c r="L206" s="237"/>
      <c r="M206" s="237"/>
      <c r="N206" s="237"/>
      <c r="O206" s="237"/>
      <c r="P206" s="237"/>
      <c r="Q206" s="237"/>
      <c r="R206" s="237"/>
      <c r="S206" s="237"/>
    </row>
    <row r="207" spans="5:19" s="293" customFormat="1" x14ac:dyDescent="0.25">
      <c r="F207" s="91" t="s">
        <v>926</v>
      </c>
      <c r="G207" s="91" t="s">
        <v>120</v>
      </c>
      <c r="H207" s="91" t="s">
        <v>145</v>
      </c>
      <c r="I207" s="112"/>
      <c r="J207" s="231">
        <f t="shared" ref="J207" si="16">CHOOSE(year_selection, L207,M207,N207,O207,P207,Q207,R207,S207)</f>
        <v>6704922.9381034765</v>
      </c>
      <c r="K207" s="232"/>
      <c r="L207" s="329"/>
      <c r="M207" s="329"/>
      <c r="N207" s="329"/>
      <c r="O207" s="329">
        <v>6704922.9381034765</v>
      </c>
      <c r="P207" s="329">
        <v>6287696.575005332</v>
      </c>
      <c r="Q207" s="329">
        <v>6274225.6607642407</v>
      </c>
      <c r="R207" s="329">
        <v>6263301.9755491707</v>
      </c>
      <c r="S207" s="329">
        <v>6252378.2903341008</v>
      </c>
    </row>
    <row r="208" spans="5:19" s="293" customFormat="1" x14ac:dyDescent="0.25">
      <c r="F208" s="196" t="s">
        <v>927</v>
      </c>
      <c r="G208" s="196" t="s">
        <v>120</v>
      </c>
      <c r="H208" s="196" t="s">
        <v>145</v>
      </c>
      <c r="I208" s="66"/>
      <c r="J208" s="239"/>
      <c r="K208" s="234"/>
      <c r="L208" s="239"/>
      <c r="M208" s="239"/>
      <c r="N208" s="239"/>
      <c r="O208" s="239"/>
      <c r="P208" s="239"/>
      <c r="Q208" s="239"/>
      <c r="R208" s="239"/>
      <c r="S208" s="239"/>
    </row>
    <row r="209" spans="5:19" s="293" customFormat="1" x14ac:dyDescent="0.25">
      <c r="F209" s="196" t="s">
        <v>928</v>
      </c>
      <c r="G209" s="196" t="s">
        <v>120</v>
      </c>
      <c r="H209" s="196" t="s">
        <v>145</v>
      </c>
      <c r="I209" s="66"/>
      <c r="J209" s="233">
        <f t="shared" ref="J209" si="17">CHOOSE(year_selection, L209,M209,N209,O209,P209,Q209,R209,S209)</f>
        <v>138589.18498143979</v>
      </c>
      <c r="K209" s="234"/>
      <c r="L209" s="330"/>
      <c r="M209" s="330"/>
      <c r="N209" s="330"/>
      <c r="O209" s="330">
        <v>138589.18498143979</v>
      </c>
      <c r="P209" s="330">
        <v>134192.08266562276</v>
      </c>
      <c r="Q209" s="330">
        <v>128868.72971601297</v>
      </c>
      <c r="R209" s="330">
        <v>123116.39000283091</v>
      </c>
      <c r="S209" s="330">
        <v>117364.05028964888</v>
      </c>
    </row>
    <row r="210" spans="5:19" s="293" customFormat="1" x14ac:dyDescent="0.25">
      <c r="F210" s="196" t="s">
        <v>929</v>
      </c>
      <c r="G210" s="196" t="s">
        <v>120</v>
      </c>
      <c r="H210" s="196" t="s">
        <v>145</v>
      </c>
      <c r="I210" s="66"/>
      <c r="J210" s="239"/>
      <c r="K210" s="234"/>
      <c r="L210" s="239"/>
      <c r="M210" s="239"/>
      <c r="N210" s="239"/>
      <c r="O210" s="239"/>
      <c r="P210" s="239"/>
      <c r="Q210" s="239"/>
      <c r="R210" s="239"/>
      <c r="S210" s="239"/>
    </row>
    <row r="211" spans="5:19" s="293" customFormat="1" x14ac:dyDescent="0.25">
      <c r="F211" s="196" t="s">
        <v>930</v>
      </c>
      <c r="G211" s="196" t="s">
        <v>120</v>
      </c>
      <c r="H211" s="196" t="s">
        <v>145</v>
      </c>
      <c r="I211" s="66"/>
      <c r="J211" s="233">
        <f t="shared" ref="J211:J214" si="18">CHOOSE(year_selection, L211,M211,N211,O211,P211,Q211,R211,S211)</f>
        <v>554344.28018943733</v>
      </c>
      <c r="K211" s="234"/>
      <c r="L211" s="330"/>
      <c r="M211" s="330"/>
      <c r="N211" s="330"/>
      <c r="O211" s="330">
        <v>554344.28018943733</v>
      </c>
      <c r="P211" s="330">
        <v>497117.24319110066</v>
      </c>
      <c r="Q211" s="330">
        <v>476625.81988251791</v>
      </c>
      <c r="R211" s="330">
        <v>457908.32314625854</v>
      </c>
      <c r="S211" s="330">
        <v>439190.82640999905</v>
      </c>
    </row>
    <row r="212" spans="5:19" s="293" customFormat="1" x14ac:dyDescent="0.25">
      <c r="F212" s="196" t="s">
        <v>931</v>
      </c>
      <c r="G212" s="196" t="s">
        <v>120</v>
      </c>
      <c r="H212" s="196" t="s">
        <v>145</v>
      </c>
      <c r="I212" s="66"/>
      <c r="J212" s="233">
        <f t="shared" si="18"/>
        <v>759.30740603700929</v>
      </c>
      <c r="K212" s="234"/>
      <c r="L212" s="330"/>
      <c r="M212" s="330"/>
      <c r="N212" s="330"/>
      <c r="O212" s="330">
        <v>759.30740603700929</v>
      </c>
      <c r="P212" s="330">
        <v>708.06758567043107</v>
      </c>
      <c r="Q212" s="330">
        <v>701.18284128132484</v>
      </c>
      <c r="R212" s="330">
        <v>694.47825514128976</v>
      </c>
      <c r="S212" s="330">
        <v>687.77366900125469</v>
      </c>
    </row>
    <row r="213" spans="5:19" s="293" customFormat="1" x14ac:dyDescent="0.25">
      <c r="F213" s="196" t="s">
        <v>932</v>
      </c>
      <c r="G213" s="196" t="s">
        <v>120</v>
      </c>
      <c r="H213" s="196" t="s">
        <v>145</v>
      </c>
      <c r="I213" s="66"/>
      <c r="J213" s="233">
        <f t="shared" si="18"/>
        <v>161071.9650958328</v>
      </c>
      <c r="K213" s="234"/>
      <c r="L213" s="330"/>
      <c r="M213" s="330"/>
      <c r="N213" s="330"/>
      <c r="O213" s="330">
        <v>161071.9650958328</v>
      </c>
      <c r="P213" s="330">
        <v>159474.33803953321</v>
      </c>
      <c r="Q213" s="330">
        <v>157613.83990799915</v>
      </c>
      <c r="R213" s="330">
        <v>155587.83411689929</v>
      </c>
      <c r="S213" s="330">
        <v>153561.82832579949</v>
      </c>
    </row>
    <row r="214" spans="5:19" s="293" customFormat="1" x14ac:dyDescent="0.25">
      <c r="F214" s="196" t="s">
        <v>933</v>
      </c>
      <c r="G214" s="196" t="s">
        <v>120</v>
      </c>
      <c r="H214" s="196" t="s">
        <v>145</v>
      </c>
      <c r="I214" s="66"/>
      <c r="J214" s="233">
        <f t="shared" si="18"/>
        <v>73125.948651823521</v>
      </c>
      <c r="K214" s="234"/>
      <c r="L214" s="330"/>
      <c r="M214" s="330"/>
      <c r="N214" s="330"/>
      <c r="O214" s="330">
        <v>73125.948651823521</v>
      </c>
      <c r="P214" s="330">
        <v>71844.701195123271</v>
      </c>
      <c r="Q214" s="330">
        <v>70931.35627778538</v>
      </c>
      <c r="R214" s="330">
        <v>70188.704434451502</v>
      </c>
      <c r="S214" s="330">
        <v>69446.052591117637</v>
      </c>
    </row>
    <row r="215" spans="5:19" s="293" customFormat="1" x14ac:dyDescent="0.25">
      <c r="F215" s="196" t="s">
        <v>934</v>
      </c>
      <c r="G215" s="196" t="s">
        <v>120</v>
      </c>
      <c r="H215" s="196" t="s">
        <v>145</v>
      </c>
      <c r="I215" s="66"/>
      <c r="J215" s="239"/>
      <c r="K215" s="234"/>
      <c r="L215" s="239"/>
      <c r="M215" s="239"/>
      <c r="N215" s="239"/>
      <c r="O215" s="239"/>
      <c r="P215" s="239"/>
      <c r="Q215" s="239"/>
      <c r="R215" s="239"/>
      <c r="S215" s="239"/>
    </row>
    <row r="216" spans="5:19" s="293" customFormat="1" x14ac:dyDescent="0.25">
      <c r="F216" s="196" t="s">
        <v>935</v>
      </c>
      <c r="G216" s="196" t="s">
        <v>120</v>
      </c>
      <c r="H216" s="196" t="s">
        <v>145</v>
      </c>
      <c r="I216" s="66"/>
      <c r="J216" s="239"/>
      <c r="K216" s="234"/>
      <c r="L216" s="239"/>
      <c r="M216" s="239"/>
      <c r="N216" s="239"/>
      <c r="O216" s="239"/>
      <c r="P216" s="239"/>
      <c r="Q216" s="239"/>
      <c r="R216" s="239"/>
      <c r="S216" s="239"/>
    </row>
    <row r="217" spans="5:19" s="293" customFormat="1" x14ac:dyDescent="0.25">
      <c r="F217" s="196" t="s">
        <v>936</v>
      </c>
      <c r="G217" s="196" t="s">
        <v>120</v>
      </c>
      <c r="H217" s="196" t="s">
        <v>145</v>
      </c>
      <c r="I217" s="66"/>
      <c r="J217" s="239"/>
      <c r="K217" s="234"/>
      <c r="L217" s="239"/>
      <c r="M217" s="239"/>
      <c r="N217" s="239"/>
      <c r="O217" s="239"/>
      <c r="P217" s="239"/>
      <c r="Q217" s="239"/>
      <c r="R217" s="239"/>
      <c r="S217" s="239"/>
    </row>
    <row r="218" spans="5:19" s="293" customFormat="1" x14ac:dyDescent="0.25">
      <c r="F218" s="196" t="s">
        <v>937</v>
      </c>
      <c r="G218" s="196" t="s">
        <v>120</v>
      </c>
      <c r="H218" s="196" t="s">
        <v>145</v>
      </c>
      <c r="I218" s="66"/>
      <c r="J218" s="239"/>
      <c r="K218" s="234"/>
      <c r="L218" s="239"/>
      <c r="M218" s="239"/>
      <c r="N218" s="239"/>
      <c r="O218" s="239"/>
      <c r="P218" s="239"/>
      <c r="Q218" s="239"/>
      <c r="R218" s="239"/>
      <c r="S218" s="239"/>
    </row>
    <row r="219" spans="5:19" s="293" customFormat="1" x14ac:dyDescent="0.25">
      <c r="F219" s="196" t="s">
        <v>938</v>
      </c>
      <c r="G219" s="196" t="s">
        <v>120</v>
      </c>
      <c r="H219" s="196" t="s">
        <v>145</v>
      </c>
      <c r="I219" s="66"/>
      <c r="J219" s="239"/>
      <c r="K219" s="234"/>
      <c r="L219" s="239"/>
      <c r="M219" s="239"/>
      <c r="N219" s="239"/>
      <c r="O219" s="239"/>
      <c r="P219" s="239"/>
      <c r="Q219" s="239"/>
      <c r="R219" s="239"/>
      <c r="S219" s="239"/>
    </row>
    <row r="220" spans="5:19" s="293" customFormat="1" x14ac:dyDescent="0.25">
      <c r="F220" s="196" t="s">
        <v>939</v>
      </c>
      <c r="G220" s="196" t="s">
        <v>120</v>
      </c>
      <c r="H220" s="196" t="s">
        <v>145</v>
      </c>
      <c r="I220" s="66"/>
      <c r="J220" s="239"/>
      <c r="K220" s="234"/>
      <c r="L220" s="239"/>
      <c r="M220" s="239"/>
      <c r="N220" s="239"/>
      <c r="O220" s="239"/>
      <c r="P220" s="239"/>
      <c r="Q220" s="239"/>
      <c r="R220" s="239"/>
      <c r="S220" s="239"/>
    </row>
    <row r="221" spans="5:19" s="293" customFormat="1" x14ac:dyDescent="0.25">
      <c r="F221" s="196" t="s">
        <v>940</v>
      </c>
      <c r="G221" s="196" t="s">
        <v>120</v>
      </c>
      <c r="H221" s="196" t="s">
        <v>145</v>
      </c>
      <c r="I221" s="66"/>
      <c r="J221" s="239"/>
      <c r="K221" s="234"/>
      <c r="L221" s="239"/>
      <c r="M221" s="239"/>
      <c r="N221" s="239"/>
      <c r="O221" s="239"/>
      <c r="P221" s="239"/>
      <c r="Q221" s="239"/>
      <c r="R221" s="239"/>
      <c r="S221" s="239"/>
    </row>
    <row r="222" spans="5:19" s="293" customFormat="1" x14ac:dyDescent="0.25">
      <c r="F222" s="93" t="s">
        <v>941</v>
      </c>
      <c r="G222" s="93" t="s">
        <v>120</v>
      </c>
      <c r="H222" s="93" t="s">
        <v>145</v>
      </c>
      <c r="I222" s="145"/>
      <c r="J222" s="240"/>
      <c r="K222" s="236"/>
      <c r="L222" s="240"/>
      <c r="M222" s="240"/>
      <c r="N222" s="240"/>
      <c r="O222" s="240"/>
      <c r="P222" s="240"/>
      <c r="Q222" s="240"/>
      <c r="R222" s="240"/>
      <c r="S222" s="240"/>
    </row>
    <row r="223" spans="5:19" s="293" customFormat="1" x14ac:dyDescent="0.25">
      <c r="I223" s="111"/>
      <c r="J223" s="237"/>
      <c r="K223" s="237"/>
      <c r="L223" s="237"/>
      <c r="M223" s="237"/>
      <c r="N223" s="237"/>
      <c r="O223" s="237"/>
      <c r="P223" s="237"/>
      <c r="Q223" s="237"/>
      <c r="R223" s="237"/>
      <c r="S223" s="237"/>
    </row>
    <row r="224" spans="5:19" s="293" customFormat="1" x14ac:dyDescent="0.25">
      <c r="E224" s="144" t="s">
        <v>201</v>
      </c>
      <c r="I224" s="111"/>
      <c r="J224" s="237"/>
      <c r="K224" s="237"/>
      <c r="L224" s="237"/>
      <c r="M224" s="237"/>
      <c r="N224" s="237"/>
      <c r="O224" s="237"/>
      <c r="P224" s="237"/>
      <c r="Q224" s="237"/>
      <c r="R224" s="237"/>
      <c r="S224" s="237"/>
    </row>
    <row r="225" spans="6:19" s="293" customFormat="1" x14ac:dyDescent="0.25">
      <c r="F225" s="91" t="s">
        <v>926</v>
      </c>
      <c r="G225" s="91" t="s">
        <v>120</v>
      </c>
      <c r="H225" s="91" t="s">
        <v>145</v>
      </c>
      <c r="I225" s="112"/>
      <c r="J225" s="231">
        <f t="shared" ref="J225" si="19">CHOOSE(year_selection, L225,M225,N225,O225,P225,Q225,R225,S225)</f>
        <v>3714187.4425115269</v>
      </c>
      <c r="K225" s="232"/>
      <c r="L225" s="329"/>
      <c r="M225" s="329"/>
      <c r="N225" s="329"/>
      <c r="O225" s="329">
        <v>3714187.4425115269</v>
      </c>
      <c r="P225" s="329">
        <v>3472115.4024851266</v>
      </c>
      <c r="Q225" s="329">
        <v>3450725.1626562118</v>
      </c>
      <c r="R225" s="329">
        <v>3429311.569052604</v>
      </c>
      <c r="S225" s="329">
        <v>3407897.9754489963</v>
      </c>
    </row>
    <row r="226" spans="6:19" s="293" customFormat="1" x14ac:dyDescent="0.25">
      <c r="F226" s="196" t="s">
        <v>927</v>
      </c>
      <c r="G226" s="196" t="s">
        <v>120</v>
      </c>
      <c r="H226" s="196" t="s">
        <v>145</v>
      </c>
      <c r="I226" s="66"/>
      <c r="J226" s="239"/>
      <c r="K226" s="234"/>
      <c r="L226" s="239"/>
      <c r="M226" s="239"/>
      <c r="N226" s="239"/>
      <c r="O226" s="239"/>
      <c r="P226" s="239"/>
      <c r="Q226" s="239"/>
      <c r="R226" s="239"/>
      <c r="S226" s="239"/>
    </row>
    <row r="227" spans="6:19" s="293" customFormat="1" x14ac:dyDescent="0.25">
      <c r="F227" s="196" t="s">
        <v>928</v>
      </c>
      <c r="G227" s="196" t="s">
        <v>120</v>
      </c>
      <c r="H227" s="196" t="s">
        <v>145</v>
      </c>
      <c r="I227" s="66"/>
      <c r="J227" s="233">
        <f t="shared" ref="J227" si="20">CHOOSE(year_selection, L227,M227,N227,O227,P227,Q227,R227,S227)</f>
        <v>61576.388251133903</v>
      </c>
      <c r="K227" s="234"/>
      <c r="L227" s="330"/>
      <c r="M227" s="330"/>
      <c r="N227" s="330"/>
      <c r="O227" s="330">
        <v>61576.388251133903</v>
      </c>
      <c r="P227" s="330">
        <v>59649.687592749149</v>
      </c>
      <c r="Q227" s="330">
        <v>57711.761613294919</v>
      </c>
      <c r="R227" s="330">
        <v>55766.917909354386</v>
      </c>
      <c r="S227" s="330">
        <v>53822.074205413854</v>
      </c>
    </row>
    <row r="228" spans="6:19" s="293" customFormat="1" x14ac:dyDescent="0.25">
      <c r="F228" s="196" t="s">
        <v>929</v>
      </c>
      <c r="G228" s="196" t="s">
        <v>120</v>
      </c>
      <c r="H228" s="196" t="s">
        <v>145</v>
      </c>
      <c r="I228" s="66"/>
      <c r="J228" s="239"/>
      <c r="K228" s="234"/>
      <c r="L228" s="239"/>
      <c r="M228" s="239"/>
      <c r="N228" s="239"/>
      <c r="O228" s="239"/>
      <c r="P228" s="239"/>
      <c r="Q228" s="239"/>
      <c r="R228" s="239"/>
      <c r="S228" s="239"/>
    </row>
    <row r="229" spans="6:19" s="293" customFormat="1" x14ac:dyDescent="0.25">
      <c r="F229" s="196" t="s">
        <v>930</v>
      </c>
      <c r="G229" s="196" t="s">
        <v>120</v>
      </c>
      <c r="H229" s="196" t="s">
        <v>145</v>
      </c>
      <c r="I229" s="66"/>
      <c r="J229" s="233">
        <f t="shared" ref="J229:J232" si="21">CHOOSE(year_selection, L229,M229,N229,O229,P229,Q229,R229,S229)</f>
        <v>290665.01795983157</v>
      </c>
      <c r="K229" s="234"/>
      <c r="L229" s="330"/>
      <c r="M229" s="330"/>
      <c r="N229" s="330"/>
      <c r="O229" s="330">
        <v>290665.01795983157</v>
      </c>
      <c r="P229" s="330">
        <v>263069.25461616588</v>
      </c>
      <c r="Q229" s="330">
        <v>254176.07153593222</v>
      </c>
      <c r="R229" s="330">
        <v>245974.08914837969</v>
      </c>
      <c r="S229" s="330">
        <v>237772.10676082718</v>
      </c>
    </row>
    <row r="230" spans="6:19" s="293" customFormat="1" x14ac:dyDescent="0.25">
      <c r="F230" s="196" t="s">
        <v>931</v>
      </c>
      <c r="G230" s="196" t="s">
        <v>120</v>
      </c>
      <c r="H230" s="196" t="s">
        <v>145</v>
      </c>
      <c r="I230" s="66"/>
      <c r="J230" s="233">
        <f t="shared" si="21"/>
        <v>497.0286309247079</v>
      </c>
      <c r="K230" s="234"/>
      <c r="L230" s="330"/>
      <c r="M230" s="330"/>
      <c r="N230" s="330"/>
      <c r="O230" s="330">
        <v>497.0286309247079</v>
      </c>
      <c r="P230" s="330">
        <v>464.15888591876336</v>
      </c>
      <c r="Q230" s="330">
        <v>458.48217001005622</v>
      </c>
      <c r="R230" s="330">
        <v>452.0848211050639</v>
      </c>
      <c r="S230" s="330">
        <v>445.68747220007151</v>
      </c>
    </row>
    <row r="231" spans="6:19" s="293" customFormat="1" x14ac:dyDescent="0.25">
      <c r="F231" s="196" t="s">
        <v>932</v>
      </c>
      <c r="G231" s="196" t="s">
        <v>120</v>
      </c>
      <c r="H231" s="196" t="s">
        <v>145</v>
      </c>
      <c r="I231" s="66"/>
      <c r="J231" s="233">
        <f t="shared" si="21"/>
        <v>110373.66410769592</v>
      </c>
      <c r="K231" s="234"/>
      <c r="L231" s="330"/>
      <c r="M231" s="330"/>
      <c r="N231" s="330"/>
      <c r="O231" s="330">
        <v>110373.66410769592</v>
      </c>
      <c r="P231" s="330">
        <v>109093.10938467714</v>
      </c>
      <c r="Q231" s="330">
        <v>107623.34895174991</v>
      </c>
      <c r="R231" s="330">
        <v>106034.56785048197</v>
      </c>
      <c r="S231" s="330">
        <v>104445.78674921404</v>
      </c>
    </row>
    <row r="232" spans="6:19" s="293" customFormat="1" x14ac:dyDescent="0.25">
      <c r="F232" s="196" t="s">
        <v>933</v>
      </c>
      <c r="G232" s="196" t="s">
        <v>120</v>
      </c>
      <c r="H232" s="196" t="s">
        <v>145</v>
      </c>
      <c r="I232" s="66"/>
      <c r="J232" s="233">
        <f t="shared" si="21"/>
        <v>109990.23751551715</v>
      </c>
      <c r="K232" s="234"/>
      <c r="L232" s="330"/>
      <c r="M232" s="330"/>
      <c r="N232" s="330"/>
      <c r="O232" s="330">
        <v>109990.23751551715</v>
      </c>
      <c r="P232" s="330">
        <v>103694.16467871722</v>
      </c>
      <c r="Q232" s="330">
        <v>97944.653549440322</v>
      </c>
      <c r="R232" s="330">
        <v>92444.098945519552</v>
      </c>
      <c r="S232" s="330">
        <v>86943.544341598783</v>
      </c>
    </row>
    <row r="233" spans="6:19" s="293" customFormat="1" x14ac:dyDescent="0.25">
      <c r="F233" s="196" t="s">
        <v>934</v>
      </c>
      <c r="G233" s="196" t="s">
        <v>120</v>
      </c>
      <c r="H233" s="196" t="s">
        <v>145</v>
      </c>
      <c r="I233" s="66"/>
      <c r="J233" s="239"/>
      <c r="K233" s="234"/>
      <c r="L233" s="239"/>
      <c r="M233" s="239"/>
      <c r="N233" s="239"/>
      <c r="O233" s="239"/>
      <c r="P233" s="239"/>
      <c r="Q233" s="239"/>
      <c r="R233" s="239"/>
      <c r="S233" s="239"/>
    </row>
    <row r="234" spans="6:19" s="293" customFormat="1" x14ac:dyDescent="0.25">
      <c r="F234" s="196" t="s">
        <v>935</v>
      </c>
      <c r="G234" s="196" t="s">
        <v>120</v>
      </c>
      <c r="H234" s="196" t="s">
        <v>145</v>
      </c>
      <c r="I234" s="66"/>
      <c r="J234" s="239"/>
      <c r="K234" s="234"/>
      <c r="L234" s="239"/>
      <c r="M234" s="239"/>
      <c r="N234" s="239"/>
      <c r="O234" s="239"/>
      <c r="P234" s="239"/>
      <c r="Q234" s="239"/>
      <c r="R234" s="239"/>
      <c r="S234" s="239"/>
    </row>
    <row r="235" spans="6:19" s="293" customFormat="1" x14ac:dyDescent="0.25">
      <c r="F235" s="196" t="s">
        <v>936</v>
      </c>
      <c r="G235" s="196" t="s">
        <v>120</v>
      </c>
      <c r="H235" s="196" t="s">
        <v>145</v>
      </c>
      <c r="I235" s="66"/>
      <c r="J235" s="239"/>
      <c r="K235" s="234"/>
      <c r="L235" s="239"/>
      <c r="M235" s="239"/>
      <c r="N235" s="239"/>
      <c r="O235" s="239"/>
      <c r="P235" s="239"/>
      <c r="Q235" s="239"/>
      <c r="R235" s="239"/>
      <c r="S235" s="239"/>
    </row>
    <row r="236" spans="6:19" s="293" customFormat="1" x14ac:dyDescent="0.25">
      <c r="F236" s="196" t="s">
        <v>937</v>
      </c>
      <c r="G236" s="196" t="s">
        <v>120</v>
      </c>
      <c r="H236" s="196" t="s">
        <v>145</v>
      </c>
      <c r="I236" s="66"/>
      <c r="J236" s="239"/>
      <c r="K236" s="234"/>
      <c r="L236" s="239"/>
      <c r="M236" s="239"/>
      <c r="N236" s="239"/>
      <c r="O236" s="239"/>
      <c r="P236" s="239"/>
      <c r="Q236" s="239"/>
      <c r="R236" s="239"/>
      <c r="S236" s="239"/>
    </row>
    <row r="237" spans="6:19" s="293" customFormat="1" x14ac:dyDescent="0.25">
      <c r="F237" s="196" t="s">
        <v>938</v>
      </c>
      <c r="G237" s="196" t="s">
        <v>120</v>
      </c>
      <c r="H237" s="196" t="s">
        <v>145</v>
      </c>
      <c r="I237" s="66"/>
      <c r="J237" s="239"/>
      <c r="K237" s="234"/>
      <c r="L237" s="239"/>
      <c r="M237" s="239"/>
      <c r="N237" s="239"/>
      <c r="O237" s="239"/>
      <c r="P237" s="239"/>
      <c r="Q237" s="239"/>
      <c r="R237" s="239"/>
      <c r="S237" s="239"/>
    </row>
    <row r="238" spans="6:19" s="293" customFormat="1" x14ac:dyDescent="0.25">
      <c r="F238" s="196" t="s">
        <v>939</v>
      </c>
      <c r="G238" s="196" t="s">
        <v>120</v>
      </c>
      <c r="H238" s="196" t="s">
        <v>145</v>
      </c>
      <c r="I238" s="66"/>
      <c r="J238" s="239"/>
      <c r="K238" s="234"/>
      <c r="L238" s="239"/>
      <c r="M238" s="239"/>
      <c r="N238" s="239"/>
      <c r="O238" s="239"/>
      <c r="P238" s="239"/>
      <c r="Q238" s="239"/>
      <c r="R238" s="239"/>
      <c r="S238" s="239"/>
    </row>
    <row r="239" spans="6:19" s="293" customFormat="1" x14ac:dyDescent="0.25">
      <c r="F239" s="196" t="s">
        <v>940</v>
      </c>
      <c r="G239" s="196" t="s">
        <v>120</v>
      </c>
      <c r="H239" s="196" t="s">
        <v>145</v>
      </c>
      <c r="I239" s="66"/>
      <c r="J239" s="239"/>
      <c r="K239" s="234"/>
      <c r="L239" s="239"/>
      <c r="M239" s="239"/>
      <c r="N239" s="239"/>
      <c r="O239" s="239"/>
      <c r="P239" s="239"/>
      <c r="Q239" s="239"/>
      <c r="R239" s="239"/>
      <c r="S239" s="239"/>
    </row>
    <row r="240" spans="6:19" s="293" customFormat="1" x14ac:dyDescent="0.25">
      <c r="F240" s="93" t="s">
        <v>941</v>
      </c>
      <c r="G240" s="93" t="s">
        <v>120</v>
      </c>
      <c r="H240" s="93" t="s">
        <v>145</v>
      </c>
      <c r="I240" s="145"/>
      <c r="J240" s="240"/>
      <c r="K240" s="236"/>
      <c r="L240" s="240"/>
      <c r="M240" s="240"/>
      <c r="N240" s="240"/>
      <c r="O240" s="240"/>
      <c r="P240" s="240"/>
      <c r="Q240" s="240"/>
      <c r="R240" s="240"/>
      <c r="S240" s="240"/>
    </row>
    <row r="241" spans="5:19" s="293" customFormat="1" x14ac:dyDescent="0.25">
      <c r="I241" s="111"/>
      <c r="J241" s="237"/>
      <c r="K241" s="237"/>
      <c r="L241" s="237"/>
      <c r="M241" s="237"/>
      <c r="N241" s="237"/>
      <c r="O241" s="237"/>
      <c r="P241" s="237"/>
      <c r="Q241" s="237"/>
      <c r="R241" s="237"/>
      <c r="S241" s="237"/>
    </row>
    <row r="242" spans="5:19" s="293" customFormat="1" x14ac:dyDescent="0.25">
      <c r="E242" s="144" t="s">
        <v>74</v>
      </c>
      <c r="I242" s="111"/>
      <c r="J242" s="237"/>
      <c r="K242" s="237"/>
      <c r="L242" s="237"/>
      <c r="M242" s="237"/>
      <c r="N242" s="237"/>
      <c r="O242" s="237"/>
      <c r="P242" s="237"/>
      <c r="Q242" s="237"/>
      <c r="R242" s="237"/>
      <c r="S242" s="237"/>
    </row>
    <row r="243" spans="5:19" s="293" customFormat="1" x14ac:dyDescent="0.25">
      <c r="F243" s="91" t="s">
        <v>926</v>
      </c>
      <c r="G243" s="91" t="s">
        <v>74</v>
      </c>
      <c r="H243" s="91" t="s">
        <v>145</v>
      </c>
      <c r="I243" s="112"/>
      <c r="J243" s="231">
        <f t="shared" ref="J243" si="22">CHOOSE(year_selection, L243,M243,N243,O243,P243,Q243,R243,S243)</f>
        <v>2901359.4971160064</v>
      </c>
      <c r="K243" s="232"/>
      <c r="L243" s="329"/>
      <c r="M243" s="329"/>
      <c r="N243" s="329"/>
      <c r="O243" s="329">
        <v>2901359.4971160064</v>
      </c>
      <c r="P243" s="329">
        <v>2912730.117930654</v>
      </c>
      <c r="Q243" s="329">
        <v>2924219.3926220122</v>
      </c>
      <c r="R243" s="329">
        <v>2935919.7784244809</v>
      </c>
      <c r="S243" s="329">
        <v>2947620.1642269497</v>
      </c>
    </row>
    <row r="244" spans="5:19" s="293" customFormat="1" x14ac:dyDescent="0.25">
      <c r="F244" s="196" t="s">
        <v>927</v>
      </c>
      <c r="G244" s="196" t="s">
        <v>74</v>
      </c>
      <c r="H244" s="196" t="s">
        <v>145</v>
      </c>
      <c r="I244" s="66"/>
      <c r="J244" s="239"/>
      <c r="K244" s="234"/>
      <c r="L244" s="239"/>
      <c r="M244" s="239"/>
      <c r="N244" s="239"/>
      <c r="O244" s="239"/>
      <c r="P244" s="239"/>
      <c r="Q244" s="239"/>
      <c r="R244" s="239"/>
      <c r="S244" s="239"/>
    </row>
    <row r="245" spans="5:19" s="293" customFormat="1" x14ac:dyDescent="0.25">
      <c r="F245" s="196" t="s">
        <v>928</v>
      </c>
      <c r="G245" s="196" t="s">
        <v>74</v>
      </c>
      <c r="H245" s="196" t="s">
        <v>145</v>
      </c>
      <c r="I245" s="66"/>
      <c r="J245" s="233">
        <f t="shared" ref="J245" si="23">CHOOSE(year_selection, L245,M245,N245,O245,P245,Q245,R245,S245)</f>
        <v>92485.136554492579</v>
      </c>
      <c r="K245" s="234"/>
      <c r="L245" s="330"/>
      <c r="M245" s="330"/>
      <c r="N245" s="330"/>
      <c r="O245" s="330">
        <v>92485.136554492579</v>
      </c>
      <c r="P245" s="330">
        <v>92618.108704320737</v>
      </c>
      <c r="Q245" s="330">
        <v>92742.184948177484</v>
      </c>
      <c r="R245" s="330">
        <v>92863.564705260767</v>
      </c>
      <c r="S245" s="330">
        <v>92984.94446234405</v>
      </c>
    </row>
    <row r="246" spans="5:19" s="293" customFormat="1" x14ac:dyDescent="0.25">
      <c r="F246" s="196" t="s">
        <v>929</v>
      </c>
      <c r="G246" s="196" t="s">
        <v>74</v>
      </c>
      <c r="H246" s="196" t="s">
        <v>145</v>
      </c>
      <c r="I246" s="66"/>
      <c r="J246" s="239"/>
      <c r="K246" s="234"/>
      <c r="L246" s="239"/>
      <c r="M246" s="239"/>
      <c r="N246" s="239"/>
      <c r="O246" s="239"/>
      <c r="P246" s="239"/>
      <c r="Q246" s="239"/>
      <c r="R246" s="239"/>
      <c r="S246" s="239"/>
    </row>
    <row r="247" spans="5:19" s="293" customFormat="1" x14ac:dyDescent="0.25">
      <c r="F247" s="196" t="s">
        <v>930</v>
      </c>
      <c r="G247" s="196" t="s">
        <v>74</v>
      </c>
      <c r="H247" s="196" t="s">
        <v>145</v>
      </c>
      <c r="I247" s="66"/>
      <c r="J247" s="233">
        <f t="shared" ref="J247:J250" si="24">CHOOSE(year_selection, L247,M247,N247,O247,P247,Q247,R247,S247)</f>
        <v>10434.139529663622</v>
      </c>
      <c r="K247" s="234"/>
      <c r="L247" s="330"/>
      <c r="M247" s="330"/>
      <c r="N247" s="330"/>
      <c r="O247" s="330">
        <v>10434.139529663622</v>
      </c>
      <c r="P247" s="330">
        <v>10510.443364914561</v>
      </c>
      <c r="Q247" s="330">
        <v>10608.324175913658</v>
      </c>
      <c r="R247" s="330">
        <v>10714.467987615595</v>
      </c>
      <c r="S247" s="330">
        <v>10820.611799317532</v>
      </c>
    </row>
    <row r="248" spans="5:19" s="293" customFormat="1" x14ac:dyDescent="0.25">
      <c r="F248" s="196" t="s">
        <v>931</v>
      </c>
      <c r="G248" s="196" t="s">
        <v>74</v>
      </c>
      <c r="H248" s="196" t="s">
        <v>145</v>
      </c>
      <c r="I248" s="66"/>
      <c r="J248" s="233">
        <f t="shared" si="24"/>
        <v>5.0576923076923084</v>
      </c>
      <c r="K248" s="234"/>
      <c r="L248" s="330"/>
      <c r="M248" s="330"/>
      <c r="N248" s="330"/>
      <c r="O248" s="330">
        <v>5.0576923076923084</v>
      </c>
      <c r="P248" s="330">
        <v>5.0576923076923084</v>
      </c>
      <c r="Q248" s="330">
        <v>5.0576923076923084</v>
      </c>
      <c r="R248" s="330">
        <v>5.0576923076923084</v>
      </c>
      <c r="S248" s="330">
        <v>5.0576923076923084</v>
      </c>
    </row>
    <row r="249" spans="5:19" s="293" customFormat="1" x14ac:dyDescent="0.25">
      <c r="F249" s="196" t="s">
        <v>932</v>
      </c>
      <c r="G249" s="196" t="s">
        <v>74</v>
      </c>
      <c r="H249" s="196" t="s">
        <v>145</v>
      </c>
      <c r="I249" s="66"/>
      <c r="J249" s="233">
        <f t="shared" si="24"/>
        <v>542.87534104429005</v>
      </c>
      <c r="K249" s="234"/>
      <c r="L249" s="330"/>
      <c r="M249" s="330"/>
      <c r="N249" s="330"/>
      <c r="O249" s="330">
        <v>542.87534104429005</v>
      </c>
      <c r="P249" s="330">
        <v>545.2806414729107</v>
      </c>
      <c r="Q249" s="330">
        <v>548.42229584215704</v>
      </c>
      <c r="R249" s="330">
        <v>551.8291655303849</v>
      </c>
      <c r="S249" s="330">
        <v>555.23603521861276</v>
      </c>
    </row>
    <row r="250" spans="5:19" s="293" customFormat="1" x14ac:dyDescent="0.25">
      <c r="F250" s="196" t="s">
        <v>933</v>
      </c>
      <c r="G250" s="196" t="s">
        <v>74</v>
      </c>
      <c r="H250" s="196" t="s">
        <v>145</v>
      </c>
      <c r="I250" s="66"/>
      <c r="J250" s="233">
        <f t="shared" si="24"/>
        <v>4004.5</v>
      </c>
      <c r="K250" s="234"/>
      <c r="L250" s="330"/>
      <c r="M250" s="330"/>
      <c r="N250" s="330"/>
      <c r="O250" s="330">
        <v>4004.5</v>
      </c>
      <c r="P250" s="330">
        <v>4064.5</v>
      </c>
      <c r="Q250" s="330">
        <v>4124.5</v>
      </c>
      <c r="R250" s="330">
        <v>4184.5</v>
      </c>
      <c r="S250" s="330">
        <v>4244.5</v>
      </c>
    </row>
    <row r="251" spans="5:19" s="293" customFormat="1" x14ac:dyDescent="0.25">
      <c r="F251" s="196" t="s">
        <v>934</v>
      </c>
      <c r="G251" s="196" t="s">
        <v>74</v>
      </c>
      <c r="H251" s="196" t="s">
        <v>145</v>
      </c>
      <c r="I251" s="66"/>
      <c r="J251" s="239"/>
      <c r="K251" s="234"/>
      <c r="L251" s="239"/>
      <c r="M251" s="239"/>
      <c r="N251" s="239"/>
      <c r="O251" s="239"/>
      <c r="P251" s="239"/>
      <c r="Q251" s="239"/>
      <c r="R251" s="239"/>
      <c r="S251" s="239"/>
    </row>
    <row r="252" spans="5:19" s="293" customFormat="1" x14ac:dyDescent="0.25">
      <c r="F252" s="196" t="s">
        <v>935</v>
      </c>
      <c r="G252" s="196" t="s">
        <v>74</v>
      </c>
      <c r="H252" s="196" t="s">
        <v>145</v>
      </c>
      <c r="I252" s="66"/>
      <c r="J252" s="239"/>
      <c r="K252" s="234"/>
      <c r="L252" s="239"/>
      <c r="M252" s="239"/>
      <c r="N252" s="239"/>
      <c r="O252" s="239"/>
      <c r="P252" s="239"/>
      <c r="Q252" s="239"/>
      <c r="R252" s="239"/>
      <c r="S252" s="239"/>
    </row>
    <row r="253" spans="5:19" s="293" customFormat="1" x14ac:dyDescent="0.25">
      <c r="F253" s="196" t="s">
        <v>936</v>
      </c>
      <c r="G253" s="196" t="s">
        <v>74</v>
      </c>
      <c r="H253" s="196" t="s">
        <v>145</v>
      </c>
      <c r="I253" s="66"/>
      <c r="J253" s="239"/>
      <c r="K253" s="234"/>
      <c r="L253" s="239"/>
      <c r="M253" s="239"/>
      <c r="N253" s="239"/>
      <c r="O253" s="239"/>
      <c r="P253" s="239"/>
      <c r="Q253" s="239"/>
      <c r="R253" s="239"/>
      <c r="S253" s="239"/>
    </row>
    <row r="254" spans="5:19" s="293" customFormat="1" x14ac:dyDescent="0.25">
      <c r="F254" s="196" t="s">
        <v>937</v>
      </c>
      <c r="G254" s="196" t="s">
        <v>74</v>
      </c>
      <c r="H254" s="196" t="s">
        <v>145</v>
      </c>
      <c r="I254" s="66"/>
      <c r="J254" s="239"/>
      <c r="K254" s="234"/>
      <c r="L254" s="239"/>
      <c r="M254" s="239"/>
      <c r="N254" s="239"/>
      <c r="O254" s="239"/>
      <c r="P254" s="239"/>
      <c r="Q254" s="239"/>
      <c r="R254" s="239"/>
      <c r="S254" s="239"/>
    </row>
    <row r="255" spans="5:19" s="293" customFormat="1" x14ac:dyDescent="0.25">
      <c r="F255" s="196" t="s">
        <v>938</v>
      </c>
      <c r="G255" s="196" t="s">
        <v>74</v>
      </c>
      <c r="H255" s="196" t="s">
        <v>145</v>
      </c>
      <c r="I255" s="66"/>
      <c r="J255" s="239"/>
      <c r="K255" s="234"/>
      <c r="L255" s="239"/>
      <c r="M255" s="239"/>
      <c r="N255" s="239"/>
      <c r="O255" s="239"/>
      <c r="P255" s="239"/>
      <c r="Q255" s="239"/>
      <c r="R255" s="239"/>
      <c r="S255" s="239"/>
    </row>
    <row r="256" spans="5:19" s="293" customFormat="1" x14ac:dyDescent="0.25">
      <c r="F256" s="196" t="s">
        <v>939</v>
      </c>
      <c r="G256" s="196" t="s">
        <v>74</v>
      </c>
      <c r="H256" s="196" t="s">
        <v>145</v>
      </c>
      <c r="I256" s="66"/>
      <c r="J256" s="239"/>
      <c r="K256" s="234"/>
      <c r="L256" s="239"/>
      <c r="M256" s="239"/>
      <c r="N256" s="239"/>
      <c r="O256" s="239"/>
      <c r="P256" s="239"/>
      <c r="Q256" s="239"/>
      <c r="R256" s="239"/>
      <c r="S256" s="239"/>
    </row>
    <row r="257" spans="5:19" s="293" customFormat="1" x14ac:dyDescent="0.25">
      <c r="F257" s="196" t="s">
        <v>940</v>
      </c>
      <c r="G257" s="196" t="s">
        <v>74</v>
      </c>
      <c r="H257" s="196" t="s">
        <v>145</v>
      </c>
      <c r="I257" s="66"/>
      <c r="J257" s="239"/>
      <c r="K257" s="234"/>
      <c r="L257" s="239"/>
      <c r="M257" s="239"/>
      <c r="N257" s="239"/>
      <c r="O257" s="239"/>
      <c r="P257" s="239"/>
      <c r="Q257" s="239"/>
      <c r="R257" s="239"/>
      <c r="S257" s="239"/>
    </row>
    <row r="258" spans="5:19" s="293" customFormat="1" x14ac:dyDescent="0.25">
      <c r="F258" s="93" t="s">
        <v>941</v>
      </c>
      <c r="G258" s="93" t="s">
        <v>74</v>
      </c>
      <c r="H258" s="93" t="s">
        <v>145</v>
      </c>
      <c r="I258" s="145"/>
      <c r="J258" s="240"/>
      <c r="K258" s="236"/>
      <c r="L258" s="240"/>
      <c r="M258" s="240"/>
      <c r="N258" s="240"/>
      <c r="O258" s="240"/>
      <c r="P258" s="240"/>
      <c r="Q258" s="240"/>
      <c r="R258" s="240"/>
      <c r="S258" s="240"/>
    </row>
    <row r="259" spans="5:19" s="293" customFormat="1" x14ac:dyDescent="0.25">
      <c r="I259" s="111"/>
      <c r="J259" s="237"/>
      <c r="K259" s="237"/>
      <c r="L259" s="237"/>
      <c r="M259" s="237"/>
      <c r="N259" s="237"/>
      <c r="O259" s="237"/>
      <c r="P259" s="237"/>
      <c r="Q259" s="237"/>
      <c r="R259" s="237"/>
      <c r="S259" s="237"/>
    </row>
    <row r="260" spans="5:19" s="293" customFormat="1" x14ac:dyDescent="0.25">
      <c r="E260" s="144" t="s">
        <v>202</v>
      </c>
      <c r="I260" s="111"/>
      <c r="J260" s="237"/>
      <c r="K260" s="237"/>
      <c r="L260" s="237"/>
      <c r="M260" s="237"/>
      <c r="N260" s="237"/>
      <c r="O260" s="237"/>
      <c r="P260" s="237"/>
      <c r="Q260" s="237"/>
      <c r="R260" s="237"/>
      <c r="S260" s="237"/>
    </row>
    <row r="261" spans="5:19" s="293" customFormat="1" x14ac:dyDescent="0.25">
      <c r="F261" s="91" t="s">
        <v>926</v>
      </c>
      <c r="G261" s="91" t="s">
        <v>169</v>
      </c>
      <c r="H261" s="91" t="s">
        <v>145</v>
      </c>
      <c r="I261" s="112"/>
      <c r="J261" s="238"/>
      <c r="K261" s="232"/>
      <c r="L261" s="238"/>
      <c r="M261" s="238"/>
      <c r="N261" s="238"/>
      <c r="O261" s="238"/>
      <c r="P261" s="238"/>
      <c r="Q261" s="238"/>
      <c r="R261" s="238"/>
      <c r="S261" s="238"/>
    </row>
    <row r="262" spans="5:19" s="293" customFormat="1" x14ac:dyDescent="0.25">
      <c r="F262" s="196" t="s">
        <v>927</v>
      </c>
      <c r="G262" s="196" t="s">
        <v>169</v>
      </c>
      <c r="H262" s="196" t="s">
        <v>145</v>
      </c>
      <c r="I262" s="66"/>
      <c r="J262" s="239"/>
      <c r="K262" s="234"/>
      <c r="L262" s="239"/>
      <c r="M262" s="239"/>
      <c r="N262" s="239"/>
      <c r="O262" s="239"/>
      <c r="P262" s="239"/>
      <c r="Q262" s="239"/>
      <c r="R262" s="239"/>
      <c r="S262" s="239"/>
    </row>
    <row r="263" spans="5:19" s="293" customFormat="1" x14ac:dyDescent="0.25">
      <c r="F263" s="196" t="s">
        <v>928</v>
      </c>
      <c r="G263" s="196" t="s">
        <v>169</v>
      </c>
      <c r="H263" s="196" t="s">
        <v>145</v>
      </c>
      <c r="I263" s="66"/>
      <c r="J263" s="239"/>
      <c r="K263" s="234"/>
      <c r="L263" s="239"/>
      <c r="M263" s="239"/>
      <c r="N263" s="239"/>
      <c r="O263" s="239"/>
      <c r="P263" s="239"/>
      <c r="Q263" s="239"/>
      <c r="R263" s="239"/>
      <c r="S263" s="239"/>
    </row>
    <row r="264" spans="5:19" s="293" customFormat="1" x14ac:dyDescent="0.25">
      <c r="F264" s="196" t="s">
        <v>929</v>
      </c>
      <c r="G264" s="196" t="s">
        <v>169</v>
      </c>
      <c r="H264" s="196" t="s">
        <v>145</v>
      </c>
      <c r="I264" s="66"/>
      <c r="J264" s="239"/>
      <c r="K264" s="234"/>
      <c r="L264" s="239"/>
      <c r="M264" s="239"/>
      <c r="N264" s="239"/>
      <c r="O264" s="239"/>
      <c r="P264" s="239"/>
      <c r="Q264" s="239"/>
      <c r="R264" s="239"/>
      <c r="S264" s="239"/>
    </row>
    <row r="265" spans="5:19" s="293" customFormat="1" x14ac:dyDescent="0.25">
      <c r="F265" s="196" t="s">
        <v>930</v>
      </c>
      <c r="G265" s="196" t="s">
        <v>169</v>
      </c>
      <c r="H265" s="196" t="s">
        <v>145</v>
      </c>
      <c r="I265" s="66"/>
      <c r="J265" s="233">
        <f t="shared" ref="J265:J267" si="25">CHOOSE(year_selection, L265,M265,N265,O265,P265,Q265,R265,S265)</f>
        <v>624520.53649529349</v>
      </c>
      <c r="K265" s="234"/>
      <c r="L265" s="330"/>
      <c r="M265" s="330"/>
      <c r="N265" s="330"/>
      <c r="O265" s="330">
        <v>624520.53649529349</v>
      </c>
      <c r="P265" s="330">
        <v>634946.12619601865</v>
      </c>
      <c r="Q265" s="330">
        <v>634946.12619601865</v>
      </c>
      <c r="R265" s="330">
        <v>641299.21278604341</v>
      </c>
      <c r="S265" s="330">
        <v>647652.29937606829</v>
      </c>
    </row>
    <row r="266" spans="5:19" s="293" customFormat="1" x14ac:dyDescent="0.25">
      <c r="F266" s="196" t="s">
        <v>931</v>
      </c>
      <c r="G266" s="196" t="s">
        <v>169</v>
      </c>
      <c r="H266" s="196" t="s">
        <v>145</v>
      </c>
      <c r="I266" s="66"/>
      <c r="J266" s="233">
        <f t="shared" si="25"/>
        <v>489.98849305434084</v>
      </c>
      <c r="K266" s="234"/>
      <c r="L266" s="330"/>
      <c r="M266" s="330"/>
      <c r="N266" s="330"/>
      <c r="O266" s="330">
        <v>489.98849305434084</v>
      </c>
      <c r="P266" s="330">
        <v>489.85827675948951</v>
      </c>
      <c r="Q266" s="330">
        <v>489.85827675948951</v>
      </c>
      <c r="R266" s="330">
        <v>489.85686299731208</v>
      </c>
      <c r="S266" s="330">
        <v>489.85544923513464</v>
      </c>
    </row>
    <row r="267" spans="5:19" s="293" customFormat="1" x14ac:dyDescent="0.25">
      <c r="F267" s="196" t="s">
        <v>932</v>
      </c>
      <c r="G267" s="196" t="s">
        <v>169</v>
      </c>
      <c r="H267" s="196" t="s">
        <v>145</v>
      </c>
      <c r="I267" s="66"/>
      <c r="J267" s="233">
        <f t="shared" si="25"/>
        <v>136200.89602449993</v>
      </c>
      <c r="K267" s="234"/>
      <c r="L267" s="330"/>
      <c r="M267" s="330"/>
      <c r="N267" s="330"/>
      <c r="O267" s="330">
        <v>136200.89602449993</v>
      </c>
      <c r="P267" s="330">
        <v>137594.73219964572</v>
      </c>
      <c r="Q267" s="330">
        <v>137594.73219964572</v>
      </c>
      <c r="R267" s="330">
        <v>138449.4907871148</v>
      </c>
      <c r="S267" s="330">
        <v>139304.24937458392</v>
      </c>
    </row>
    <row r="268" spans="5:19" s="293" customFormat="1" x14ac:dyDescent="0.25">
      <c r="F268" s="196" t="s">
        <v>933</v>
      </c>
      <c r="G268" s="196" t="s">
        <v>169</v>
      </c>
      <c r="H268" s="196" t="s">
        <v>145</v>
      </c>
      <c r="I268" s="66"/>
      <c r="J268" s="239"/>
      <c r="K268" s="234"/>
      <c r="L268" s="239"/>
      <c r="M268" s="239"/>
      <c r="N268" s="239"/>
      <c r="O268" s="239"/>
      <c r="P268" s="239"/>
      <c r="Q268" s="239"/>
      <c r="R268" s="239"/>
      <c r="S268" s="239"/>
    </row>
    <row r="269" spans="5:19" s="293" customFormat="1" x14ac:dyDescent="0.25">
      <c r="F269" s="196" t="s">
        <v>934</v>
      </c>
      <c r="G269" s="196" t="s">
        <v>169</v>
      </c>
      <c r="H269" s="196" t="s">
        <v>145</v>
      </c>
      <c r="I269" s="66"/>
      <c r="J269" s="239"/>
      <c r="K269" s="234"/>
      <c r="L269" s="239"/>
      <c r="M269" s="239"/>
      <c r="N269" s="239"/>
      <c r="O269" s="239"/>
      <c r="P269" s="239"/>
      <c r="Q269" s="239"/>
      <c r="R269" s="239"/>
      <c r="S269" s="239"/>
    </row>
    <row r="270" spans="5:19" s="293" customFormat="1" x14ac:dyDescent="0.25">
      <c r="F270" s="196" t="s">
        <v>935</v>
      </c>
      <c r="G270" s="196" t="s">
        <v>169</v>
      </c>
      <c r="H270" s="196" t="s">
        <v>145</v>
      </c>
      <c r="I270" s="66"/>
      <c r="J270" s="239"/>
      <c r="K270" s="234"/>
      <c r="L270" s="239"/>
      <c r="M270" s="239"/>
      <c r="N270" s="239"/>
      <c r="O270" s="239"/>
      <c r="P270" s="239"/>
      <c r="Q270" s="239"/>
      <c r="R270" s="239"/>
      <c r="S270" s="239"/>
    </row>
    <row r="271" spans="5:19" s="293" customFormat="1" x14ac:dyDescent="0.25">
      <c r="F271" s="196" t="s">
        <v>936</v>
      </c>
      <c r="G271" s="196" t="s">
        <v>169</v>
      </c>
      <c r="H271" s="196" t="s">
        <v>145</v>
      </c>
      <c r="I271" s="66"/>
      <c r="J271" s="239"/>
      <c r="K271" s="234"/>
      <c r="L271" s="239"/>
      <c r="M271" s="239"/>
      <c r="N271" s="239"/>
      <c r="O271" s="239"/>
      <c r="P271" s="239"/>
      <c r="Q271" s="239"/>
      <c r="R271" s="239"/>
      <c r="S271" s="239"/>
    </row>
    <row r="272" spans="5:19" s="293" customFormat="1" x14ac:dyDescent="0.25">
      <c r="F272" s="196" t="s">
        <v>937</v>
      </c>
      <c r="G272" s="196" t="s">
        <v>169</v>
      </c>
      <c r="H272" s="196" t="s">
        <v>145</v>
      </c>
      <c r="I272" s="66"/>
      <c r="J272" s="239"/>
      <c r="K272" s="234"/>
      <c r="L272" s="239"/>
      <c r="M272" s="239"/>
      <c r="N272" s="239"/>
      <c r="O272" s="239"/>
      <c r="P272" s="239"/>
      <c r="Q272" s="239"/>
      <c r="R272" s="239"/>
      <c r="S272" s="239"/>
    </row>
    <row r="273" spans="5:19" s="293" customFormat="1" x14ac:dyDescent="0.25">
      <c r="F273" s="196" t="s">
        <v>938</v>
      </c>
      <c r="G273" s="196" t="s">
        <v>169</v>
      </c>
      <c r="H273" s="196" t="s">
        <v>145</v>
      </c>
      <c r="I273" s="66"/>
      <c r="J273" s="239"/>
      <c r="K273" s="234"/>
      <c r="L273" s="239"/>
      <c r="M273" s="239"/>
      <c r="N273" s="239"/>
      <c r="O273" s="239"/>
      <c r="P273" s="239"/>
      <c r="Q273" s="239"/>
      <c r="R273" s="239"/>
      <c r="S273" s="239"/>
    </row>
    <row r="274" spans="5:19" s="293" customFormat="1" x14ac:dyDescent="0.25">
      <c r="F274" s="196" t="s">
        <v>939</v>
      </c>
      <c r="G274" s="196" t="s">
        <v>169</v>
      </c>
      <c r="H274" s="196" t="s">
        <v>145</v>
      </c>
      <c r="I274" s="66"/>
      <c r="J274" s="239"/>
      <c r="K274" s="234"/>
      <c r="L274" s="239"/>
      <c r="M274" s="239"/>
      <c r="N274" s="239"/>
      <c r="O274" s="239"/>
      <c r="P274" s="239"/>
      <c r="Q274" s="239"/>
      <c r="R274" s="239"/>
      <c r="S274" s="239"/>
    </row>
    <row r="275" spans="5:19" s="293" customFormat="1" x14ac:dyDescent="0.25">
      <c r="F275" s="196" t="s">
        <v>940</v>
      </c>
      <c r="G275" s="196" t="s">
        <v>169</v>
      </c>
      <c r="H275" s="196" t="s">
        <v>145</v>
      </c>
      <c r="I275" s="66"/>
      <c r="J275" s="239"/>
      <c r="K275" s="234"/>
      <c r="L275" s="239"/>
      <c r="M275" s="239"/>
      <c r="N275" s="239"/>
      <c r="O275" s="239"/>
      <c r="P275" s="239"/>
      <c r="Q275" s="239"/>
      <c r="R275" s="239"/>
      <c r="S275" s="239"/>
    </row>
    <row r="276" spans="5:19" s="293" customFormat="1" x14ac:dyDescent="0.25">
      <c r="F276" s="93" t="s">
        <v>941</v>
      </c>
      <c r="G276" s="93" t="s">
        <v>169</v>
      </c>
      <c r="H276" s="93" t="s">
        <v>145</v>
      </c>
      <c r="I276" s="145"/>
      <c r="J276" s="240"/>
      <c r="K276" s="236"/>
      <c r="L276" s="240"/>
      <c r="M276" s="240"/>
      <c r="N276" s="240"/>
      <c r="O276" s="240"/>
      <c r="P276" s="240"/>
      <c r="Q276" s="240"/>
      <c r="R276" s="240"/>
      <c r="S276" s="240"/>
    </row>
    <row r="277" spans="5:19" s="293" customFormat="1" x14ac:dyDescent="0.25">
      <c r="I277" s="111"/>
      <c r="J277" s="237"/>
      <c r="K277" s="237"/>
      <c r="L277" s="237"/>
      <c r="M277" s="237"/>
      <c r="N277" s="237"/>
      <c r="O277" s="237"/>
      <c r="P277" s="237"/>
      <c r="Q277" s="237"/>
      <c r="R277" s="237"/>
      <c r="S277" s="237"/>
    </row>
    <row r="278" spans="5:19" s="293" customFormat="1" x14ac:dyDescent="0.25">
      <c r="E278" s="144" t="s">
        <v>203</v>
      </c>
      <c r="I278" s="111"/>
      <c r="J278" s="237"/>
      <c r="K278" s="237"/>
      <c r="L278" s="237"/>
      <c r="M278" s="237"/>
      <c r="N278" s="237"/>
      <c r="O278" s="237"/>
      <c r="P278" s="237"/>
      <c r="Q278" s="237"/>
      <c r="R278" s="237"/>
      <c r="S278" s="237"/>
    </row>
    <row r="279" spans="5:19" s="293" customFormat="1" x14ac:dyDescent="0.25">
      <c r="F279" s="91" t="s">
        <v>926</v>
      </c>
      <c r="G279" s="91" t="s">
        <v>169</v>
      </c>
      <c r="H279" s="91" t="s">
        <v>145</v>
      </c>
      <c r="I279" s="112"/>
      <c r="J279" s="238"/>
      <c r="K279" s="232"/>
      <c r="L279" s="238"/>
      <c r="M279" s="238"/>
      <c r="N279" s="238"/>
      <c r="O279" s="238"/>
      <c r="P279" s="238"/>
      <c r="Q279" s="238"/>
      <c r="R279" s="238"/>
      <c r="S279" s="238"/>
    </row>
    <row r="280" spans="5:19" s="293" customFormat="1" x14ac:dyDescent="0.25">
      <c r="F280" s="196" t="s">
        <v>927</v>
      </c>
      <c r="G280" s="196" t="s">
        <v>169</v>
      </c>
      <c r="H280" s="196" t="s">
        <v>145</v>
      </c>
      <c r="I280" s="66"/>
      <c r="J280" s="239"/>
      <c r="K280" s="234"/>
      <c r="L280" s="239"/>
      <c r="M280" s="239"/>
      <c r="N280" s="239"/>
      <c r="O280" s="239"/>
      <c r="P280" s="239"/>
      <c r="Q280" s="239"/>
      <c r="R280" s="239"/>
      <c r="S280" s="239"/>
    </row>
    <row r="281" spans="5:19" s="293" customFormat="1" x14ac:dyDescent="0.25">
      <c r="F281" s="196" t="s">
        <v>928</v>
      </c>
      <c r="G281" s="196" t="s">
        <v>169</v>
      </c>
      <c r="H281" s="196" t="s">
        <v>145</v>
      </c>
      <c r="I281" s="66"/>
      <c r="J281" s="239"/>
      <c r="K281" s="234"/>
      <c r="L281" s="239"/>
      <c r="M281" s="239"/>
      <c r="N281" s="239"/>
      <c r="O281" s="239"/>
      <c r="P281" s="239"/>
      <c r="Q281" s="239"/>
      <c r="R281" s="239"/>
      <c r="S281" s="239"/>
    </row>
    <row r="282" spans="5:19" s="293" customFormat="1" x14ac:dyDescent="0.25">
      <c r="F282" s="196" t="s">
        <v>929</v>
      </c>
      <c r="G282" s="196" t="s">
        <v>169</v>
      </c>
      <c r="H282" s="196" t="s">
        <v>145</v>
      </c>
      <c r="I282" s="66"/>
      <c r="J282" s="239"/>
      <c r="K282" s="234"/>
      <c r="L282" s="239"/>
      <c r="M282" s="239"/>
      <c r="N282" s="239"/>
      <c r="O282" s="239"/>
      <c r="P282" s="239"/>
      <c r="Q282" s="239"/>
      <c r="R282" s="239"/>
      <c r="S282" s="239"/>
    </row>
    <row r="283" spans="5:19" s="293" customFormat="1" x14ac:dyDescent="0.25">
      <c r="F283" s="196" t="s">
        <v>930</v>
      </c>
      <c r="G283" s="196" t="s">
        <v>169</v>
      </c>
      <c r="H283" s="196" t="s">
        <v>145</v>
      </c>
      <c r="I283" s="66"/>
      <c r="J283" s="233">
        <f t="shared" ref="J283:J285" si="26">CHOOSE(year_selection, L283,M283,N283,O283,P283,Q283,R283,S283)</f>
        <v>8515.6852545097026</v>
      </c>
      <c r="K283" s="234"/>
      <c r="L283" s="330"/>
      <c r="M283" s="330"/>
      <c r="N283" s="330"/>
      <c r="O283" s="330">
        <v>8515.6852545097026</v>
      </c>
      <c r="P283" s="330">
        <v>8657.8439751536389</v>
      </c>
      <c r="Q283" s="330">
        <v>8657.8439751536389</v>
      </c>
      <c r="R283" s="330">
        <v>8744.4718482719563</v>
      </c>
      <c r="S283" s="330">
        <v>8831.0997213902738</v>
      </c>
    </row>
    <row r="284" spans="5:19" s="293" customFormat="1" x14ac:dyDescent="0.25">
      <c r="F284" s="196" t="s">
        <v>931</v>
      </c>
      <c r="G284" s="196" t="s">
        <v>169</v>
      </c>
      <c r="H284" s="196" t="s">
        <v>145</v>
      </c>
      <c r="I284" s="66"/>
      <c r="J284" s="233">
        <f t="shared" si="26"/>
        <v>3.3466469995676156</v>
      </c>
      <c r="K284" s="234"/>
      <c r="L284" s="330"/>
      <c r="M284" s="330"/>
      <c r="N284" s="330"/>
      <c r="O284" s="330">
        <v>3.3466469995676156</v>
      </c>
      <c r="P284" s="330">
        <v>3.3457576154726087</v>
      </c>
      <c r="Q284" s="330">
        <v>3.3457576154726087</v>
      </c>
      <c r="R284" s="330">
        <v>3.3457479594030954</v>
      </c>
      <c r="S284" s="330">
        <v>3.3457383033335812</v>
      </c>
    </row>
    <row r="285" spans="5:19" s="293" customFormat="1" x14ac:dyDescent="0.25">
      <c r="F285" s="196" t="s">
        <v>932</v>
      </c>
      <c r="G285" s="196" t="s">
        <v>169</v>
      </c>
      <c r="H285" s="196" t="s">
        <v>145</v>
      </c>
      <c r="I285" s="66"/>
      <c r="J285" s="233">
        <f t="shared" si="26"/>
        <v>1633.3227080899942</v>
      </c>
      <c r="K285" s="234"/>
      <c r="L285" s="330"/>
      <c r="M285" s="330"/>
      <c r="N285" s="330"/>
      <c r="O285" s="330">
        <v>1633.3227080899942</v>
      </c>
      <c r="P285" s="330">
        <v>1650.037607497216</v>
      </c>
      <c r="Q285" s="330">
        <v>1650.037607497216</v>
      </c>
      <c r="R285" s="330">
        <v>1660.2878822868695</v>
      </c>
      <c r="S285" s="330">
        <v>1670.538157076523</v>
      </c>
    </row>
    <row r="286" spans="5:19" s="293" customFormat="1" x14ac:dyDescent="0.25">
      <c r="F286" s="196" t="s">
        <v>933</v>
      </c>
      <c r="G286" s="196" t="s">
        <v>169</v>
      </c>
      <c r="H286" s="196" t="s">
        <v>145</v>
      </c>
      <c r="I286" s="66"/>
      <c r="J286" s="239"/>
      <c r="K286" s="234"/>
      <c r="L286" s="239"/>
      <c r="M286" s="239"/>
      <c r="N286" s="239"/>
      <c r="O286" s="239"/>
      <c r="P286" s="239"/>
      <c r="Q286" s="239"/>
      <c r="R286" s="239"/>
      <c r="S286" s="239"/>
    </row>
    <row r="287" spans="5:19" s="293" customFormat="1" x14ac:dyDescent="0.25">
      <c r="F287" s="196" t="s">
        <v>934</v>
      </c>
      <c r="G287" s="196" t="s">
        <v>169</v>
      </c>
      <c r="H287" s="196" t="s">
        <v>145</v>
      </c>
      <c r="I287" s="66"/>
      <c r="J287" s="239"/>
      <c r="K287" s="234"/>
      <c r="L287" s="239"/>
      <c r="M287" s="239"/>
      <c r="N287" s="239"/>
      <c r="O287" s="239"/>
      <c r="P287" s="239"/>
      <c r="Q287" s="239"/>
      <c r="R287" s="239"/>
      <c r="S287" s="239"/>
    </row>
    <row r="288" spans="5:19" s="293" customFormat="1" x14ac:dyDescent="0.25">
      <c r="F288" s="196" t="s">
        <v>935</v>
      </c>
      <c r="G288" s="196" t="s">
        <v>169</v>
      </c>
      <c r="H288" s="196" t="s">
        <v>145</v>
      </c>
      <c r="I288" s="66"/>
      <c r="J288" s="239"/>
      <c r="K288" s="234"/>
      <c r="L288" s="239"/>
      <c r="M288" s="239"/>
      <c r="N288" s="239"/>
      <c r="O288" s="239"/>
      <c r="P288" s="239"/>
      <c r="Q288" s="239"/>
      <c r="R288" s="239"/>
      <c r="S288" s="239"/>
    </row>
    <row r="289" spans="5:19" s="293" customFormat="1" x14ac:dyDescent="0.25">
      <c r="F289" s="196" t="s">
        <v>936</v>
      </c>
      <c r="G289" s="196" t="s">
        <v>169</v>
      </c>
      <c r="H289" s="196" t="s">
        <v>145</v>
      </c>
      <c r="I289" s="66"/>
      <c r="J289" s="239"/>
      <c r="K289" s="234"/>
      <c r="L289" s="239"/>
      <c r="M289" s="239"/>
      <c r="N289" s="239"/>
      <c r="O289" s="239"/>
      <c r="P289" s="239"/>
      <c r="Q289" s="239"/>
      <c r="R289" s="239"/>
      <c r="S289" s="239"/>
    </row>
    <row r="290" spans="5:19" s="293" customFormat="1" x14ac:dyDescent="0.25">
      <c r="F290" s="196" t="s">
        <v>937</v>
      </c>
      <c r="G290" s="196" t="s">
        <v>169</v>
      </c>
      <c r="H290" s="196" t="s">
        <v>145</v>
      </c>
      <c r="I290" s="66"/>
      <c r="J290" s="239"/>
      <c r="K290" s="234"/>
      <c r="L290" s="239"/>
      <c r="M290" s="239"/>
      <c r="N290" s="239"/>
      <c r="O290" s="239"/>
      <c r="P290" s="239"/>
      <c r="Q290" s="239"/>
      <c r="R290" s="239"/>
      <c r="S290" s="239"/>
    </row>
    <row r="291" spans="5:19" s="293" customFormat="1" x14ac:dyDescent="0.25">
      <c r="F291" s="196" t="s">
        <v>938</v>
      </c>
      <c r="G291" s="196" t="s">
        <v>169</v>
      </c>
      <c r="H291" s="196" t="s">
        <v>145</v>
      </c>
      <c r="I291" s="66"/>
      <c r="J291" s="239"/>
      <c r="K291" s="234"/>
      <c r="L291" s="239"/>
      <c r="M291" s="239"/>
      <c r="N291" s="239"/>
      <c r="O291" s="239"/>
      <c r="P291" s="239"/>
      <c r="Q291" s="239"/>
      <c r="R291" s="239"/>
      <c r="S291" s="239"/>
    </row>
    <row r="292" spans="5:19" s="293" customFormat="1" x14ac:dyDescent="0.25">
      <c r="F292" s="196" t="s">
        <v>939</v>
      </c>
      <c r="G292" s="196" t="s">
        <v>169</v>
      </c>
      <c r="H292" s="196" t="s">
        <v>145</v>
      </c>
      <c r="I292" s="66"/>
      <c r="J292" s="239"/>
      <c r="K292" s="234"/>
      <c r="L292" s="239"/>
      <c r="M292" s="239"/>
      <c r="N292" s="239"/>
      <c r="O292" s="239"/>
      <c r="P292" s="239"/>
      <c r="Q292" s="239"/>
      <c r="R292" s="239"/>
      <c r="S292" s="239"/>
    </row>
    <row r="293" spans="5:19" s="293" customFormat="1" x14ac:dyDescent="0.25">
      <c r="F293" s="196" t="s">
        <v>940</v>
      </c>
      <c r="G293" s="196" t="s">
        <v>169</v>
      </c>
      <c r="H293" s="196" t="s">
        <v>145</v>
      </c>
      <c r="I293" s="66"/>
      <c r="J293" s="239"/>
      <c r="K293" s="234"/>
      <c r="L293" s="239"/>
      <c r="M293" s="239"/>
      <c r="N293" s="239"/>
      <c r="O293" s="239"/>
      <c r="P293" s="239"/>
      <c r="Q293" s="239"/>
      <c r="R293" s="239"/>
      <c r="S293" s="239"/>
    </row>
    <row r="294" spans="5:19" s="293" customFormat="1" x14ac:dyDescent="0.25">
      <c r="F294" s="93" t="s">
        <v>941</v>
      </c>
      <c r="G294" s="93" t="s">
        <v>169</v>
      </c>
      <c r="H294" s="93" t="s">
        <v>145</v>
      </c>
      <c r="I294" s="145"/>
      <c r="J294" s="240"/>
      <c r="K294" s="236"/>
      <c r="L294" s="240"/>
      <c r="M294" s="240"/>
      <c r="N294" s="240"/>
      <c r="O294" s="240"/>
      <c r="P294" s="240"/>
      <c r="Q294" s="240"/>
      <c r="R294" s="240"/>
      <c r="S294" s="240"/>
    </row>
    <row r="295" spans="5:19" s="293" customFormat="1" x14ac:dyDescent="0.25">
      <c r="I295" s="111"/>
      <c r="J295" s="237"/>
      <c r="K295" s="237"/>
      <c r="L295" s="237"/>
      <c r="M295" s="237"/>
      <c r="N295" s="237"/>
      <c r="O295" s="237"/>
      <c r="P295" s="237"/>
      <c r="Q295" s="237"/>
      <c r="R295" s="237"/>
      <c r="S295" s="237"/>
    </row>
    <row r="296" spans="5:19" s="293" customFormat="1" x14ac:dyDescent="0.25">
      <c r="E296" s="144" t="s">
        <v>204</v>
      </c>
      <c r="I296" s="111"/>
      <c r="J296" s="237"/>
      <c r="K296" s="237"/>
      <c r="L296" s="237"/>
      <c r="M296" s="237"/>
      <c r="N296" s="237"/>
      <c r="O296" s="237"/>
      <c r="P296" s="237"/>
      <c r="Q296" s="237"/>
      <c r="R296" s="237"/>
      <c r="S296" s="237"/>
    </row>
    <row r="297" spans="5:19" s="293" customFormat="1" x14ac:dyDescent="0.25">
      <c r="F297" s="91" t="s">
        <v>926</v>
      </c>
      <c r="G297" s="91" t="s">
        <v>170</v>
      </c>
      <c r="H297" s="91" t="s">
        <v>145</v>
      </c>
      <c r="I297" s="112"/>
      <c r="J297" s="238"/>
      <c r="K297" s="232"/>
      <c r="L297" s="238"/>
      <c r="M297" s="238"/>
      <c r="N297" s="238"/>
      <c r="O297" s="238"/>
      <c r="P297" s="238"/>
      <c r="Q297" s="238"/>
      <c r="R297" s="238"/>
      <c r="S297" s="238"/>
    </row>
    <row r="298" spans="5:19" s="293" customFormat="1" x14ac:dyDescent="0.25">
      <c r="F298" s="196" t="s">
        <v>927</v>
      </c>
      <c r="G298" s="196" t="s">
        <v>170</v>
      </c>
      <c r="H298" s="196" t="s">
        <v>145</v>
      </c>
      <c r="I298" s="66"/>
      <c r="J298" s="239"/>
      <c r="K298" s="234"/>
      <c r="L298" s="239"/>
      <c r="M298" s="239"/>
      <c r="N298" s="239"/>
      <c r="O298" s="239"/>
      <c r="P298" s="239"/>
      <c r="Q298" s="239"/>
      <c r="R298" s="239"/>
      <c r="S298" s="239"/>
    </row>
    <row r="299" spans="5:19" s="293" customFormat="1" x14ac:dyDescent="0.25">
      <c r="F299" s="196" t="s">
        <v>928</v>
      </c>
      <c r="G299" s="196" t="s">
        <v>170</v>
      </c>
      <c r="H299" s="196" t="s">
        <v>145</v>
      </c>
      <c r="I299" s="66"/>
      <c r="J299" s="239"/>
      <c r="K299" s="234"/>
      <c r="L299" s="239"/>
      <c r="M299" s="239"/>
      <c r="N299" s="239"/>
      <c r="O299" s="239"/>
      <c r="P299" s="239"/>
      <c r="Q299" s="239"/>
      <c r="R299" s="239"/>
      <c r="S299" s="239"/>
    </row>
    <row r="300" spans="5:19" s="293" customFormat="1" x14ac:dyDescent="0.25">
      <c r="F300" s="196" t="s">
        <v>929</v>
      </c>
      <c r="G300" s="196" t="s">
        <v>170</v>
      </c>
      <c r="H300" s="196" t="s">
        <v>145</v>
      </c>
      <c r="I300" s="66"/>
      <c r="J300" s="239"/>
      <c r="K300" s="234"/>
      <c r="L300" s="239"/>
      <c r="M300" s="239"/>
      <c r="N300" s="239"/>
      <c r="O300" s="239"/>
      <c r="P300" s="239"/>
      <c r="Q300" s="239"/>
      <c r="R300" s="239"/>
      <c r="S300" s="239"/>
    </row>
    <row r="301" spans="5:19" s="293" customFormat="1" x14ac:dyDescent="0.25">
      <c r="F301" s="196" t="s">
        <v>930</v>
      </c>
      <c r="G301" s="196" t="s">
        <v>170</v>
      </c>
      <c r="H301" s="196" t="s">
        <v>145</v>
      </c>
      <c r="I301" s="66"/>
      <c r="J301" s="233">
        <f t="shared" ref="J301:J303" si="27">CHOOSE(year_selection, L301,M301,N301,O301,P301,Q301,R301,S301)</f>
        <v>79040.982001108074</v>
      </c>
      <c r="K301" s="234"/>
      <c r="L301" s="330"/>
      <c r="M301" s="330"/>
      <c r="N301" s="330"/>
      <c r="O301" s="330">
        <v>79040.982001108074</v>
      </c>
      <c r="P301" s="330">
        <v>75416.789114389772</v>
      </c>
      <c r="Q301" s="330">
        <v>75416.789114389772</v>
      </c>
      <c r="R301" s="330">
        <v>71792.596227671456</v>
      </c>
      <c r="S301" s="330">
        <v>68168.403340953155</v>
      </c>
    </row>
    <row r="302" spans="5:19" s="293" customFormat="1" x14ac:dyDescent="0.25">
      <c r="F302" s="196" t="s">
        <v>931</v>
      </c>
      <c r="G302" s="196" t="s">
        <v>170</v>
      </c>
      <c r="H302" s="196" t="s">
        <v>145</v>
      </c>
      <c r="I302" s="66"/>
      <c r="J302" s="233">
        <f t="shared" si="27"/>
        <v>98.050691999600616</v>
      </c>
      <c r="K302" s="234"/>
      <c r="L302" s="330"/>
      <c r="M302" s="330"/>
      <c r="N302" s="330"/>
      <c r="O302" s="330">
        <v>98.050691999600616</v>
      </c>
      <c r="P302" s="330">
        <v>97.389855977415905</v>
      </c>
      <c r="Q302" s="330">
        <v>97.389855977415905</v>
      </c>
      <c r="R302" s="330">
        <v>96.72901995523118</v>
      </c>
      <c r="S302" s="330">
        <v>96.06818393304647</v>
      </c>
    </row>
    <row r="303" spans="5:19" s="293" customFormat="1" x14ac:dyDescent="0.25">
      <c r="F303" s="196" t="s">
        <v>932</v>
      </c>
      <c r="G303" s="196" t="s">
        <v>170</v>
      </c>
      <c r="H303" s="196" t="s">
        <v>145</v>
      </c>
      <c r="I303" s="66"/>
      <c r="J303" s="233">
        <f t="shared" si="27"/>
        <v>21119.515591500556</v>
      </c>
      <c r="K303" s="234"/>
      <c r="L303" s="330"/>
      <c r="M303" s="330"/>
      <c r="N303" s="330"/>
      <c r="O303" s="330">
        <v>21119.515591500556</v>
      </c>
      <c r="P303" s="330">
        <v>20904.055639079546</v>
      </c>
      <c r="Q303" s="330">
        <v>20904.055639079546</v>
      </c>
      <c r="R303" s="330">
        <v>20688.595686658544</v>
      </c>
      <c r="S303" s="330">
        <v>20473.135734237534</v>
      </c>
    </row>
    <row r="304" spans="5:19" s="293" customFormat="1" x14ac:dyDescent="0.25">
      <c r="F304" s="196" t="s">
        <v>933</v>
      </c>
      <c r="G304" s="196" t="s">
        <v>170</v>
      </c>
      <c r="H304" s="196" t="s">
        <v>145</v>
      </c>
      <c r="I304" s="66"/>
      <c r="J304" s="239"/>
      <c r="K304" s="234"/>
      <c r="L304" s="239"/>
      <c r="M304" s="239"/>
      <c r="N304" s="239"/>
      <c r="O304" s="239"/>
      <c r="P304" s="239"/>
      <c r="Q304" s="239"/>
      <c r="R304" s="239"/>
      <c r="S304" s="239"/>
    </row>
    <row r="305" spans="3:21" s="293" customFormat="1" x14ac:dyDescent="0.25">
      <c r="F305" s="196" t="s">
        <v>934</v>
      </c>
      <c r="G305" s="196" t="s">
        <v>170</v>
      </c>
      <c r="H305" s="196" t="s">
        <v>145</v>
      </c>
      <c r="I305" s="66"/>
      <c r="J305" s="239"/>
      <c r="K305" s="234"/>
      <c r="L305" s="239"/>
      <c r="M305" s="239"/>
      <c r="N305" s="239"/>
      <c r="O305" s="239"/>
      <c r="P305" s="239"/>
      <c r="Q305" s="239"/>
      <c r="R305" s="239"/>
      <c r="S305" s="239"/>
    </row>
    <row r="306" spans="3:21" s="293" customFormat="1" x14ac:dyDescent="0.25">
      <c r="F306" s="196" t="s">
        <v>935</v>
      </c>
      <c r="G306" s="196" t="s">
        <v>170</v>
      </c>
      <c r="H306" s="196" t="s">
        <v>145</v>
      </c>
      <c r="I306" s="66"/>
      <c r="J306" s="239"/>
      <c r="K306" s="234"/>
      <c r="L306" s="239"/>
      <c r="M306" s="239"/>
      <c r="N306" s="239"/>
      <c r="O306" s="239"/>
      <c r="P306" s="239"/>
      <c r="Q306" s="239"/>
      <c r="R306" s="239"/>
      <c r="S306" s="239"/>
    </row>
    <row r="307" spans="3:21" s="293" customFormat="1" x14ac:dyDescent="0.25">
      <c r="F307" s="196" t="s">
        <v>936</v>
      </c>
      <c r="G307" s="196" t="s">
        <v>170</v>
      </c>
      <c r="H307" s="196" t="s">
        <v>145</v>
      </c>
      <c r="I307" s="66"/>
      <c r="J307" s="239"/>
      <c r="K307" s="234"/>
      <c r="L307" s="239"/>
      <c r="M307" s="239"/>
      <c r="N307" s="239"/>
      <c r="O307" s="239"/>
      <c r="P307" s="239"/>
      <c r="Q307" s="239"/>
      <c r="R307" s="239"/>
      <c r="S307" s="239"/>
    </row>
    <row r="308" spans="3:21" s="293" customFormat="1" x14ac:dyDescent="0.25">
      <c r="F308" s="196" t="s">
        <v>937</v>
      </c>
      <c r="G308" s="196" t="s">
        <v>170</v>
      </c>
      <c r="H308" s="196" t="s">
        <v>145</v>
      </c>
      <c r="I308" s="66"/>
      <c r="J308" s="239"/>
      <c r="K308" s="234"/>
      <c r="L308" s="239"/>
      <c r="M308" s="239"/>
      <c r="N308" s="239"/>
      <c r="O308" s="239"/>
      <c r="P308" s="239"/>
      <c r="Q308" s="239"/>
      <c r="R308" s="239"/>
      <c r="S308" s="239"/>
    </row>
    <row r="309" spans="3:21" s="293" customFormat="1" x14ac:dyDescent="0.25">
      <c r="F309" s="196" t="s">
        <v>938</v>
      </c>
      <c r="G309" s="196" t="s">
        <v>170</v>
      </c>
      <c r="H309" s="196" t="s">
        <v>145</v>
      </c>
      <c r="I309" s="66"/>
      <c r="J309" s="239"/>
      <c r="K309" s="234"/>
      <c r="L309" s="239"/>
      <c r="M309" s="239"/>
      <c r="N309" s="239"/>
      <c r="O309" s="239"/>
      <c r="P309" s="239"/>
      <c r="Q309" s="239"/>
      <c r="R309" s="239"/>
      <c r="S309" s="239"/>
    </row>
    <row r="310" spans="3:21" s="293" customFormat="1" x14ac:dyDescent="0.25">
      <c r="F310" s="196" t="s">
        <v>939</v>
      </c>
      <c r="G310" s="196" t="s">
        <v>170</v>
      </c>
      <c r="H310" s="196" t="s">
        <v>145</v>
      </c>
      <c r="I310" s="66"/>
      <c r="J310" s="239"/>
      <c r="K310" s="234"/>
      <c r="L310" s="239"/>
      <c r="M310" s="239"/>
      <c r="N310" s="239"/>
      <c r="O310" s="239"/>
      <c r="P310" s="239"/>
      <c r="Q310" s="239"/>
      <c r="R310" s="239"/>
      <c r="S310" s="239"/>
    </row>
    <row r="311" spans="3:21" s="293" customFormat="1" x14ac:dyDescent="0.25">
      <c r="F311" s="196" t="s">
        <v>940</v>
      </c>
      <c r="G311" s="196" t="s">
        <v>170</v>
      </c>
      <c r="H311" s="196" t="s">
        <v>145</v>
      </c>
      <c r="I311" s="66"/>
      <c r="J311" s="239"/>
      <c r="K311" s="234"/>
      <c r="L311" s="239"/>
      <c r="M311" s="239"/>
      <c r="N311" s="239"/>
      <c r="O311" s="239"/>
      <c r="P311" s="239"/>
      <c r="Q311" s="239"/>
      <c r="R311" s="239"/>
      <c r="S311" s="239"/>
    </row>
    <row r="312" spans="3:21" s="293" customFormat="1" x14ac:dyDescent="0.25">
      <c r="F312" s="93" t="s">
        <v>941</v>
      </c>
      <c r="G312" s="93" t="s">
        <v>170</v>
      </c>
      <c r="H312" s="93" t="s">
        <v>145</v>
      </c>
      <c r="I312" s="145"/>
      <c r="J312" s="240"/>
      <c r="K312" s="236"/>
      <c r="L312" s="240"/>
      <c r="M312" s="240"/>
      <c r="N312" s="240"/>
      <c r="O312" s="240"/>
      <c r="P312" s="240"/>
      <c r="Q312" s="240"/>
      <c r="R312" s="240"/>
      <c r="S312" s="240"/>
    </row>
    <row r="313" spans="3:21" s="293" customFormat="1" x14ac:dyDescent="0.25">
      <c r="I313" s="111"/>
      <c r="J313" s="237"/>
      <c r="K313" s="237"/>
      <c r="L313" s="237"/>
      <c r="M313" s="237"/>
      <c r="N313" s="237"/>
      <c r="O313" s="237"/>
      <c r="P313" s="237"/>
      <c r="Q313" s="237"/>
      <c r="R313" s="237"/>
      <c r="S313" s="237"/>
    </row>
    <row r="314" spans="3:21" s="293" customFormat="1" x14ac:dyDescent="0.25">
      <c r="C314" s="7" t="str">
        <f ca="1">INDEX('Version control'!$H$35:$H$61,MATCH($A$1,'Version control'!$F$35:$F$61,0),1)&amp;"-E: All-the-way volumes - Residual Band 2"</f>
        <v>Input 501-E: All-the-way volumes - Residual Band 2</v>
      </c>
      <c r="D314" s="7"/>
      <c r="E314" s="7"/>
      <c r="F314" s="7"/>
      <c r="G314" s="7"/>
      <c r="H314" s="7"/>
      <c r="I314" s="171"/>
      <c r="J314" s="7"/>
      <c r="K314" s="7"/>
      <c r="L314" s="7"/>
      <c r="M314" s="7"/>
      <c r="N314" s="7"/>
      <c r="O314" s="7"/>
      <c r="P314" s="7"/>
      <c r="Q314" s="7"/>
      <c r="R314" s="7"/>
      <c r="S314" s="7"/>
      <c r="T314" s="7"/>
      <c r="U314" s="7"/>
    </row>
    <row r="315" spans="3:21" s="293" customFormat="1" x14ac:dyDescent="0.25">
      <c r="C315" s="96"/>
      <c r="I315" s="111"/>
    </row>
    <row r="316" spans="3:21" s="293" customFormat="1" x14ac:dyDescent="0.25">
      <c r="E316" s="144" t="s">
        <v>199</v>
      </c>
      <c r="I316" s="111" t="s">
        <v>359</v>
      </c>
      <c r="U316" s="293" t="s">
        <v>692</v>
      </c>
    </row>
    <row r="317" spans="3:21" s="293" customFormat="1" x14ac:dyDescent="0.25">
      <c r="F317" s="91" t="s">
        <v>926</v>
      </c>
      <c r="G317" s="91" t="s">
        <v>120</v>
      </c>
      <c r="H317" s="91" t="s">
        <v>145</v>
      </c>
      <c r="I317" s="112"/>
      <c r="J317" s="238"/>
      <c r="K317" s="232"/>
      <c r="L317" s="238"/>
      <c r="M317" s="238"/>
      <c r="N317" s="238"/>
      <c r="O317" s="238"/>
      <c r="P317" s="238"/>
      <c r="Q317" s="238"/>
      <c r="R317" s="238"/>
      <c r="S317" s="238"/>
    </row>
    <row r="318" spans="3:21" s="293" customFormat="1" x14ac:dyDescent="0.25">
      <c r="F318" s="196" t="s">
        <v>927</v>
      </c>
      <c r="G318" s="196" t="s">
        <v>120</v>
      </c>
      <c r="H318" s="196" t="s">
        <v>145</v>
      </c>
      <c r="I318" s="66"/>
      <c r="J318" s="239"/>
      <c r="K318" s="234"/>
      <c r="L318" s="239"/>
      <c r="M318" s="239"/>
      <c r="N318" s="239"/>
      <c r="O318" s="239"/>
      <c r="P318" s="239"/>
      <c r="Q318" s="239"/>
      <c r="R318" s="239"/>
      <c r="S318" s="239"/>
    </row>
    <row r="319" spans="3:21" s="293" customFormat="1" x14ac:dyDescent="0.25">
      <c r="F319" s="196" t="s">
        <v>928</v>
      </c>
      <c r="G319" s="196" t="s">
        <v>120</v>
      </c>
      <c r="H319" s="196" t="s">
        <v>145</v>
      </c>
      <c r="I319" s="66"/>
      <c r="J319" s="233">
        <f t="shared" ref="J319" si="28">CHOOSE(year_selection, L319,M319,N319,O319,P319,Q319,R319,S319)</f>
        <v>54395.390759272494</v>
      </c>
      <c r="K319" s="234"/>
      <c r="L319" s="330"/>
      <c r="M319" s="330"/>
      <c r="N319" s="330"/>
      <c r="O319" s="330">
        <v>54395.390759272494</v>
      </c>
      <c r="P319" s="330">
        <v>52960.82183302068</v>
      </c>
      <c r="Q319" s="330">
        <v>51220.593114225885</v>
      </c>
      <c r="R319" s="330">
        <v>49338.94662887841</v>
      </c>
      <c r="S319" s="330">
        <v>47457.300143530942</v>
      </c>
    </row>
    <row r="320" spans="3:21" s="293" customFormat="1" x14ac:dyDescent="0.25">
      <c r="F320" s="196" t="s">
        <v>929</v>
      </c>
      <c r="G320" s="196" t="s">
        <v>120</v>
      </c>
      <c r="H320" s="196" t="s">
        <v>145</v>
      </c>
      <c r="I320" s="66"/>
      <c r="J320" s="239"/>
      <c r="K320" s="234"/>
      <c r="L320" s="239"/>
      <c r="M320" s="239"/>
      <c r="N320" s="239"/>
      <c r="O320" s="239"/>
      <c r="P320" s="239"/>
      <c r="Q320" s="239"/>
      <c r="R320" s="239"/>
      <c r="S320" s="239"/>
    </row>
    <row r="321" spans="5:19" s="293" customFormat="1" x14ac:dyDescent="0.25">
      <c r="F321" s="196" t="s">
        <v>930</v>
      </c>
      <c r="G321" s="196" t="s">
        <v>120</v>
      </c>
      <c r="H321" s="196" t="s">
        <v>145</v>
      </c>
      <c r="I321" s="66"/>
      <c r="J321" s="233">
        <f t="shared" ref="J321:J323" si="29">CHOOSE(year_selection, L321,M321,N321,O321,P321,Q321,R321,S321)</f>
        <v>92277.527057135914</v>
      </c>
      <c r="K321" s="234"/>
      <c r="L321" s="330"/>
      <c r="M321" s="330"/>
      <c r="N321" s="330"/>
      <c r="O321" s="330">
        <v>92277.527057135914</v>
      </c>
      <c r="P321" s="330">
        <v>82039.829635340095</v>
      </c>
      <c r="Q321" s="330">
        <v>76854.411179558389</v>
      </c>
      <c r="R321" s="330">
        <v>71445.379148191278</v>
      </c>
      <c r="S321" s="330">
        <v>66036.347116824152</v>
      </c>
    </row>
    <row r="322" spans="5:19" s="293" customFormat="1" x14ac:dyDescent="0.25">
      <c r="F322" s="196" t="s">
        <v>931</v>
      </c>
      <c r="G322" s="196" t="s">
        <v>120</v>
      </c>
      <c r="H322" s="196" t="s">
        <v>145</v>
      </c>
      <c r="I322" s="66"/>
      <c r="J322" s="233">
        <f t="shared" si="29"/>
        <v>1761.4553753775297</v>
      </c>
      <c r="K322" s="234"/>
      <c r="L322" s="330"/>
      <c r="M322" s="330"/>
      <c r="N322" s="330"/>
      <c r="O322" s="330">
        <v>1761.4553753775297</v>
      </c>
      <c r="P322" s="330">
        <v>1684.4061784358462</v>
      </c>
      <c r="Q322" s="330">
        <v>1704.3193122302598</v>
      </c>
      <c r="R322" s="330">
        <v>1721.9477441206893</v>
      </c>
      <c r="S322" s="330">
        <v>1739.5761760111188</v>
      </c>
    </row>
    <row r="323" spans="5:19" s="293" customFormat="1" x14ac:dyDescent="0.25">
      <c r="F323" s="196" t="s">
        <v>932</v>
      </c>
      <c r="G323" s="196" t="s">
        <v>120</v>
      </c>
      <c r="H323" s="196" t="s">
        <v>145</v>
      </c>
      <c r="I323" s="66"/>
      <c r="J323" s="233">
        <f t="shared" si="29"/>
        <v>100107.75475771216</v>
      </c>
      <c r="K323" s="234"/>
      <c r="L323" s="330"/>
      <c r="M323" s="330"/>
      <c r="N323" s="330"/>
      <c r="O323" s="330">
        <v>100107.75475771216</v>
      </c>
      <c r="P323" s="330">
        <v>99464.220124106418</v>
      </c>
      <c r="Q323" s="330">
        <v>98470.707880991438</v>
      </c>
      <c r="R323" s="330">
        <v>97289.134301281461</v>
      </c>
      <c r="S323" s="330">
        <v>96107.560721571514</v>
      </c>
    </row>
    <row r="324" spans="5:19" s="293" customFormat="1" x14ac:dyDescent="0.25">
      <c r="F324" s="196" t="s">
        <v>933</v>
      </c>
      <c r="G324" s="196" t="s">
        <v>120</v>
      </c>
      <c r="H324" s="196" t="s">
        <v>145</v>
      </c>
      <c r="I324" s="66"/>
      <c r="J324" s="239"/>
      <c r="K324" s="234"/>
      <c r="L324" s="239"/>
      <c r="M324" s="239"/>
      <c r="N324" s="239"/>
      <c r="O324" s="239"/>
      <c r="P324" s="239"/>
      <c r="Q324" s="239"/>
      <c r="R324" s="239"/>
      <c r="S324" s="239"/>
    </row>
    <row r="325" spans="5:19" s="293" customFormat="1" x14ac:dyDescent="0.25">
      <c r="F325" s="196" t="s">
        <v>934</v>
      </c>
      <c r="G325" s="196" t="s">
        <v>120</v>
      </c>
      <c r="H325" s="196" t="s">
        <v>145</v>
      </c>
      <c r="I325" s="66"/>
      <c r="J325" s="239"/>
      <c r="K325" s="234"/>
      <c r="L325" s="239"/>
      <c r="M325" s="239"/>
      <c r="N325" s="239"/>
      <c r="O325" s="239"/>
      <c r="P325" s="239"/>
      <c r="Q325" s="239"/>
      <c r="R325" s="239"/>
      <c r="S325" s="239"/>
    </row>
    <row r="326" spans="5:19" s="293" customFormat="1" x14ac:dyDescent="0.25">
      <c r="F326" s="196" t="s">
        <v>935</v>
      </c>
      <c r="G326" s="196" t="s">
        <v>120</v>
      </c>
      <c r="H326" s="196" t="s">
        <v>145</v>
      </c>
      <c r="I326" s="66"/>
      <c r="J326" s="239"/>
      <c r="K326" s="234"/>
      <c r="L326" s="239"/>
      <c r="M326" s="239"/>
      <c r="N326" s="239"/>
      <c r="O326" s="239"/>
      <c r="P326" s="239"/>
      <c r="Q326" s="239"/>
      <c r="R326" s="239"/>
      <c r="S326" s="239"/>
    </row>
    <row r="327" spans="5:19" s="293" customFormat="1" x14ac:dyDescent="0.25">
      <c r="F327" s="196" t="s">
        <v>936</v>
      </c>
      <c r="G327" s="196" t="s">
        <v>120</v>
      </c>
      <c r="H327" s="196" t="s">
        <v>145</v>
      </c>
      <c r="I327" s="66"/>
      <c r="J327" s="239"/>
      <c r="K327" s="234"/>
      <c r="L327" s="239"/>
      <c r="M327" s="239"/>
      <c r="N327" s="239"/>
      <c r="O327" s="239"/>
      <c r="P327" s="239"/>
      <c r="Q327" s="239"/>
      <c r="R327" s="239"/>
      <c r="S327" s="239"/>
    </row>
    <row r="328" spans="5:19" s="293" customFormat="1" x14ac:dyDescent="0.25">
      <c r="F328" s="196" t="s">
        <v>937</v>
      </c>
      <c r="G328" s="196" t="s">
        <v>120</v>
      </c>
      <c r="H328" s="196" t="s">
        <v>145</v>
      </c>
      <c r="I328" s="66"/>
      <c r="J328" s="239"/>
      <c r="K328" s="234"/>
      <c r="L328" s="239"/>
      <c r="M328" s="239"/>
      <c r="N328" s="239"/>
      <c r="O328" s="239"/>
      <c r="P328" s="239"/>
      <c r="Q328" s="239"/>
      <c r="R328" s="239"/>
      <c r="S328" s="239"/>
    </row>
    <row r="329" spans="5:19" s="293" customFormat="1" x14ac:dyDescent="0.25">
      <c r="F329" s="196" t="s">
        <v>938</v>
      </c>
      <c r="G329" s="196" t="s">
        <v>120</v>
      </c>
      <c r="H329" s="196" t="s">
        <v>145</v>
      </c>
      <c r="I329" s="66"/>
      <c r="J329" s="239"/>
      <c r="K329" s="234"/>
      <c r="L329" s="239"/>
      <c r="M329" s="239"/>
      <c r="N329" s="239"/>
      <c r="O329" s="239"/>
      <c r="P329" s="239"/>
      <c r="Q329" s="239"/>
      <c r="R329" s="239"/>
      <c r="S329" s="239"/>
    </row>
    <row r="330" spans="5:19" s="293" customFormat="1" x14ac:dyDescent="0.25">
      <c r="F330" s="196" t="s">
        <v>939</v>
      </c>
      <c r="G330" s="196" t="s">
        <v>120</v>
      </c>
      <c r="H330" s="196" t="s">
        <v>145</v>
      </c>
      <c r="I330" s="66"/>
      <c r="J330" s="239"/>
      <c r="K330" s="234"/>
      <c r="L330" s="239"/>
      <c r="M330" s="239"/>
      <c r="N330" s="239"/>
      <c r="O330" s="239"/>
      <c r="P330" s="239"/>
      <c r="Q330" s="239"/>
      <c r="R330" s="239"/>
      <c r="S330" s="239"/>
    </row>
    <row r="331" spans="5:19" s="293" customFormat="1" x14ac:dyDescent="0.25">
      <c r="F331" s="196" t="s">
        <v>940</v>
      </c>
      <c r="G331" s="196" t="s">
        <v>120</v>
      </c>
      <c r="H331" s="196" t="s">
        <v>145</v>
      </c>
      <c r="I331" s="66"/>
      <c r="J331" s="239"/>
      <c r="K331" s="234"/>
      <c r="L331" s="239"/>
      <c r="M331" s="239"/>
      <c r="N331" s="239"/>
      <c r="O331" s="239"/>
      <c r="P331" s="239"/>
      <c r="Q331" s="239"/>
      <c r="R331" s="239"/>
      <c r="S331" s="239"/>
    </row>
    <row r="332" spans="5:19" s="293" customFormat="1" x14ac:dyDescent="0.25">
      <c r="F332" s="93" t="s">
        <v>941</v>
      </c>
      <c r="G332" s="93" t="s">
        <v>120</v>
      </c>
      <c r="H332" s="93" t="s">
        <v>145</v>
      </c>
      <c r="I332" s="145"/>
      <c r="J332" s="240"/>
      <c r="K332" s="236"/>
      <c r="L332" s="240"/>
      <c r="M332" s="240"/>
      <c r="N332" s="240"/>
      <c r="O332" s="240"/>
      <c r="P332" s="240"/>
      <c r="Q332" s="240"/>
      <c r="R332" s="240"/>
      <c r="S332" s="240"/>
    </row>
    <row r="333" spans="5:19" s="293" customFormat="1" x14ac:dyDescent="0.25">
      <c r="I333" s="111"/>
      <c r="J333" s="237"/>
      <c r="K333" s="237"/>
      <c r="L333" s="237"/>
      <c r="M333" s="237"/>
      <c r="N333" s="237"/>
      <c r="O333" s="237"/>
      <c r="P333" s="237"/>
      <c r="Q333" s="237"/>
      <c r="R333" s="237"/>
      <c r="S333" s="237"/>
    </row>
    <row r="334" spans="5:19" s="293" customFormat="1" x14ac:dyDescent="0.25">
      <c r="E334" s="144" t="s">
        <v>200</v>
      </c>
      <c r="I334" s="111"/>
      <c r="J334" s="237"/>
      <c r="K334" s="237"/>
      <c r="L334" s="237"/>
      <c r="M334" s="237"/>
      <c r="N334" s="237"/>
      <c r="O334" s="237"/>
      <c r="P334" s="237"/>
      <c r="Q334" s="237"/>
      <c r="R334" s="237"/>
      <c r="S334" s="237"/>
    </row>
    <row r="335" spans="5:19" s="293" customFormat="1" x14ac:dyDescent="0.25">
      <c r="F335" s="91" t="s">
        <v>926</v>
      </c>
      <c r="G335" s="91" t="s">
        <v>120</v>
      </c>
      <c r="H335" s="91" t="s">
        <v>145</v>
      </c>
      <c r="I335" s="112"/>
      <c r="J335" s="238"/>
      <c r="K335" s="232"/>
      <c r="L335" s="238"/>
      <c r="M335" s="238"/>
      <c r="N335" s="238"/>
      <c r="O335" s="238"/>
      <c r="P335" s="238"/>
      <c r="Q335" s="238"/>
      <c r="R335" s="238"/>
      <c r="S335" s="238"/>
    </row>
    <row r="336" spans="5:19" s="293" customFormat="1" x14ac:dyDescent="0.25">
      <c r="F336" s="196" t="s">
        <v>927</v>
      </c>
      <c r="G336" s="196" t="s">
        <v>120</v>
      </c>
      <c r="H336" s="196" t="s">
        <v>145</v>
      </c>
      <c r="I336" s="66"/>
      <c r="J336" s="239"/>
      <c r="K336" s="234"/>
      <c r="L336" s="239"/>
      <c r="M336" s="239"/>
      <c r="N336" s="239"/>
      <c r="O336" s="239"/>
      <c r="P336" s="239"/>
      <c r="Q336" s="239"/>
      <c r="R336" s="239"/>
      <c r="S336" s="239"/>
    </row>
    <row r="337" spans="5:19" s="293" customFormat="1" x14ac:dyDescent="0.25">
      <c r="F337" s="196" t="s">
        <v>928</v>
      </c>
      <c r="G337" s="196" t="s">
        <v>120</v>
      </c>
      <c r="H337" s="196" t="s">
        <v>145</v>
      </c>
      <c r="I337" s="66"/>
      <c r="J337" s="233">
        <f t="shared" ref="J337" si="30">CHOOSE(year_selection, L337,M337,N337,O337,P337,Q337,R337,S337)</f>
        <v>342087.00723255862</v>
      </c>
      <c r="K337" s="234"/>
      <c r="L337" s="330"/>
      <c r="M337" s="330"/>
      <c r="N337" s="330"/>
      <c r="O337" s="330">
        <v>342087.00723255862</v>
      </c>
      <c r="P337" s="330">
        <v>331233.40727874805</v>
      </c>
      <c r="Q337" s="330">
        <v>318093.49394987966</v>
      </c>
      <c r="R337" s="330">
        <v>303894.68992826011</v>
      </c>
      <c r="S337" s="330">
        <v>289695.88590664061</v>
      </c>
    </row>
    <row r="338" spans="5:19" s="293" customFormat="1" x14ac:dyDescent="0.25">
      <c r="F338" s="196" t="s">
        <v>929</v>
      </c>
      <c r="G338" s="196" t="s">
        <v>120</v>
      </c>
      <c r="H338" s="196" t="s">
        <v>145</v>
      </c>
      <c r="I338" s="66"/>
      <c r="J338" s="239"/>
      <c r="K338" s="234"/>
      <c r="L338" s="239"/>
      <c r="M338" s="239"/>
      <c r="N338" s="239"/>
      <c r="O338" s="239"/>
      <c r="P338" s="239"/>
      <c r="Q338" s="239"/>
      <c r="R338" s="239"/>
      <c r="S338" s="239"/>
    </row>
    <row r="339" spans="5:19" s="293" customFormat="1" x14ac:dyDescent="0.25">
      <c r="F339" s="196" t="s">
        <v>930</v>
      </c>
      <c r="G339" s="196" t="s">
        <v>120</v>
      </c>
      <c r="H339" s="196" t="s">
        <v>145</v>
      </c>
      <c r="I339" s="66"/>
      <c r="J339" s="233">
        <f t="shared" ref="J339:J341" si="31">CHOOSE(year_selection, L339,M339,N339,O339,P339,Q339,R339,S339)</f>
        <v>526564.8609264507</v>
      </c>
      <c r="K339" s="234"/>
      <c r="L339" s="330"/>
      <c r="M339" s="330"/>
      <c r="N339" s="330"/>
      <c r="O339" s="330">
        <v>526564.8609264507</v>
      </c>
      <c r="P339" s="330">
        <v>472205.5974594148</v>
      </c>
      <c r="Q339" s="330">
        <v>452741.0447432191</v>
      </c>
      <c r="R339" s="330">
        <v>434961.52321112785</v>
      </c>
      <c r="S339" s="330">
        <v>417182.00167903653</v>
      </c>
    </row>
    <row r="340" spans="5:19" s="293" customFormat="1" x14ac:dyDescent="0.25">
      <c r="F340" s="196" t="s">
        <v>931</v>
      </c>
      <c r="G340" s="196" t="s">
        <v>120</v>
      </c>
      <c r="H340" s="196" t="s">
        <v>145</v>
      </c>
      <c r="I340" s="66"/>
      <c r="J340" s="233">
        <f t="shared" si="31"/>
        <v>9629.2625246110765</v>
      </c>
      <c r="K340" s="234"/>
      <c r="L340" s="330"/>
      <c r="M340" s="330"/>
      <c r="N340" s="330"/>
      <c r="O340" s="330">
        <v>9629.2625246110765</v>
      </c>
      <c r="P340" s="330">
        <v>8979.4576127916789</v>
      </c>
      <c r="Q340" s="330">
        <v>8892.1477688332798</v>
      </c>
      <c r="R340" s="330">
        <v>8807.1226267788643</v>
      </c>
      <c r="S340" s="330">
        <v>8722.0974847244488</v>
      </c>
    </row>
    <row r="341" spans="5:19" s="293" customFormat="1" x14ac:dyDescent="0.25">
      <c r="F341" s="196" t="s">
        <v>932</v>
      </c>
      <c r="G341" s="196" t="s">
        <v>120</v>
      </c>
      <c r="H341" s="196" t="s">
        <v>145</v>
      </c>
      <c r="I341" s="66"/>
      <c r="J341" s="233">
        <f t="shared" si="31"/>
        <v>558680.05101557309</v>
      </c>
      <c r="K341" s="234"/>
      <c r="L341" s="330"/>
      <c r="M341" s="330"/>
      <c r="N341" s="330"/>
      <c r="O341" s="330">
        <v>558680.05101557309</v>
      </c>
      <c r="P341" s="330">
        <v>553138.662327689</v>
      </c>
      <c r="Q341" s="330">
        <v>546685.50214912277</v>
      </c>
      <c r="R341" s="330">
        <v>539658.27665984491</v>
      </c>
      <c r="S341" s="330">
        <v>532631.05117056728</v>
      </c>
    </row>
    <row r="342" spans="5:19" s="293" customFormat="1" x14ac:dyDescent="0.25">
      <c r="F342" s="196" t="s">
        <v>933</v>
      </c>
      <c r="G342" s="196" t="s">
        <v>120</v>
      </c>
      <c r="H342" s="196" t="s">
        <v>145</v>
      </c>
      <c r="I342" s="66"/>
      <c r="J342" s="239"/>
      <c r="K342" s="234"/>
      <c r="L342" s="239"/>
      <c r="M342" s="239"/>
      <c r="N342" s="239"/>
      <c r="O342" s="239"/>
      <c r="P342" s="239"/>
      <c r="Q342" s="239"/>
      <c r="R342" s="239"/>
      <c r="S342" s="239"/>
    </row>
    <row r="343" spans="5:19" s="293" customFormat="1" x14ac:dyDescent="0.25">
      <c r="F343" s="196" t="s">
        <v>934</v>
      </c>
      <c r="G343" s="196" t="s">
        <v>120</v>
      </c>
      <c r="H343" s="196" t="s">
        <v>145</v>
      </c>
      <c r="I343" s="66"/>
      <c r="J343" s="239"/>
      <c r="K343" s="234"/>
      <c r="L343" s="239"/>
      <c r="M343" s="239"/>
      <c r="N343" s="239"/>
      <c r="O343" s="239"/>
      <c r="P343" s="239"/>
      <c r="Q343" s="239"/>
      <c r="R343" s="239"/>
      <c r="S343" s="239"/>
    </row>
    <row r="344" spans="5:19" s="293" customFormat="1" x14ac:dyDescent="0.25">
      <c r="F344" s="196" t="s">
        <v>935</v>
      </c>
      <c r="G344" s="196" t="s">
        <v>120</v>
      </c>
      <c r="H344" s="196" t="s">
        <v>145</v>
      </c>
      <c r="I344" s="66"/>
      <c r="J344" s="239"/>
      <c r="K344" s="234"/>
      <c r="L344" s="239"/>
      <c r="M344" s="239"/>
      <c r="N344" s="239"/>
      <c r="O344" s="239"/>
      <c r="P344" s="239"/>
      <c r="Q344" s="239"/>
      <c r="R344" s="239"/>
      <c r="S344" s="239"/>
    </row>
    <row r="345" spans="5:19" s="293" customFormat="1" x14ac:dyDescent="0.25">
      <c r="F345" s="196" t="s">
        <v>936</v>
      </c>
      <c r="G345" s="196" t="s">
        <v>120</v>
      </c>
      <c r="H345" s="196" t="s">
        <v>145</v>
      </c>
      <c r="I345" s="66"/>
      <c r="J345" s="239"/>
      <c r="K345" s="234"/>
      <c r="L345" s="239"/>
      <c r="M345" s="239"/>
      <c r="N345" s="239"/>
      <c r="O345" s="239"/>
      <c r="P345" s="239"/>
      <c r="Q345" s="239"/>
      <c r="R345" s="239"/>
      <c r="S345" s="239"/>
    </row>
    <row r="346" spans="5:19" s="293" customFormat="1" x14ac:dyDescent="0.25">
      <c r="F346" s="196" t="s">
        <v>937</v>
      </c>
      <c r="G346" s="196" t="s">
        <v>120</v>
      </c>
      <c r="H346" s="196" t="s">
        <v>145</v>
      </c>
      <c r="I346" s="66"/>
      <c r="J346" s="239"/>
      <c r="K346" s="234"/>
      <c r="L346" s="239"/>
      <c r="M346" s="239"/>
      <c r="N346" s="239"/>
      <c r="O346" s="239"/>
      <c r="P346" s="239"/>
      <c r="Q346" s="239"/>
      <c r="R346" s="239"/>
      <c r="S346" s="239"/>
    </row>
    <row r="347" spans="5:19" s="293" customFormat="1" x14ac:dyDescent="0.25">
      <c r="F347" s="196" t="s">
        <v>938</v>
      </c>
      <c r="G347" s="196" t="s">
        <v>120</v>
      </c>
      <c r="H347" s="196" t="s">
        <v>145</v>
      </c>
      <c r="I347" s="66"/>
      <c r="J347" s="239"/>
      <c r="K347" s="234"/>
      <c r="L347" s="239"/>
      <c r="M347" s="239"/>
      <c r="N347" s="239"/>
      <c r="O347" s="239"/>
      <c r="P347" s="239"/>
      <c r="Q347" s="239"/>
      <c r="R347" s="239"/>
      <c r="S347" s="239"/>
    </row>
    <row r="348" spans="5:19" s="293" customFormat="1" x14ac:dyDescent="0.25">
      <c r="F348" s="196" t="s">
        <v>939</v>
      </c>
      <c r="G348" s="196" t="s">
        <v>120</v>
      </c>
      <c r="H348" s="196" t="s">
        <v>145</v>
      </c>
      <c r="I348" s="66"/>
      <c r="J348" s="239"/>
      <c r="K348" s="234"/>
      <c r="L348" s="239"/>
      <c r="M348" s="239"/>
      <c r="N348" s="239"/>
      <c r="O348" s="239"/>
      <c r="P348" s="239"/>
      <c r="Q348" s="239"/>
      <c r="R348" s="239"/>
      <c r="S348" s="239"/>
    </row>
    <row r="349" spans="5:19" s="293" customFormat="1" x14ac:dyDescent="0.25">
      <c r="F349" s="196" t="s">
        <v>940</v>
      </c>
      <c r="G349" s="196" t="s">
        <v>120</v>
      </c>
      <c r="H349" s="196" t="s">
        <v>145</v>
      </c>
      <c r="I349" s="66"/>
      <c r="J349" s="239"/>
      <c r="K349" s="234"/>
      <c r="L349" s="239"/>
      <c r="M349" s="239"/>
      <c r="N349" s="239"/>
      <c r="O349" s="239"/>
      <c r="P349" s="239"/>
      <c r="Q349" s="239"/>
      <c r="R349" s="239"/>
      <c r="S349" s="239"/>
    </row>
    <row r="350" spans="5:19" s="293" customFormat="1" x14ac:dyDescent="0.25">
      <c r="F350" s="93" t="s">
        <v>941</v>
      </c>
      <c r="G350" s="93" t="s">
        <v>120</v>
      </c>
      <c r="H350" s="93" t="s">
        <v>145</v>
      </c>
      <c r="I350" s="145"/>
      <c r="J350" s="240"/>
      <c r="K350" s="236"/>
      <c r="L350" s="240"/>
      <c r="M350" s="240"/>
      <c r="N350" s="240"/>
      <c r="O350" s="240"/>
      <c r="P350" s="240"/>
      <c r="Q350" s="240"/>
      <c r="R350" s="240"/>
      <c r="S350" s="240"/>
    </row>
    <row r="351" spans="5:19" s="293" customFormat="1" x14ac:dyDescent="0.25">
      <c r="I351" s="111"/>
      <c r="J351" s="237"/>
      <c r="K351" s="237"/>
      <c r="L351" s="237"/>
      <c r="M351" s="237"/>
      <c r="N351" s="237"/>
      <c r="O351" s="237"/>
      <c r="P351" s="237"/>
      <c r="Q351" s="237"/>
      <c r="R351" s="237"/>
      <c r="S351" s="237"/>
    </row>
    <row r="352" spans="5:19" s="293" customFormat="1" x14ac:dyDescent="0.25">
      <c r="E352" s="144" t="s">
        <v>201</v>
      </c>
      <c r="I352" s="111"/>
      <c r="J352" s="237"/>
      <c r="K352" s="237"/>
      <c r="L352" s="237"/>
      <c r="M352" s="237"/>
      <c r="N352" s="237"/>
      <c r="O352" s="237"/>
      <c r="P352" s="237"/>
      <c r="Q352" s="237"/>
      <c r="R352" s="237"/>
      <c r="S352" s="237"/>
    </row>
    <row r="353" spans="6:19" s="293" customFormat="1" x14ac:dyDescent="0.25">
      <c r="F353" s="91" t="s">
        <v>926</v>
      </c>
      <c r="G353" s="91" t="s">
        <v>120</v>
      </c>
      <c r="H353" s="91" t="s">
        <v>145</v>
      </c>
      <c r="I353" s="112"/>
      <c r="J353" s="238"/>
      <c r="K353" s="232"/>
      <c r="L353" s="238"/>
      <c r="M353" s="238"/>
      <c r="N353" s="238"/>
      <c r="O353" s="238"/>
      <c r="P353" s="238"/>
      <c r="Q353" s="238"/>
      <c r="R353" s="238"/>
      <c r="S353" s="238"/>
    </row>
    <row r="354" spans="6:19" s="293" customFormat="1" x14ac:dyDescent="0.25">
      <c r="F354" s="196" t="s">
        <v>927</v>
      </c>
      <c r="G354" s="196" t="s">
        <v>120</v>
      </c>
      <c r="H354" s="196" t="s">
        <v>145</v>
      </c>
      <c r="I354" s="66"/>
      <c r="J354" s="239"/>
      <c r="K354" s="234"/>
      <c r="L354" s="239"/>
      <c r="M354" s="239"/>
      <c r="N354" s="239"/>
      <c r="O354" s="239"/>
      <c r="P354" s="239"/>
      <c r="Q354" s="239"/>
      <c r="R354" s="239"/>
      <c r="S354" s="239"/>
    </row>
    <row r="355" spans="6:19" s="293" customFormat="1" x14ac:dyDescent="0.25">
      <c r="F355" s="196" t="s">
        <v>928</v>
      </c>
      <c r="G355" s="196" t="s">
        <v>120</v>
      </c>
      <c r="H355" s="196" t="s">
        <v>145</v>
      </c>
      <c r="I355" s="66"/>
      <c r="J355" s="233">
        <f t="shared" ref="J355" si="32">CHOOSE(year_selection, L355,M355,N355,O355,P355,Q355,R355,S355)</f>
        <v>151992.25232359575</v>
      </c>
      <c r="K355" s="234"/>
      <c r="L355" s="330"/>
      <c r="M355" s="330"/>
      <c r="N355" s="330"/>
      <c r="O355" s="330">
        <v>151992.25232359575</v>
      </c>
      <c r="P355" s="330">
        <v>147236.47529706868</v>
      </c>
      <c r="Q355" s="330">
        <v>142452.99021748974</v>
      </c>
      <c r="R355" s="330">
        <v>137652.42975308408</v>
      </c>
      <c r="S355" s="330">
        <v>132851.86928867846</v>
      </c>
    </row>
    <row r="356" spans="6:19" s="293" customFormat="1" x14ac:dyDescent="0.25">
      <c r="F356" s="196" t="s">
        <v>929</v>
      </c>
      <c r="G356" s="196" t="s">
        <v>120</v>
      </c>
      <c r="H356" s="196" t="s">
        <v>145</v>
      </c>
      <c r="I356" s="66"/>
      <c r="J356" s="239"/>
      <c r="K356" s="234"/>
      <c r="L356" s="239"/>
      <c r="M356" s="239"/>
      <c r="N356" s="239"/>
      <c r="O356" s="239"/>
      <c r="P356" s="239"/>
      <c r="Q356" s="239"/>
      <c r="R356" s="239"/>
      <c r="S356" s="239"/>
    </row>
    <row r="357" spans="6:19" s="293" customFormat="1" x14ac:dyDescent="0.25">
      <c r="F357" s="196" t="s">
        <v>930</v>
      </c>
      <c r="G357" s="196" t="s">
        <v>120</v>
      </c>
      <c r="H357" s="196" t="s">
        <v>145</v>
      </c>
      <c r="I357" s="66"/>
      <c r="J357" s="233">
        <f t="shared" ref="J357:J359" si="33">CHOOSE(year_selection, L357,M357,N357,O357,P357,Q357,R357,S357)</f>
        <v>276099.15034371696</v>
      </c>
      <c r="K357" s="234"/>
      <c r="L357" s="330"/>
      <c r="M357" s="330"/>
      <c r="N357" s="330"/>
      <c r="O357" s="330">
        <v>276099.15034371696</v>
      </c>
      <c r="P357" s="330">
        <v>249886.2718014312</v>
      </c>
      <c r="Q357" s="330">
        <v>241438.74581588942</v>
      </c>
      <c r="R357" s="330">
        <v>233647.78292591986</v>
      </c>
      <c r="S357" s="330">
        <v>225856.82003595034</v>
      </c>
    </row>
    <row r="358" spans="6:19" s="293" customFormat="1" x14ac:dyDescent="0.25">
      <c r="F358" s="196" t="s">
        <v>931</v>
      </c>
      <c r="G358" s="196" t="s">
        <v>120</v>
      </c>
      <c r="H358" s="196" t="s">
        <v>145</v>
      </c>
      <c r="I358" s="66"/>
      <c r="J358" s="233">
        <f t="shared" si="33"/>
        <v>6303.1377428561063</v>
      </c>
      <c r="K358" s="234"/>
      <c r="L358" s="330"/>
      <c r="M358" s="330"/>
      <c r="N358" s="330"/>
      <c r="O358" s="330">
        <v>6303.1377428561063</v>
      </c>
      <c r="P358" s="330">
        <v>5886.2954978539065</v>
      </c>
      <c r="Q358" s="330">
        <v>5814.3054351626006</v>
      </c>
      <c r="R358" s="330">
        <v>5733.1765648553592</v>
      </c>
      <c r="S358" s="330">
        <v>5652.0476945481169</v>
      </c>
    </row>
    <row r="359" spans="6:19" s="293" customFormat="1" x14ac:dyDescent="0.25">
      <c r="F359" s="196" t="s">
        <v>932</v>
      </c>
      <c r="G359" s="196" t="s">
        <v>120</v>
      </c>
      <c r="H359" s="196" t="s">
        <v>145</v>
      </c>
      <c r="I359" s="66"/>
      <c r="J359" s="233">
        <f t="shared" si="33"/>
        <v>382832.38338698726</v>
      </c>
      <c r="K359" s="234"/>
      <c r="L359" s="330"/>
      <c r="M359" s="330"/>
      <c r="N359" s="330"/>
      <c r="O359" s="330">
        <v>382832.38338698726</v>
      </c>
      <c r="P359" s="330">
        <v>378390.76390616252</v>
      </c>
      <c r="Q359" s="330">
        <v>373292.88214157423</v>
      </c>
      <c r="R359" s="330">
        <v>367782.17575526517</v>
      </c>
      <c r="S359" s="330">
        <v>362271.46936895611</v>
      </c>
    </row>
    <row r="360" spans="6:19" s="293" customFormat="1" x14ac:dyDescent="0.25">
      <c r="F360" s="196" t="s">
        <v>933</v>
      </c>
      <c r="G360" s="196" t="s">
        <v>120</v>
      </c>
      <c r="H360" s="196" t="s">
        <v>145</v>
      </c>
      <c r="I360" s="66"/>
      <c r="J360" s="239"/>
      <c r="K360" s="234"/>
      <c r="L360" s="239"/>
      <c r="M360" s="239"/>
      <c r="N360" s="239"/>
      <c r="O360" s="239"/>
      <c r="P360" s="239"/>
      <c r="Q360" s="239"/>
      <c r="R360" s="239"/>
      <c r="S360" s="239"/>
    </row>
    <row r="361" spans="6:19" s="293" customFormat="1" x14ac:dyDescent="0.25">
      <c r="F361" s="196" t="s">
        <v>934</v>
      </c>
      <c r="G361" s="196" t="s">
        <v>120</v>
      </c>
      <c r="H361" s="196" t="s">
        <v>145</v>
      </c>
      <c r="I361" s="66"/>
      <c r="J361" s="239"/>
      <c r="K361" s="234"/>
      <c r="L361" s="239"/>
      <c r="M361" s="239"/>
      <c r="N361" s="239"/>
      <c r="O361" s="239"/>
      <c r="P361" s="239"/>
      <c r="Q361" s="239"/>
      <c r="R361" s="239"/>
      <c r="S361" s="239"/>
    </row>
    <row r="362" spans="6:19" s="293" customFormat="1" x14ac:dyDescent="0.25">
      <c r="F362" s="196" t="s">
        <v>935</v>
      </c>
      <c r="G362" s="196" t="s">
        <v>120</v>
      </c>
      <c r="H362" s="196" t="s">
        <v>145</v>
      </c>
      <c r="I362" s="66"/>
      <c r="J362" s="239"/>
      <c r="K362" s="234"/>
      <c r="L362" s="239"/>
      <c r="M362" s="239"/>
      <c r="N362" s="239"/>
      <c r="O362" s="239"/>
      <c r="P362" s="239"/>
      <c r="Q362" s="239"/>
      <c r="R362" s="239"/>
      <c r="S362" s="239"/>
    </row>
    <row r="363" spans="6:19" s="293" customFormat="1" x14ac:dyDescent="0.25">
      <c r="F363" s="196" t="s">
        <v>936</v>
      </c>
      <c r="G363" s="196" t="s">
        <v>120</v>
      </c>
      <c r="H363" s="196" t="s">
        <v>145</v>
      </c>
      <c r="I363" s="66"/>
      <c r="J363" s="239"/>
      <c r="K363" s="234"/>
      <c r="L363" s="239"/>
      <c r="M363" s="239"/>
      <c r="N363" s="239"/>
      <c r="O363" s="239"/>
      <c r="P363" s="239"/>
      <c r="Q363" s="239"/>
      <c r="R363" s="239"/>
      <c r="S363" s="239"/>
    </row>
    <row r="364" spans="6:19" s="293" customFormat="1" x14ac:dyDescent="0.25">
      <c r="F364" s="196" t="s">
        <v>937</v>
      </c>
      <c r="G364" s="196" t="s">
        <v>120</v>
      </c>
      <c r="H364" s="196" t="s">
        <v>145</v>
      </c>
      <c r="I364" s="66"/>
      <c r="J364" s="239"/>
      <c r="K364" s="234"/>
      <c r="L364" s="239"/>
      <c r="M364" s="239"/>
      <c r="N364" s="239"/>
      <c r="O364" s="239"/>
      <c r="P364" s="239"/>
      <c r="Q364" s="239"/>
      <c r="R364" s="239"/>
      <c r="S364" s="239"/>
    </row>
    <row r="365" spans="6:19" s="293" customFormat="1" x14ac:dyDescent="0.25">
      <c r="F365" s="196" t="s">
        <v>938</v>
      </c>
      <c r="G365" s="196" t="s">
        <v>120</v>
      </c>
      <c r="H365" s="196" t="s">
        <v>145</v>
      </c>
      <c r="I365" s="66"/>
      <c r="J365" s="239"/>
      <c r="K365" s="234"/>
      <c r="L365" s="239"/>
      <c r="M365" s="239"/>
      <c r="N365" s="239"/>
      <c r="O365" s="239"/>
      <c r="P365" s="239"/>
      <c r="Q365" s="239"/>
      <c r="R365" s="239"/>
      <c r="S365" s="239"/>
    </row>
    <row r="366" spans="6:19" s="293" customFormat="1" x14ac:dyDescent="0.25">
      <c r="F366" s="196" t="s">
        <v>939</v>
      </c>
      <c r="G366" s="196" t="s">
        <v>120</v>
      </c>
      <c r="H366" s="196" t="s">
        <v>145</v>
      </c>
      <c r="I366" s="66"/>
      <c r="J366" s="239"/>
      <c r="K366" s="234"/>
      <c r="L366" s="239"/>
      <c r="M366" s="239"/>
      <c r="N366" s="239"/>
      <c r="O366" s="239"/>
      <c r="P366" s="239"/>
      <c r="Q366" s="239"/>
      <c r="R366" s="239"/>
      <c r="S366" s="239"/>
    </row>
    <row r="367" spans="6:19" s="293" customFormat="1" x14ac:dyDescent="0.25">
      <c r="F367" s="196" t="s">
        <v>940</v>
      </c>
      <c r="G367" s="196" t="s">
        <v>120</v>
      </c>
      <c r="H367" s="196" t="s">
        <v>145</v>
      </c>
      <c r="I367" s="66"/>
      <c r="J367" s="239"/>
      <c r="K367" s="234"/>
      <c r="L367" s="239"/>
      <c r="M367" s="239"/>
      <c r="N367" s="239"/>
      <c r="O367" s="239"/>
      <c r="P367" s="239"/>
      <c r="Q367" s="239"/>
      <c r="R367" s="239"/>
      <c r="S367" s="239"/>
    </row>
    <row r="368" spans="6:19" s="293" customFormat="1" x14ac:dyDescent="0.25">
      <c r="F368" s="93" t="s">
        <v>941</v>
      </c>
      <c r="G368" s="93" t="s">
        <v>120</v>
      </c>
      <c r="H368" s="93" t="s">
        <v>145</v>
      </c>
      <c r="I368" s="145"/>
      <c r="J368" s="240"/>
      <c r="K368" s="236"/>
      <c r="L368" s="240"/>
      <c r="M368" s="240"/>
      <c r="N368" s="240"/>
      <c r="O368" s="240"/>
      <c r="P368" s="240"/>
      <c r="Q368" s="240"/>
      <c r="R368" s="240"/>
      <c r="S368" s="240"/>
    </row>
    <row r="369" spans="5:19" s="293" customFormat="1" x14ac:dyDescent="0.25">
      <c r="I369" s="111"/>
      <c r="J369" s="237"/>
      <c r="K369" s="237"/>
      <c r="L369" s="237"/>
      <c r="M369" s="237"/>
      <c r="N369" s="237"/>
      <c r="O369" s="237"/>
      <c r="P369" s="237"/>
      <c r="Q369" s="237"/>
      <c r="R369" s="237"/>
      <c r="S369" s="237"/>
    </row>
    <row r="370" spans="5:19" s="293" customFormat="1" x14ac:dyDescent="0.25">
      <c r="E370" s="144" t="s">
        <v>74</v>
      </c>
      <c r="I370" s="111"/>
      <c r="J370" s="237"/>
      <c r="K370" s="237"/>
      <c r="L370" s="237"/>
      <c r="M370" s="237"/>
      <c r="N370" s="237"/>
      <c r="O370" s="237"/>
      <c r="P370" s="237"/>
      <c r="Q370" s="237"/>
      <c r="R370" s="237"/>
      <c r="S370" s="237"/>
    </row>
    <row r="371" spans="5:19" s="293" customFormat="1" x14ac:dyDescent="0.25">
      <c r="F371" s="91" t="s">
        <v>926</v>
      </c>
      <c r="G371" s="91" t="s">
        <v>74</v>
      </c>
      <c r="H371" s="91" t="s">
        <v>145</v>
      </c>
      <c r="I371" s="112"/>
      <c r="J371" s="238"/>
      <c r="K371" s="232"/>
      <c r="L371" s="238"/>
      <c r="M371" s="238"/>
      <c r="N371" s="238"/>
      <c r="O371" s="238"/>
      <c r="P371" s="238"/>
      <c r="Q371" s="238"/>
      <c r="R371" s="238"/>
      <c r="S371" s="238"/>
    </row>
    <row r="372" spans="5:19" s="293" customFormat="1" x14ac:dyDescent="0.25">
      <c r="F372" s="196" t="s">
        <v>927</v>
      </c>
      <c r="G372" s="196" t="s">
        <v>74</v>
      </c>
      <c r="H372" s="196" t="s">
        <v>145</v>
      </c>
      <c r="I372" s="66"/>
      <c r="J372" s="239"/>
      <c r="K372" s="234"/>
      <c r="L372" s="239"/>
      <c r="M372" s="239"/>
      <c r="N372" s="239"/>
      <c r="O372" s="239"/>
      <c r="P372" s="239"/>
      <c r="Q372" s="239"/>
      <c r="R372" s="239"/>
      <c r="S372" s="239"/>
    </row>
    <row r="373" spans="5:19" s="293" customFormat="1" x14ac:dyDescent="0.25">
      <c r="F373" s="196" t="s">
        <v>928</v>
      </c>
      <c r="G373" s="196" t="s">
        <v>74</v>
      </c>
      <c r="H373" s="196" t="s">
        <v>145</v>
      </c>
      <c r="I373" s="66"/>
      <c r="J373" s="233">
        <f t="shared" ref="J373" si="34">CHOOSE(year_selection, L373,M373,N373,O373,P373,Q373,R373,S373)</f>
        <v>69496.230336396038</v>
      </c>
      <c r="K373" s="234"/>
      <c r="L373" s="330"/>
      <c r="M373" s="330"/>
      <c r="N373" s="330"/>
      <c r="O373" s="330">
        <v>69496.230336396038</v>
      </c>
      <c r="P373" s="330">
        <v>69596.149777476603</v>
      </c>
      <c r="Q373" s="330">
        <v>69689.38455598896</v>
      </c>
      <c r="R373" s="330">
        <v>69780.593109824695</v>
      </c>
      <c r="S373" s="330">
        <v>69871.80166366043</v>
      </c>
    </row>
    <row r="374" spans="5:19" s="293" customFormat="1" x14ac:dyDescent="0.25">
      <c r="F374" s="196" t="s">
        <v>929</v>
      </c>
      <c r="G374" s="196" t="s">
        <v>74</v>
      </c>
      <c r="H374" s="196" t="s">
        <v>145</v>
      </c>
      <c r="I374" s="66"/>
      <c r="J374" s="239"/>
      <c r="K374" s="234"/>
      <c r="L374" s="239"/>
      <c r="M374" s="239"/>
      <c r="N374" s="239"/>
      <c r="O374" s="239"/>
      <c r="P374" s="239"/>
      <c r="Q374" s="239"/>
      <c r="R374" s="239"/>
      <c r="S374" s="239"/>
    </row>
    <row r="375" spans="5:19" s="293" customFormat="1" x14ac:dyDescent="0.25">
      <c r="F375" s="196" t="s">
        <v>930</v>
      </c>
      <c r="G375" s="196" t="s">
        <v>74</v>
      </c>
      <c r="H375" s="196" t="s">
        <v>145</v>
      </c>
      <c r="I375" s="66"/>
      <c r="J375" s="233">
        <f t="shared" ref="J375:J377" si="35">CHOOSE(year_selection, L375,M375,N375,O375,P375,Q375,R375,S375)</f>
        <v>5393.602994688049</v>
      </c>
      <c r="K375" s="234"/>
      <c r="L375" s="330"/>
      <c r="M375" s="330"/>
      <c r="N375" s="330"/>
      <c r="O375" s="330">
        <v>5393.602994688049</v>
      </c>
      <c r="P375" s="330">
        <v>5433.0458824456473</v>
      </c>
      <c r="Q375" s="330">
        <v>5483.6423148420472</v>
      </c>
      <c r="R375" s="330">
        <v>5538.5100477332544</v>
      </c>
      <c r="S375" s="330">
        <v>5593.3777806244616</v>
      </c>
    </row>
    <row r="376" spans="5:19" s="293" customFormat="1" x14ac:dyDescent="0.25">
      <c r="F376" s="196" t="s">
        <v>931</v>
      </c>
      <c r="G376" s="196" t="s">
        <v>74</v>
      </c>
      <c r="H376" s="196" t="s">
        <v>145</v>
      </c>
      <c r="I376" s="66"/>
      <c r="J376" s="233">
        <f t="shared" si="35"/>
        <v>38.438461538461539</v>
      </c>
      <c r="K376" s="234"/>
      <c r="L376" s="330"/>
      <c r="M376" s="330"/>
      <c r="N376" s="330"/>
      <c r="O376" s="330">
        <v>38.438461538461539</v>
      </c>
      <c r="P376" s="330">
        <v>38.438461538461539</v>
      </c>
      <c r="Q376" s="330">
        <v>38.438461538461539</v>
      </c>
      <c r="R376" s="330">
        <v>38.438461538461539</v>
      </c>
      <c r="S376" s="330">
        <v>38.438461538461539</v>
      </c>
    </row>
    <row r="377" spans="5:19" s="293" customFormat="1" x14ac:dyDescent="0.25">
      <c r="F377" s="196" t="s">
        <v>932</v>
      </c>
      <c r="G377" s="196" t="s">
        <v>74</v>
      </c>
      <c r="H377" s="196" t="s">
        <v>145</v>
      </c>
      <c r="I377" s="66"/>
      <c r="J377" s="233">
        <f t="shared" si="35"/>
        <v>645.37581682166717</v>
      </c>
      <c r="K377" s="234"/>
      <c r="L377" s="330"/>
      <c r="M377" s="330"/>
      <c r="N377" s="330"/>
      <c r="O377" s="330">
        <v>645.37581682166717</v>
      </c>
      <c r="P377" s="330">
        <v>648.23526283341027</v>
      </c>
      <c r="Q377" s="330">
        <v>651.97009402103333</v>
      </c>
      <c r="R377" s="330">
        <v>656.0202159212389</v>
      </c>
      <c r="S377" s="330">
        <v>660.07033782144447</v>
      </c>
    </row>
    <row r="378" spans="5:19" s="293" customFormat="1" x14ac:dyDescent="0.25">
      <c r="F378" s="196" t="s">
        <v>933</v>
      </c>
      <c r="G378" s="196" t="s">
        <v>74</v>
      </c>
      <c r="H378" s="196" t="s">
        <v>145</v>
      </c>
      <c r="I378" s="66"/>
      <c r="J378" s="239"/>
      <c r="K378" s="234"/>
      <c r="L378" s="239"/>
      <c r="M378" s="239"/>
      <c r="N378" s="239"/>
      <c r="O378" s="239"/>
      <c r="P378" s="239"/>
      <c r="Q378" s="239"/>
      <c r="R378" s="239"/>
      <c r="S378" s="239"/>
    </row>
    <row r="379" spans="5:19" s="293" customFormat="1" x14ac:dyDescent="0.25">
      <c r="F379" s="196" t="s">
        <v>934</v>
      </c>
      <c r="G379" s="196" t="s">
        <v>74</v>
      </c>
      <c r="H379" s="196" t="s">
        <v>145</v>
      </c>
      <c r="I379" s="66"/>
      <c r="J379" s="239"/>
      <c r="K379" s="234"/>
      <c r="L379" s="239"/>
      <c r="M379" s="239"/>
      <c r="N379" s="239"/>
      <c r="O379" s="239"/>
      <c r="P379" s="239"/>
      <c r="Q379" s="239"/>
      <c r="R379" s="239"/>
      <c r="S379" s="239"/>
    </row>
    <row r="380" spans="5:19" s="293" customFormat="1" x14ac:dyDescent="0.25">
      <c r="F380" s="196" t="s">
        <v>935</v>
      </c>
      <c r="G380" s="196" t="s">
        <v>74</v>
      </c>
      <c r="H380" s="196" t="s">
        <v>145</v>
      </c>
      <c r="I380" s="66"/>
      <c r="J380" s="239"/>
      <c r="K380" s="234"/>
      <c r="L380" s="239"/>
      <c r="M380" s="239"/>
      <c r="N380" s="239"/>
      <c r="O380" s="239"/>
      <c r="P380" s="239"/>
      <c r="Q380" s="239"/>
      <c r="R380" s="239"/>
      <c r="S380" s="239"/>
    </row>
    <row r="381" spans="5:19" s="293" customFormat="1" x14ac:dyDescent="0.25">
      <c r="F381" s="196" t="s">
        <v>936</v>
      </c>
      <c r="G381" s="196" t="s">
        <v>74</v>
      </c>
      <c r="H381" s="196" t="s">
        <v>145</v>
      </c>
      <c r="I381" s="66"/>
      <c r="J381" s="239"/>
      <c r="K381" s="234"/>
      <c r="L381" s="239"/>
      <c r="M381" s="239"/>
      <c r="N381" s="239"/>
      <c r="O381" s="239"/>
      <c r="P381" s="239"/>
      <c r="Q381" s="239"/>
      <c r="R381" s="239"/>
      <c r="S381" s="239"/>
    </row>
    <row r="382" spans="5:19" s="293" customFormat="1" x14ac:dyDescent="0.25">
      <c r="F382" s="196" t="s">
        <v>937</v>
      </c>
      <c r="G382" s="196" t="s">
        <v>74</v>
      </c>
      <c r="H382" s="196" t="s">
        <v>145</v>
      </c>
      <c r="I382" s="66"/>
      <c r="J382" s="239"/>
      <c r="K382" s="234"/>
      <c r="L382" s="239"/>
      <c r="M382" s="239"/>
      <c r="N382" s="239"/>
      <c r="O382" s="239"/>
      <c r="P382" s="239"/>
      <c r="Q382" s="239"/>
      <c r="R382" s="239"/>
      <c r="S382" s="239"/>
    </row>
    <row r="383" spans="5:19" s="293" customFormat="1" x14ac:dyDescent="0.25">
      <c r="F383" s="196" t="s">
        <v>938</v>
      </c>
      <c r="G383" s="196" t="s">
        <v>74</v>
      </c>
      <c r="H383" s="196" t="s">
        <v>145</v>
      </c>
      <c r="I383" s="66"/>
      <c r="J383" s="239"/>
      <c r="K383" s="234"/>
      <c r="L383" s="239"/>
      <c r="M383" s="239"/>
      <c r="N383" s="239"/>
      <c r="O383" s="239"/>
      <c r="P383" s="239"/>
      <c r="Q383" s="239"/>
      <c r="R383" s="239"/>
      <c r="S383" s="239"/>
    </row>
    <row r="384" spans="5:19" s="293" customFormat="1" x14ac:dyDescent="0.25">
      <c r="F384" s="196" t="s">
        <v>939</v>
      </c>
      <c r="G384" s="196" t="s">
        <v>74</v>
      </c>
      <c r="H384" s="196" t="s">
        <v>145</v>
      </c>
      <c r="I384" s="66"/>
      <c r="J384" s="239"/>
      <c r="K384" s="234"/>
      <c r="L384" s="239"/>
      <c r="M384" s="239"/>
      <c r="N384" s="239"/>
      <c r="O384" s="239"/>
      <c r="P384" s="239"/>
      <c r="Q384" s="239"/>
      <c r="R384" s="239"/>
      <c r="S384" s="239"/>
    </row>
    <row r="385" spans="5:19" s="293" customFormat="1" x14ac:dyDescent="0.25">
      <c r="F385" s="196" t="s">
        <v>940</v>
      </c>
      <c r="G385" s="196" t="s">
        <v>74</v>
      </c>
      <c r="H385" s="196" t="s">
        <v>145</v>
      </c>
      <c r="I385" s="66"/>
      <c r="J385" s="239"/>
      <c r="K385" s="234"/>
      <c r="L385" s="239"/>
      <c r="M385" s="239"/>
      <c r="N385" s="239"/>
      <c r="O385" s="239"/>
      <c r="P385" s="239"/>
      <c r="Q385" s="239"/>
      <c r="R385" s="239"/>
      <c r="S385" s="239"/>
    </row>
    <row r="386" spans="5:19" s="293" customFormat="1" x14ac:dyDescent="0.25">
      <c r="F386" s="93" t="s">
        <v>941</v>
      </c>
      <c r="G386" s="93" t="s">
        <v>74</v>
      </c>
      <c r="H386" s="93" t="s">
        <v>145</v>
      </c>
      <c r="I386" s="145"/>
      <c r="J386" s="240"/>
      <c r="K386" s="236"/>
      <c r="L386" s="240"/>
      <c r="M386" s="240"/>
      <c r="N386" s="240"/>
      <c r="O386" s="240"/>
      <c r="P386" s="240"/>
      <c r="Q386" s="240"/>
      <c r="R386" s="240"/>
      <c r="S386" s="240"/>
    </row>
    <row r="387" spans="5:19" s="293" customFormat="1" x14ac:dyDescent="0.25">
      <c r="I387" s="111"/>
      <c r="J387" s="237"/>
      <c r="K387" s="237"/>
      <c r="L387" s="237"/>
      <c r="M387" s="237"/>
      <c r="N387" s="237"/>
      <c r="O387" s="237"/>
      <c r="P387" s="237"/>
      <c r="Q387" s="237"/>
      <c r="R387" s="237"/>
      <c r="S387" s="237"/>
    </row>
    <row r="388" spans="5:19" s="293" customFormat="1" x14ac:dyDescent="0.25">
      <c r="E388" s="144" t="s">
        <v>202</v>
      </c>
      <c r="I388" s="111"/>
      <c r="J388" s="237"/>
      <c r="K388" s="237"/>
      <c r="L388" s="237"/>
      <c r="M388" s="237"/>
      <c r="N388" s="237"/>
      <c r="O388" s="237"/>
      <c r="P388" s="237"/>
      <c r="Q388" s="237"/>
      <c r="R388" s="237"/>
      <c r="S388" s="237"/>
    </row>
    <row r="389" spans="5:19" s="293" customFormat="1" x14ac:dyDescent="0.25">
      <c r="F389" s="91" t="s">
        <v>926</v>
      </c>
      <c r="G389" s="91" t="s">
        <v>169</v>
      </c>
      <c r="H389" s="91" t="s">
        <v>145</v>
      </c>
      <c r="I389" s="112"/>
      <c r="J389" s="238"/>
      <c r="K389" s="232"/>
      <c r="L389" s="238"/>
      <c r="M389" s="238"/>
      <c r="N389" s="238"/>
      <c r="O389" s="238"/>
      <c r="P389" s="238"/>
      <c r="Q389" s="238"/>
      <c r="R389" s="238"/>
      <c r="S389" s="238"/>
    </row>
    <row r="390" spans="5:19" s="293" customFormat="1" x14ac:dyDescent="0.25">
      <c r="F390" s="196" t="s">
        <v>927</v>
      </c>
      <c r="G390" s="196" t="s">
        <v>169</v>
      </c>
      <c r="H390" s="196" t="s">
        <v>145</v>
      </c>
      <c r="I390" s="66"/>
      <c r="J390" s="239"/>
      <c r="K390" s="234"/>
      <c r="L390" s="239"/>
      <c r="M390" s="239"/>
      <c r="N390" s="239"/>
      <c r="O390" s="239"/>
      <c r="P390" s="239"/>
      <c r="Q390" s="239"/>
      <c r="R390" s="239"/>
      <c r="S390" s="239"/>
    </row>
    <row r="391" spans="5:19" s="293" customFormat="1" x14ac:dyDescent="0.25">
      <c r="F391" s="196" t="s">
        <v>928</v>
      </c>
      <c r="G391" s="196" t="s">
        <v>169</v>
      </c>
      <c r="H391" s="196" t="s">
        <v>145</v>
      </c>
      <c r="I391" s="66"/>
      <c r="J391" s="239"/>
      <c r="K391" s="234"/>
      <c r="L391" s="239"/>
      <c r="M391" s="239"/>
      <c r="N391" s="239"/>
      <c r="O391" s="239"/>
      <c r="P391" s="239"/>
      <c r="Q391" s="239"/>
      <c r="R391" s="239"/>
      <c r="S391" s="239"/>
    </row>
    <row r="392" spans="5:19" s="293" customFormat="1" x14ac:dyDescent="0.25">
      <c r="F392" s="196" t="s">
        <v>929</v>
      </c>
      <c r="G392" s="196" t="s">
        <v>169</v>
      </c>
      <c r="H392" s="196" t="s">
        <v>145</v>
      </c>
      <c r="I392" s="66"/>
      <c r="J392" s="239"/>
      <c r="K392" s="234"/>
      <c r="L392" s="239"/>
      <c r="M392" s="239"/>
      <c r="N392" s="239"/>
      <c r="O392" s="239"/>
      <c r="P392" s="239"/>
      <c r="Q392" s="239"/>
      <c r="R392" s="239"/>
      <c r="S392" s="239"/>
    </row>
    <row r="393" spans="5:19" s="293" customFormat="1" x14ac:dyDescent="0.25">
      <c r="F393" s="196" t="s">
        <v>930</v>
      </c>
      <c r="G393" s="196" t="s">
        <v>169</v>
      </c>
      <c r="H393" s="196" t="s">
        <v>145</v>
      </c>
      <c r="I393" s="66"/>
      <c r="J393" s="233">
        <f t="shared" ref="J393:J395" si="36">CHOOSE(year_selection, L393,M393,N393,O393,P393,Q393,R393,S393)</f>
        <v>593224.42965042905</v>
      </c>
      <c r="K393" s="234"/>
      <c r="L393" s="330"/>
      <c r="M393" s="330"/>
      <c r="N393" s="330"/>
      <c r="O393" s="330">
        <v>593224.42965042905</v>
      </c>
      <c r="P393" s="330">
        <v>603127.56996778306</v>
      </c>
      <c r="Q393" s="330">
        <v>603127.56996778306</v>
      </c>
      <c r="R393" s="330">
        <v>609162.28932230931</v>
      </c>
      <c r="S393" s="330">
        <v>615197.00867683557</v>
      </c>
    </row>
    <row r="394" spans="5:19" s="293" customFormat="1" x14ac:dyDescent="0.25">
      <c r="F394" s="196" t="s">
        <v>931</v>
      </c>
      <c r="G394" s="196" t="s">
        <v>169</v>
      </c>
      <c r="H394" s="196" t="s">
        <v>145</v>
      </c>
      <c r="I394" s="66"/>
      <c r="J394" s="233">
        <f t="shared" si="36"/>
        <v>6213.8572548426428</v>
      </c>
      <c r="K394" s="234"/>
      <c r="L394" s="330"/>
      <c r="M394" s="330"/>
      <c r="N394" s="330"/>
      <c r="O394" s="330">
        <v>6213.8572548426428</v>
      </c>
      <c r="P394" s="330">
        <v>6212.2058987803466</v>
      </c>
      <c r="Q394" s="330">
        <v>6212.2058987803466</v>
      </c>
      <c r="R394" s="330">
        <v>6212.1879699585734</v>
      </c>
      <c r="S394" s="330">
        <v>6212.1700411368001</v>
      </c>
    </row>
    <row r="395" spans="5:19" s="293" customFormat="1" x14ac:dyDescent="0.25">
      <c r="F395" s="196" t="s">
        <v>932</v>
      </c>
      <c r="G395" s="196" t="s">
        <v>169</v>
      </c>
      <c r="H395" s="196" t="s">
        <v>145</v>
      </c>
      <c r="I395" s="66"/>
      <c r="J395" s="233">
        <f t="shared" si="36"/>
        <v>472414.44837443682</v>
      </c>
      <c r="K395" s="234"/>
      <c r="L395" s="330"/>
      <c r="M395" s="330"/>
      <c r="N395" s="330"/>
      <c r="O395" s="330">
        <v>472414.44837443682</v>
      </c>
      <c r="P395" s="330">
        <v>477248.98593641719</v>
      </c>
      <c r="Q395" s="330">
        <v>477248.98593641719</v>
      </c>
      <c r="R395" s="330">
        <v>480213.72639245569</v>
      </c>
      <c r="S395" s="330">
        <v>483178.46684849414</v>
      </c>
    </row>
    <row r="396" spans="5:19" s="293" customFormat="1" x14ac:dyDescent="0.25">
      <c r="F396" s="196" t="s">
        <v>933</v>
      </c>
      <c r="G396" s="196" t="s">
        <v>169</v>
      </c>
      <c r="H396" s="196" t="s">
        <v>145</v>
      </c>
      <c r="I396" s="66"/>
      <c r="J396" s="239"/>
      <c r="K396" s="234"/>
      <c r="L396" s="239"/>
      <c r="M396" s="239"/>
      <c r="N396" s="239"/>
      <c r="O396" s="239"/>
      <c r="P396" s="239"/>
      <c r="Q396" s="239"/>
      <c r="R396" s="239"/>
      <c r="S396" s="239"/>
    </row>
    <row r="397" spans="5:19" s="293" customFormat="1" x14ac:dyDescent="0.25">
      <c r="F397" s="196" t="s">
        <v>934</v>
      </c>
      <c r="G397" s="196" t="s">
        <v>169</v>
      </c>
      <c r="H397" s="196" t="s">
        <v>145</v>
      </c>
      <c r="I397" s="66"/>
      <c r="J397" s="239"/>
      <c r="K397" s="234"/>
      <c r="L397" s="239"/>
      <c r="M397" s="239"/>
      <c r="N397" s="239"/>
      <c r="O397" s="239"/>
      <c r="P397" s="239"/>
      <c r="Q397" s="239"/>
      <c r="R397" s="239"/>
      <c r="S397" s="239"/>
    </row>
    <row r="398" spans="5:19" s="293" customFormat="1" x14ac:dyDescent="0.25">
      <c r="F398" s="196" t="s">
        <v>935</v>
      </c>
      <c r="G398" s="196" t="s">
        <v>169</v>
      </c>
      <c r="H398" s="196" t="s">
        <v>145</v>
      </c>
      <c r="I398" s="66"/>
      <c r="J398" s="239"/>
      <c r="K398" s="234"/>
      <c r="L398" s="239"/>
      <c r="M398" s="239"/>
      <c r="N398" s="239"/>
      <c r="O398" s="239"/>
      <c r="P398" s="239"/>
      <c r="Q398" s="239"/>
      <c r="R398" s="239"/>
      <c r="S398" s="239"/>
    </row>
    <row r="399" spans="5:19" s="293" customFormat="1" x14ac:dyDescent="0.25">
      <c r="F399" s="196" t="s">
        <v>936</v>
      </c>
      <c r="G399" s="196" t="s">
        <v>169</v>
      </c>
      <c r="H399" s="196" t="s">
        <v>145</v>
      </c>
      <c r="I399" s="66"/>
      <c r="J399" s="239"/>
      <c r="K399" s="234"/>
      <c r="L399" s="239"/>
      <c r="M399" s="239"/>
      <c r="N399" s="239"/>
      <c r="O399" s="239"/>
      <c r="P399" s="239"/>
      <c r="Q399" s="239"/>
      <c r="R399" s="239"/>
      <c r="S399" s="239"/>
    </row>
    <row r="400" spans="5:19" s="293" customFormat="1" x14ac:dyDescent="0.25">
      <c r="F400" s="196" t="s">
        <v>937</v>
      </c>
      <c r="G400" s="196" t="s">
        <v>169</v>
      </c>
      <c r="H400" s="196" t="s">
        <v>145</v>
      </c>
      <c r="I400" s="66"/>
      <c r="J400" s="239"/>
      <c r="K400" s="234"/>
      <c r="L400" s="239"/>
      <c r="M400" s="239"/>
      <c r="N400" s="239"/>
      <c r="O400" s="239"/>
      <c r="P400" s="239"/>
      <c r="Q400" s="239"/>
      <c r="R400" s="239"/>
      <c r="S400" s="239"/>
    </row>
    <row r="401" spans="5:19" s="293" customFormat="1" x14ac:dyDescent="0.25">
      <c r="F401" s="196" t="s">
        <v>938</v>
      </c>
      <c r="G401" s="196" t="s">
        <v>169</v>
      </c>
      <c r="H401" s="196" t="s">
        <v>145</v>
      </c>
      <c r="I401" s="66"/>
      <c r="J401" s="239"/>
      <c r="K401" s="234"/>
      <c r="L401" s="239"/>
      <c r="M401" s="239"/>
      <c r="N401" s="239"/>
      <c r="O401" s="239"/>
      <c r="P401" s="239"/>
      <c r="Q401" s="239"/>
      <c r="R401" s="239"/>
      <c r="S401" s="239"/>
    </row>
    <row r="402" spans="5:19" s="293" customFormat="1" x14ac:dyDescent="0.25">
      <c r="F402" s="196" t="s">
        <v>939</v>
      </c>
      <c r="G402" s="196" t="s">
        <v>169</v>
      </c>
      <c r="H402" s="196" t="s">
        <v>145</v>
      </c>
      <c r="I402" s="66"/>
      <c r="J402" s="239"/>
      <c r="K402" s="234"/>
      <c r="L402" s="239"/>
      <c r="M402" s="239"/>
      <c r="N402" s="239"/>
      <c r="O402" s="239"/>
      <c r="P402" s="239"/>
      <c r="Q402" s="239"/>
      <c r="R402" s="239"/>
      <c r="S402" s="239"/>
    </row>
    <row r="403" spans="5:19" s="293" customFormat="1" x14ac:dyDescent="0.25">
      <c r="F403" s="196" t="s">
        <v>940</v>
      </c>
      <c r="G403" s="196" t="s">
        <v>169</v>
      </c>
      <c r="H403" s="196" t="s">
        <v>145</v>
      </c>
      <c r="I403" s="66"/>
      <c r="J403" s="239"/>
      <c r="K403" s="234"/>
      <c r="L403" s="239"/>
      <c r="M403" s="239"/>
      <c r="N403" s="239"/>
      <c r="O403" s="239"/>
      <c r="P403" s="239"/>
      <c r="Q403" s="239"/>
      <c r="R403" s="239"/>
      <c r="S403" s="239"/>
    </row>
    <row r="404" spans="5:19" s="293" customFormat="1" x14ac:dyDescent="0.25">
      <c r="F404" s="93" t="s">
        <v>941</v>
      </c>
      <c r="G404" s="93" t="s">
        <v>169</v>
      </c>
      <c r="H404" s="93" t="s">
        <v>145</v>
      </c>
      <c r="I404" s="145"/>
      <c r="J404" s="240"/>
      <c r="K404" s="236"/>
      <c r="L404" s="240"/>
      <c r="M404" s="240"/>
      <c r="N404" s="240"/>
      <c r="O404" s="240"/>
      <c r="P404" s="240"/>
      <c r="Q404" s="240"/>
      <c r="R404" s="240"/>
      <c r="S404" s="240"/>
    </row>
    <row r="405" spans="5:19" s="293" customFormat="1" x14ac:dyDescent="0.25">
      <c r="I405" s="111"/>
      <c r="J405" s="237"/>
      <c r="K405" s="237"/>
      <c r="L405" s="237"/>
      <c r="M405" s="237"/>
      <c r="N405" s="237"/>
      <c r="O405" s="237"/>
      <c r="P405" s="237"/>
      <c r="Q405" s="237"/>
      <c r="R405" s="237"/>
      <c r="S405" s="237"/>
    </row>
    <row r="406" spans="5:19" s="293" customFormat="1" x14ac:dyDescent="0.25">
      <c r="E406" s="144" t="s">
        <v>203</v>
      </c>
      <c r="I406" s="111"/>
      <c r="J406" s="237"/>
      <c r="K406" s="237"/>
      <c r="L406" s="237"/>
      <c r="M406" s="237"/>
      <c r="N406" s="237"/>
      <c r="O406" s="237"/>
      <c r="P406" s="237"/>
      <c r="Q406" s="237"/>
      <c r="R406" s="237"/>
      <c r="S406" s="237"/>
    </row>
    <row r="407" spans="5:19" s="293" customFormat="1" x14ac:dyDescent="0.25">
      <c r="F407" s="91" t="s">
        <v>926</v>
      </c>
      <c r="G407" s="91" t="s">
        <v>169</v>
      </c>
      <c r="H407" s="91" t="s">
        <v>145</v>
      </c>
      <c r="I407" s="112"/>
      <c r="J407" s="238"/>
      <c r="K407" s="232"/>
      <c r="L407" s="238"/>
      <c r="M407" s="238"/>
      <c r="N407" s="238"/>
      <c r="O407" s="238"/>
      <c r="P407" s="238"/>
      <c r="Q407" s="238"/>
      <c r="R407" s="238"/>
      <c r="S407" s="238"/>
    </row>
    <row r="408" spans="5:19" s="293" customFormat="1" x14ac:dyDescent="0.25">
      <c r="F408" s="196" t="s">
        <v>927</v>
      </c>
      <c r="G408" s="196" t="s">
        <v>169</v>
      </c>
      <c r="H408" s="196" t="s">
        <v>145</v>
      </c>
      <c r="I408" s="66"/>
      <c r="J408" s="239"/>
      <c r="K408" s="234"/>
      <c r="L408" s="239"/>
      <c r="M408" s="239"/>
      <c r="N408" s="239"/>
      <c r="O408" s="239"/>
      <c r="P408" s="239"/>
      <c r="Q408" s="239"/>
      <c r="R408" s="239"/>
      <c r="S408" s="239"/>
    </row>
    <row r="409" spans="5:19" s="293" customFormat="1" x14ac:dyDescent="0.25">
      <c r="F409" s="196" t="s">
        <v>928</v>
      </c>
      <c r="G409" s="196" t="s">
        <v>169</v>
      </c>
      <c r="H409" s="196" t="s">
        <v>145</v>
      </c>
      <c r="I409" s="66"/>
      <c r="J409" s="239"/>
      <c r="K409" s="234"/>
      <c r="L409" s="239"/>
      <c r="M409" s="239"/>
      <c r="N409" s="239"/>
      <c r="O409" s="239"/>
      <c r="P409" s="239"/>
      <c r="Q409" s="239"/>
      <c r="R409" s="239"/>
      <c r="S409" s="239"/>
    </row>
    <row r="410" spans="5:19" s="293" customFormat="1" x14ac:dyDescent="0.25">
      <c r="F410" s="196" t="s">
        <v>929</v>
      </c>
      <c r="G410" s="196" t="s">
        <v>169</v>
      </c>
      <c r="H410" s="196" t="s">
        <v>145</v>
      </c>
      <c r="I410" s="66"/>
      <c r="J410" s="239"/>
      <c r="K410" s="234"/>
      <c r="L410" s="239"/>
      <c r="M410" s="239"/>
      <c r="N410" s="239"/>
      <c r="O410" s="239"/>
      <c r="P410" s="239"/>
      <c r="Q410" s="239"/>
      <c r="R410" s="239"/>
      <c r="S410" s="239"/>
    </row>
    <row r="411" spans="5:19" s="293" customFormat="1" x14ac:dyDescent="0.25">
      <c r="F411" s="196" t="s">
        <v>930</v>
      </c>
      <c r="G411" s="196" t="s">
        <v>169</v>
      </c>
      <c r="H411" s="196" t="s">
        <v>145</v>
      </c>
      <c r="I411" s="66"/>
      <c r="J411" s="233">
        <f t="shared" ref="J411:J413" si="37">CHOOSE(year_selection, L411,M411,N411,O411,P411,Q411,R411,S411)</f>
        <v>8088.9454116888892</v>
      </c>
      <c r="K411" s="234"/>
      <c r="L411" s="330"/>
      <c r="M411" s="330"/>
      <c r="N411" s="330"/>
      <c r="O411" s="330">
        <v>8088.9454116888892</v>
      </c>
      <c r="P411" s="330">
        <v>8223.9802440854201</v>
      </c>
      <c r="Q411" s="330">
        <v>8223.9802440854201</v>
      </c>
      <c r="R411" s="330">
        <v>8306.2670026775959</v>
      </c>
      <c r="S411" s="330">
        <v>8388.5537612697699</v>
      </c>
    </row>
    <row r="412" spans="5:19" s="293" customFormat="1" x14ac:dyDescent="0.25">
      <c r="F412" s="196" t="s">
        <v>931</v>
      </c>
      <c r="G412" s="196" t="s">
        <v>169</v>
      </c>
      <c r="H412" s="196" t="s">
        <v>145</v>
      </c>
      <c r="I412" s="66"/>
      <c r="J412" s="233">
        <f t="shared" si="37"/>
        <v>42.440969599166309</v>
      </c>
      <c r="K412" s="234"/>
      <c r="L412" s="330"/>
      <c r="M412" s="330"/>
      <c r="N412" s="330"/>
      <c r="O412" s="330">
        <v>42.440969599166309</v>
      </c>
      <c r="P412" s="330">
        <v>42.42969075101081</v>
      </c>
      <c r="Q412" s="330">
        <v>42.42969075101081</v>
      </c>
      <c r="R412" s="330">
        <v>42.429568296221674</v>
      </c>
      <c r="S412" s="330">
        <v>42.429445841432525</v>
      </c>
    </row>
    <row r="413" spans="5:19" s="293" customFormat="1" x14ac:dyDescent="0.25">
      <c r="F413" s="196" t="s">
        <v>932</v>
      </c>
      <c r="G413" s="196" t="s">
        <v>169</v>
      </c>
      <c r="H413" s="196" t="s">
        <v>145</v>
      </c>
      <c r="I413" s="66"/>
      <c r="J413" s="233">
        <f t="shared" si="37"/>
        <v>5665.1994860663681</v>
      </c>
      <c r="K413" s="234"/>
      <c r="L413" s="330"/>
      <c r="M413" s="330"/>
      <c r="N413" s="330"/>
      <c r="O413" s="330">
        <v>5665.1994860663681</v>
      </c>
      <c r="P413" s="330">
        <v>5723.1753159880482</v>
      </c>
      <c r="Q413" s="330">
        <v>5723.1753159880482</v>
      </c>
      <c r="R413" s="330">
        <v>5758.7285175585394</v>
      </c>
      <c r="S413" s="330">
        <v>5794.2817191290305</v>
      </c>
    </row>
    <row r="414" spans="5:19" s="293" customFormat="1" x14ac:dyDescent="0.25">
      <c r="F414" s="196" t="s">
        <v>933</v>
      </c>
      <c r="G414" s="196" t="s">
        <v>169</v>
      </c>
      <c r="H414" s="196" t="s">
        <v>145</v>
      </c>
      <c r="I414" s="66"/>
      <c r="J414" s="239"/>
      <c r="K414" s="234"/>
      <c r="L414" s="239"/>
      <c r="M414" s="239"/>
      <c r="N414" s="239"/>
      <c r="O414" s="239"/>
      <c r="P414" s="239"/>
      <c r="Q414" s="239"/>
      <c r="R414" s="239"/>
      <c r="S414" s="239"/>
    </row>
    <row r="415" spans="5:19" s="293" customFormat="1" x14ac:dyDescent="0.25">
      <c r="F415" s="196" t="s">
        <v>934</v>
      </c>
      <c r="G415" s="196" t="s">
        <v>169</v>
      </c>
      <c r="H415" s="196" t="s">
        <v>145</v>
      </c>
      <c r="I415" s="66"/>
      <c r="J415" s="239"/>
      <c r="K415" s="234"/>
      <c r="L415" s="239"/>
      <c r="M415" s="239"/>
      <c r="N415" s="239"/>
      <c r="O415" s="239"/>
      <c r="P415" s="239"/>
      <c r="Q415" s="239"/>
      <c r="R415" s="239"/>
      <c r="S415" s="239"/>
    </row>
    <row r="416" spans="5:19" s="293" customFormat="1" x14ac:dyDescent="0.25">
      <c r="F416" s="196" t="s">
        <v>935</v>
      </c>
      <c r="G416" s="196" t="s">
        <v>169</v>
      </c>
      <c r="H416" s="196" t="s">
        <v>145</v>
      </c>
      <c r="I416" s="66"/>
      <c r="J416" s="239"/>
      <c r="K416" s="234"/>
      <c r="L416" s="239"/>
      <c r="M416" s="239"/>
      <c r="N416" s="239"/>
      <c r="O416" s="239"/>
      <c r="P416" s="239"/>
      <c r="Q416" s="239"/>
      <c r="R416" s="239"/>
      <c r="S416" s="239"/>
    </row>
    <row r="417" spans="5:19" s="293" customFormat="1" x14ac:dyDescent="0.25">
      <c r="F417" s="196" t="s">
        <v>936</v>
      </c>
      <c r="G417" s="196" t="s">
        <v>169</v>
      </c>
      <c r="H417" s="196" t="s">
        <v>145</v>
      </c>
      <c r="I417" s="66"/>
      <c r="J417" s="239"/>
      <c r="K417" s="234"/>
      <c r="L417" s="239"/>
      <c r="M417" s="239"/>
      <c r="N417" s="239"/>
      <c r="O417" s="239"/>
      <c r="P417" s="239"/>
      <c r="Q417" s="239"/>
      <c r="R417" s="239"/>
      <c r="S417" s="239"/>
    </row>
    <row r="418" spans="5:19" s="293" customFormat="1" x14ac:dyDescent="0.25">
      <c r="F418" s="196" t="s">
        <v>937</v>
      </c>
      <c r="G418" s="196" t="s">
        <v>169</v>
      </c>
      <c r="H418" s="196" t="s">
        <v>145</v>
      </c>
      <c r="I418" s="66"/>
      <c r="J418" s="239"/>
      <c r="K418" s="234"/>
      <c r="L418" s="239"/>
      <c r="M418" s="239"/>
      <c r="N418" s="239"/>
      <c r="O418" s="239"/>
      <c r="P418" s="239"/>
      <c r="Q418" s="239"/>
      <c r="R418" s="239"/>
      <c r="S418" s="239"/>
    </row>
    <row r="419" spans="5:19" s="293" customFormat="1" x14ac:dyDescent="0.25">
      <c r="F419" s="196" t="s">
        <v>938</v>
      </c>
      <c r="G419" s="196" t="s">
        <v>169</v>
      </c>
      <c r="H419" s="196" t="s">
        <v>145</v>
      </c>
      <c r="I419" s="66"/>
      <c r="J419" s="239"/>
      <c r="K419" s="234"/>
      <c r="L419" s="239"/>
      <c r="M419" s="239"/>
      <c r="N419" s="239"/>
      <c r="O419" s="239"/>
      <c r="P419" s="239"/>
      <c r="Q419" s="239"/>
      <c r="R419" s="239"/>
      <c r="S419" s="239"/>
    </row>
    <row r="420" spans="5:19" s="293" customFormat="1" x14ac:dyDescent="0.25">
      <c r="F420" s="196" t="s">
        <v>939</v>
      </c>
      <c r="G420" s="196" t="s">
        <v>169</v>
      </c>
      <c r="H420" s="196" t="s">
        <v>145</v>
      </c>
      <c r="I420" s="66"/>
      <c r="J420" s="239"/>
      <c r="K420" s="234"/>
      <c r="L420" s="239"/>
      <c r="M420" s="239"/>
      <c r="N420" s="239"/>
      <c r="O420" s="239"/>
      <c r="P420" s="239"/>
      <c r="Q420" s="239"/>
      <c r="R420" s="239"/>
      <c r="S420" s="239"/>
    </row>
    <row r="421" spans="5:19" s="293" customFormat="1" x14ac:dyDescent="0.25">
      <c r="F421" s="196" t="s">
        <v>940</v>
      </c>
      <c r="G421" s="196" t="s">
        <v>169</v>
      </c>
      <c r="H421" s="196" t="s">
        <v>145</v>
      </c>
      <c r="I421" s="66"/>
      <c r="J421" s="239"/>
      <c r="K421" s="234"/>
      <c r="L421" s="239"/>
      <c r="M421" s="239"/>
      <c r="N421" s="239"/>
      <c r="O421" s="239"/>
      <c r="P421" s="239"/>
      <c r="Q421" s="239"/>
      <c r="R421" s="239"/>
      <c r="S421" s="239"/>
    </row>
    <row r="422" spans="5:19" s="293" customFormat="1" x14ac:dyDescent="0.25">
      <c r="F422" s="93" t="s">
        <v>941</v>
      </c>
      <c r="G422" s="93" t="s">
        <v>169</v>
      </c>
      <c r="H422" s="93" t="s">
        <v>145</v>
      </c>
      <c r="I422" s="145"/>
      <c r="J422" s="240"/>
      <c r="K422" s="236"/>
      <c r="L422" s="240"/>
      <c r="M422" s="240"/>
      <c r="N422" s="240"/>
      <c r="O422" s="240"/>
      <c r="P422" s="240"/>
      <c r="Q422" s="240"/>
      <c r="R422" s="240"/>
      <c r="S422" s="240"/>
    </row>
    <row r="423" spans="5:19" s="293" customFormat="1" x14ac:dyDescent="0.25">
      <c r="I423" s="111"/>
      <c r="J423" s="237"/>
      <c r="K423" s="237"/>
      <c r="L423" s="237"/>
      <c r="M423" s="237"/>
      <c r="N423" s="237"/>
      <c r="O423" s="237"/>
      <c r="P423" s="237"/>
      <c r="Q423" s="237"/>
      <c r="R423" s="237"/>
      <c r="S423" s="237"/>
    </row>
    <row r="424" spans="5:19" s="293" customFormat="1" x14ac:dyDescent="0.25">
      <c r="E424" s="144" t="s">
        <v>204</v>
      </c>
      <c r="I424" s="111"/>
      <c r="J424" s="237"/>
      <c r="K424" s="237"/>
      <c r="L424" s="237"/>
      <c r="M424" s="237"/>
      <c r="N424" s="237"/>
      <c r="O424" s="237"/>
      <c r="P424" s="237"/>
      <c r="Q424" s="237"/>
      <c r="R424" s="237"/>
      <c r="S424" s="237"/>
    </row>
    <row r="425" spans="5:19" s="293" customFormat="1" x14ac:dyDescent="0.25">
      <c r="F425" s="91" t="s">
        <v>926</v>
      </c>
      <c r="G425" s="91" t="s">
        <v>170</v>
      </c>
      <c r="H425" s="91" t="s">
        <v>145</v>
      </c>
      <c r="I425" s="112"/>
      <c r="J425" s="238"/>
      <c r="K425" s="232"/>
      <c r="L425" s="238"/>
      <c r="M425" s="238"/>
      <c r="N425" s="238"/>
      <c r="O425" s="238"/>
      <c r="P425" s="238"/>
      <c r="Q425" s="238"/>
      <c r="R425" s="238"/>
      <c r="S425" s="238"/>
    </row>
    <row r="426" spans="5:19" s="293" customFormat="1" x14ac:dyDescent="0.25">
      <c r="F426" s="196" t="s">
        <v>927</v>
      </c>
      <c r="G426" s="196" t="s">
        <v>170</v>
      </c>
      <c r="H426" s="196" t="s">
        <v>145</v>
      </c>
      <c r="I426" s="66"/>
      <c r="J426" s="239"/>
      <c r="K426" s="234"/>
      <c r="L426" s="239"/>
      <c r="M426" s="239"/>
      <c r="N426" s="239"/>
      <c r="O426" s="239"/>
      <c r="P426" s="239"/>
      <c r="Q426" s="239"/>
      <c r="R426" s="239"/>
      <c r="S426" s="239"/>
    </row>
    <row r="427" spans="5:19" s="293" customFormat="1" x14ac:dyDescent="0.25">
      <c r="F427" s="196" t="s">
        <v>928</v>
      </c>
      <c r="G427" s="196" t="s">
        <v>170</v>
      </c>
      <c r="H427" s="196" t="s">
        <v>145</v>
      </c>
      <c r="I427" s="66"/>
      <c r="J427" s="239"/>
      <c r="K427" s="234"/>
      <c r="L427" s="239"/>
      <c r="M427" s="239"/>
      <c r="N427" s="239"/>
      <c r="O427" s="239"/>
      <c r="P427" s="239"/>
      <c r="Q427" s="239"/>
      <c r="R427" s="239"/>
      <c r="S427" s="239"/>
    </row>
    <row r="428" spans="5:19" s="293" customFormat="1" x14ac:dyDescent="0.25">
      <c r="F428" s="196" t="s">
        <v>929</v>
      </c>
      <c r="G428" s="196" t="s">
        <v>170</v>
      </c>
      <c r="H428" s="196" t="s">
        <v>145</v>
      </c>
      <c r="I428" s="66"/>
      <c r="J428" s="239"/>
      <c r="K428" s="234"/>
      <c r="L428" s="239"/>
      <c r="M428" s="239"/>
      <c r="N428" s="239"/>
      <c r="O428" s="239"/>
      <c r="P428" s="239"/>
      <c r="Q428" s="239"/>
      <c r="R428" s="239"/>
      <c r="S428" s="239"/>
    </row>
    <row r="429" spans="5:19" s="293" customFormat="1" x14ac:dyDescent="0.25">
      <c r="F429" s="196" t="s">
        <v>930</v>
      </c>
      <c r="G429" s="196" t="s">
        <v>170</v>
      </c>
      <c r="H429" s="196" t="s">
        <v>145</v>
      </c>
      <c r="I429" s="66"/>
      <c r="J429" s="233">
        <f t="shared" ref="J429:J431" si="38">CHOOSE(year_selection, L429,M429,N429,O429,P429,Q429,R429,S429)</f>
        <v>75080.063387107744</v>
      </c>
      <c r="K429" s="234"/>
      <c r="L429" s="330"/>
      <c r="M429" s="330"/>
      <c r="N429" s="330"/>
      <c r="O429" s="330">
        <v>75080.063387107744</v>
      </c>
      <c r="P429" s="330">
        <v>71637.486830327354</v>
      </c>
      <c r="Q429" s="330">
        <v>71637.486830327354</v>
      </c>
      <c r="R429" s="330">
        <v>68194.910273546964</v>
      </c>
      <c r="S429" s="330">
        <v>64752.333716766574</v>
      </c>
    </row>
    <row r="430" spans="5:19" s="293" customFormat="1" x14ac:dyDescent="0.25">
      <c r="F430" s="196" t="s">
        <v>931</v>
      </c>
      <c r="G430" s="196" t="s">
        <v>170</v>
      </c>
      <c r="H430" s="196" t="s">
        <v>145</v>
      </c>
      <c r="I430" s="66"/>
      <c r="J430" s="233">
        <f t="shared" si="38"/>
        <v>1243.4434940015826</v>
      </c>
      <c r="K430" s="234"/>
      <c r="L430" s="330"/>
      <c r="M430" s="330"/>
      <c r="N430" s="330"/>
      <c r="O430" s="330">
        <v>1243.4434940015826</v>
      </c>
      <c r="P430" s="330">
        <v>1235.063010033241</v>
      </c>
      <c r="Q430" s="330">
        <v>1235.063010033241</v>
      </c>
      <c r="R430" s="330">
        <v>1226.6825260648991</v>
      </c>
      <c r="S430" s="330">
        <v>1218.3020420965574</v>
      </c>
    </row>
    <row r="431" spans="5:19" s="293" customFormat="1" x14ac:dyDescent="0.25">
      <c r="F431" s="196" t="s">
        <v>932</v>
      </c>
      <c r="G431" s="196" t="s">
        <v>170</v>
      </c>
      <c r="H431" s="196" t="s">
        <v>145</v>
      </c>
      <c r="I431" s="66"/>
      <c r="J431" s="233">
        <f t="shared" si="38"/>
        <v>73253.29420960162</v>
      </c>
      <c r="K431" s="234"/>
      <c r="L431" s="330"/>
      <c r="M431" s="330"/>
      <c r="N431" s="330"/>
      <c r="O431" s="330">
        <v>73253.29420960162</v>
      </c>
      <c r="P431" s="330">
        <v>72505.968769455882</v>
      </c>
      <c r="Q431" s="330">
        <v>72505.968769455882</v>
      </c>
      <c r="R431" s="330">
        <v>71758.643329310158</v>
      </c>
      <c r="S431" s="330">
        <v>71011.31788916442</v>
      </c>
    </row>
    <row r="432" spans="5:19" s="293" customFormat="1" x14ac:dyDescent="0.25">
      <c r="F432" s="196" t="s">
        <v>933</v>
      </c>
      <c r="G432" s="196" t="s">
        <v>170</v>
      </c>
      <c r="H432" s="196" t="s">
        <v>145</v>
      </c>
      <c r="I432" s="66"/>
      <c r="J432" s="239"/>
      <c r="K432" s="234"/>
      <c r="L432" s="239"/>
      <c r="M432" s="239"/>
      <c r="N432" s="239"/>
      <c r="O432" s="239"/>
      <c r="P432" s="239"/>
      <c r="Q432" s="239"/>
      <c r="R432" s="239"/>
      <c r="S432" s="239"/>
    </row>
    <row r="433" spans="3:21" s="293" customFormat="1" x14ac:dyDescent="0.25">
      <c r="F433" s="196" t="s">
        <v>934</v>
      </c>
      <c r="G433" s="196" t="s">
        <v>170</v>
      </c>
      <c r="H433" s="196" t="s">
        <v>145</v>
      </c>
      <c r="I433" s="66"/>
      <c r="J433" s="239"/>
      <c r="K433" s="234"/>
      <c r="L433" s="239"/>
      <c r="M433" s="239"/>
      <c r="N433" s="239"/>
      <c r="O433" s="239"/>
      <c r="P433" s="239"/>
      <c r="Q433" s="239"/>
      <c r="R433" s="239"/>
      <c r="S433" s="239"/>
    </row>
    <row r="434" spans="3:21" s="293" customFormat="1" x14ac:dyDescent="0.25">
      <c r="F434" s="196" t="s">
        <v>935</v>
      </c>
      <c r="G434" s="196" t="s">
        <v>170</v>
      </c>
      <c r="H434" s="196" t="s">
        <v>145</v>
      </c>
      <c r="I434" s="66"/>
      <c r="J434" s="239"/>
      <c r="K434" s="234"/>
      <c r="L434" s="239"/>
      <c r="M434" s="239"/>
      <c r="N434" s="239"/>
      <c r="O434" s="239"/>
      <c r="P434" s="239"/>
      <c r="Q434" s="239"/>
      <c r="R434" s="239"/>
      <c r="S434" s="239"/>
    </row>
    <row r="435" spans="3:21" s="293" customFormat="1" x14ac:dyDescent="0.25">
      <c r="F435" s="196" t="s">
        <v>936</v>
      </c>
      <c r="G435" s="196" t="s">
        <v>170</v>
      </c>
      <c r="H435" s="196" t="s">
        <v>145</v>
      </c>
      <c r="I435" s="66"/>
      <c r="J435" s="239"/>
      <c r="K435" s="234"/>
      <c r="L435" s="239"/>
      <c r="M435" s="239"/>
      <c r="N435" s="239"/>
      <c r="O435" s="239"/>
      <c r="P435" s="239"/>
      <c r="Q435" s="239"/>
      <c r="R435" s="239"/>
      <c r="S435" s="239"/>
    </row>
    <row r="436" spans="3:21" s="293" customFormat="1" x14ac:dyDescent="0.25">
      <c r="F436" s="196" t="s">
        <v>937</v>
      </c>
      <c r="G436" s="196" t="s">
        <v>170</v>
      </c>
      <c r="H436" s="196" t="s">
        <v>145</v>
      </c>
      <c r="I436" s="66"/>
      <c r="J436" s="239"/>
      <c r="K436" s="234"/>
      <c r="L436" s="239"/>
      <c r="M436" s="239"/>
      <c r="N436" s="239"/>
      <c r="O436" s="239"/>
      <c r="P436" s="239"/>
      <c r="Q436" s="239"/>
      <c r="R436" s="239"/>
      <c r="S436" s="239"/>
    </row>
    <row r="437" spans="3:21" s="293" customFormat="1" x14ac:dyDescent="0.25">
      <c r="F437" s="196" t="s">
        <v>938</v>
      </c>
      <c r="G437" s="196" t="s">
        <v>170</v>
      </c>
      <c r="H437" s="196" t="s">
        <v>145</v>
      </c>
      <c r="I437" s="66"/>
      <c r="J437" s="239"/>
      <c r="K437" s="234"/>
      <c r="L437" s="239"/>
      <c r="M437" s="239"/>
      <c r="N437" s="239"/>
      <c r="O437" s="239"/>
      <c r="P437" s="239"/>
      <c r="Q437" s="239"/>
      <c r="R437" s="239"/>
      <c r="S437" s="239"/>
    </row>
    <row r="438" spans="3:21" s="293" customFormat="1" x14ac:dyDescent="0.25">
      <c r="F438" s="196" t="s">
        <v>939</v>
      </c>
      <c r="G438" s="196" t="s">
        <v>170</v>
      </c>
      <c r="H438" s="196" t="s">
        <v>145</v>
      </c>
      <c r="I438" s="66"/>
      <c r="J438" s="239"/>
      <c r="K438" s="234"/>
      <c r="L438" s="239"/>
      <c r="M438" s="239"/>
      <c r="N438" s="239"/>
      <c r="O438" s="239"/>
      <c r="P438" s="239"/>
      <c r="Q438" s="239"/>
      <c r="R438" s="239"/>
      <c r="S438" s="239"/>
    </row>
    <row r="439" spans="3:21" s="293" customFormat="1" x14ac:dyDescent="0.25">
      <c r="F439" s="196" t="s">
        <v>940</v>
      </c>
      <c r="G439" s="196" t="s">
        <v>170</v>
      </c>
      <c r="H439" s="196" t="s">
        <v>145</v>
      </c>
      <c r="I439" s="66"/>
      <c r="J439" s="239"/>
      <c r="K439" s="234"/>
      <c r="L439" s="239"/>
      <c r="M439" s="239"/>
      <c r="N439" s="239"/>
      <c r="O439" s="239"/>
      <c r="P439" s="239"/>
      <c r="Q439" s="239"/>
      <c r="R439" s="239"/>
      <c r="S439" s="239"/>
    </row>
    <row r="440" spans="3:21" s="293" customFormat="1" x14ac:dyDescent="0.25">
      <c r="F440" s="93" t="s">
        <v>941</v>
      </c>
      <c r="G440" s="93" t="s">
        <v>170</v>
      </c>
      <c r="H440" s="93" t="s">
        <v>145</v>
      </c>
      <c r="I440" s="145"/>
      <c r="J440" s="240"/>
      <c r="K440" s="236"/>
      <c r="L440" s="240"/>
      <c r="M440" s="240"/>
      <c r="N440" s="240"/>
      <c r="O440" s="240"/>
      <c r="P440" s="240"/>
      <c r="Q440" s="240"/>
      <c r="R440" s="240"/>
      <c r="S440" s="240"/>
    </row>
    <row r="441" spans="3:21" s="293" customFormat="1" x14ac:dyDescent="0.25">
      <c r="I441" s="111"/>
      <c r="J441" s="237"/>
      <c r="K441" s="237"/>
      <c r="L441" s="237"/>
      <c r="M441" s="237"/>
      <c r="N441" s="237"/>
      <c r="O441" s="237"/>
      <c r="P441" s="237"/>
      <c r="Q441" s="237"/>
      <c r="R441" s="237"/>
      <c r="S441" s="237"/>
    </row>
    <row r="442" spans="3:21" s="293" customFormat="1" x14ac:dyDescent="0.25">
      <c r="C442" s="7" t="str">
        <f ca="1">INDEX('Version control'!$H$35:$H$61,MATCH($A$1,'Version control'!$F$35:$F$61,0),1)&amp;"-F: All-the-way volumes - Residual Band 3"</f>
        <v>Input 501-F: All-the-way volumes - Residual Band 3</v>
      </c>
      <c r="D442" s="7"/>
      <c r="E442" s="7"/>
      <c r="F442" s="7"/>
      <c r="G442" s="7"/>
      <c r="H442" s="7"/>
      <c r="I442" s="171"/>
      <c r="J442" s="7"/>
      <c r="K442" s="7"/>
      <c r="L442" s="7"/>
      <c r="M442" s="7"/>
      <c r="N442" s="7"/>
      <c r="O442" s="7"/>
      <c r="P442" s="7"/>
      <c r="Q442" s="7"/>
      <c r="R442" s="7"/>
      <c r="S442" s="7"/>
      <c r="T442" s="7"/>
      <c r="U442" s="7"/>
    </row>
    <row r="443" spans="3:21" s="293" customFormat="1" x14ac:dyDescent="0.25">
      <c r="C443" s="96"/>
      <c r="I443" s="111"/>
    </row>
    <row r="444" spans="3:21" s="293" customFormat="1" x14ac:dyDescent="0.25">
      <c r="E444" s="144" t="s">
        <v>199</v>
      </c>
      <c r="I444" s="111" t="s">
        <v>359</v>
      </c>
      <c r="U444" s="293" t="s">
        <v>692</v>
      </c>
    </row>
    <row r="445" spans="3:21" s="293" customFormat="1" x14ac:dyDescent="0.25">
      <c r="F445" s="91" t="s">
        <v>926</v>
      </c>
      <c r="G445" s="91" t="s">
        <v>120</v>
      </c>
      <c r="H445" s="91" t="s">
        <v>145</v>
      </c>
      <c r="I445" s="112"/>
      <c r="J445" s="238"/>
      <c r="K445" s="232"/>
      <c r="L445" s="238"/>
      <c r="M445" s="238"/>
      <c r="N445" s="238"/>
      <c r="O445" s="238"/>
      <c r="P445" s="238"/>
      <c r="Q445" s="238"/>
      <c r="R445" s="238"/>
      <c r="S445" s="238"/>
    </row>
    <row r="446" spans="3:21" s="293" customFormat="1" x14ac:dyDescent="0.25">
      <c r="F446" s="196" t="s">
        <v>927</v>
      </c>
      <c r="G446" s="196" t="s">
        <v>120</v>
      </c>
      <c r="H446" s="196" t="s">
        <v>145</v>
      </c>
      <c r="I446" s="66"/>
      <c r="J446" s="239"/>
      <c r="K446" s="234"/>
      <c r="L446" s="239"/>
      <c r="M446" s="239"/>
      <c r="N446" s="239"/>
      <c r="O446" s="239"/>
      <c r="P446" s="239"/>
      <c r="Q446" s="239"/>
      <c r="R446" s="239"/>
      <c r="S446" s="239"/>
    </row>
    <row r="447" spans="3:21" s="293" customFormat="1" x14ac:dyDescent="0.25">
      <c r="F447" s="196" t="s">
        <v>928</v>
      </c>
      <c r="G447" s="196" t="s">
        <v>120</v>
      </c>
      <c r="H447" s="196" t="s">
        <v>145</v>
      </c>
      <c r="I447" s="66"/>
      <c r="J447" s="233">
        <f t="shared" ref="J447" si="39">CHOOSE(year_selection, L447,M447,N447,O447,P447,Q447,R447,S447)</f>
        <v>65264.684853173239</v>
      </c>
      <c r="K447" s="234"/>
      <c r="L447" s="330"/>
      <c r="M447" s="330"/>
      <c r="N447" s="330"/>
      <c r="O447" s="330">
        <v>65264.684853173239</v>
      </c>
      <c r="P447" s="330">
        <v>63543.460176503002</v>
      </c>
      <c r="Q447" s="330">
        <v>61455.498727577789</v>
      </c>
      <c r="R447" s="330">
        <v>59197.861395496489</v>
      </c>
      <c r="S447" s="330">
        <v>56940.224063415189</v>
      </c>
    </row>
    <row r="448" spans="3:21" s="293" customFormat="1" x14ac:dyDescent="0.25">
      <c r="F448" s="196" t="s">
        <v>929</v>
      </c>
      <c r="G448" s="196" t="s">
        <v>120</v>
      </c>
      <c r="H448" s="196" t="s">
        <v>145</v>
      </c>
      <c r="I448" s="66"/>
      <c r="J448" s="239"/>
      <c r="K448" s="234"/>
      <c r="L448" s="239"/>
      <c r="M448" s="239"/>
      <c r="N448" s="239"/>
      <c r="O448" s="239"/>
      <c r="P448" s="239"/>
      <c r="Q448" s="239"/>
      <c r="R448" s="239"/>
      <c r="S448" s="239"/>
    </row>
    <row r="449" spans="5:19" s="293" customFormat="1" x14ac:dyDescent="0.25">
      <c r="F449" s="196" t="s">
        <v>930</v>
      </c>
      <c r="G449" s="196" t="s">
        <v>120</v>
      </c>
      <c r="H449" s="196" t="s">
        <v>145</v>
      </c>
      <c r="I449" s="66"/>
      <c r="J449" s="233">
        <f t="shared" ref="J449:J451" si="40">CHOOSE(year_selection, L449,M449,N449,O449,P449,Q449,R449,S449)</f>
        <v>76024.94322921471</v>
      </c>
      <c r="K449" s="234"/>
      <c r="L449" s="330"/>
      <c r="M449" s="330"/>
      <c r="N449" s="330"/>
      <c r="O449" s="330">
        <v>76024.94322921471</v>
      </c>
      <c r="P449" s="330">
        <v>67590.382940142503</v>
      </c>
      <c r="Q449" s="330">
        <v>63318.257794478013</v>
      </c>
      <c r="R449" s="330">
        <v>58861.90350948432</v>
      </c>
      <c r="S449" s="330">
        <v>54405.54922449062</v>
      </c>
    </row>
    <row r="450" spans="5:19" s="293" customFormat="1" x14ac:dyDescent="0.25">
      <c r="F450" s="196" t="s">
        <v>931</v>
      </c>
      <c r="G450" s="196" t="s">
        <v>120</v>
      </c>
      <c r="H450" s="196" t="s">
        <v>145</v>
      </c>
      <c r="I450" s="66"/>
      <c r="J450" s="233">
        <f t="shared" si="40"/>
        <v>2173.7766138556271</v>
      </c>
      <c r="K450" s="234"/>
      <c r="L450" s="330"/>
      <c r="M450" s="330"/>
      <c r="N450" s="330"/>
      <c r="O450" s="330">
        <v>2173.7766138556271</v>
      </c>
      <c r="P450" s="330">
        <v>2078.6917512077212</v>
      </c>
      <c r="Q450" s="330">
        <v>2103.2661486951379</v>
      </c>
      <c r="R450" s="330">
        <v>2125.0210415627189</v>
      </c>
      <c r="S450" s="330">
        <v>2146.7759344302995</v>
      </c>
    </row>
    <row r="451" spans="5:19" s="293" customFormat="1" x14ac:dyDescent="0.25">
      <c r="F451" s="196" t="s">
        <v>932</v>
      </c>
      <c r="G451" s="196" t="s">
        <v>120</v>
      </c>
      <c r="H451" s="196" t="s">
        <v>145</v>
      </c>
      <c r="I451" s="66"/>
      <c r="J451" s="233">
        <f t="shared" si="40"/>
        <v>79456.951208523518</v>
      </c>
      <c r="K451" s="234"/>
      <c r="L451" s="330"/>
      <c r="M451" s="330"/>
      <c r="N451" s="330"/>
      <c r="O451" s="330">
        <v>79456.951208523518</v>
      </c>
      <c r="P451" s="330">
        <v>78946.168601250363</v>
      </c>
      <c r="Q451" s="330">
        <v>78157.603779101279</v>
      </c>
      <c r="R451" s="330">
        <v>77219.771994745315</v>
      </c>
      <c r="S451" s="330">
        <v>76281.940210389352</v>
      </c>
    </row>
    <row r="452" spans="5:19" s="293" customFormat="1" x14ac:dyDescent="0.25">
      <c r="F452" s="196" t="s">
        <v>933</v>
      </c>
      <c r="G452" s="196" t="s">
        <v>120</v>
      </c>
      <c r="H452" s="196" t="s">
        <v>145</v>
      </c>
      <c r="I452" s="66"/>
      <c r="J452" s="239"/>
      <c r="K452" s="234"/>
      <c r="L452" s="239"/>
      <c r="M452" s="239"/>
      <c r="N452" s="239"/>
      <c r="O452" s="239"/>
      <c r="P452" s="239"/>
      <c r="Q452" s="239"/>
      <c r="R452" s="239"/>
      <c r="S452" s="239"/>
    </row>
    <row r="453" spans="5:19" s="293" customFormat="1" x14ac:dyDescent="0.25">
      <c r="F453" s="196" t="s">
        <v>934</v>
      </c>
      <c r="G453" s="196" t="s">
        <v>120</v>
      </c>
      <c r="H453" s="196" t="s">
        <v>145</v>
      </c>
      <c r="I453" s="66"/>
      <c r="J453" s="239"/>
      <c r="K453" s="234"/>
      <c r="L453" s="239"/>
      <c r="M453" s="239"/>
      <c r="N453" s="239"/>
      <c r="O453" s="239"/>
      <c r="P453" s="239"/>
      <c r="Q453" s="239"/>
      <c r="R453" s="239"/>
      <c r="S453" s="239"/>
    </row>
    <row r="454" spans="5:19" s="293" customFormat="1" x14ac:dyDescent="0.25">
      <c r="F454" s="196" t="s">
        <v>935</v>
      </c>
      <c r="G454" s="196" t="s">
        <v>120</v>
      </c>
      <c r="H454" s="196" t="s">
        <v>145</v>
      </c>
      <c r="I454" s="66"/>
      <c r="J454" s="239"/>
      <c r="K454" s="234"/>
      <c r="L454" s="239"/>
      <c r="M454" s="239"/>
      <c r="N454" s="239"/>
      <c r="O454" s="239"/>
      <c r="P454" s="239"/>
      <c r="Q454" s="239"/>
      <c r="R454" s="239"/>
      <c r="S454" s="239"/>
    </row>
    <row r="455" spans="5:19" s="293" customFormat="1" x14ac:dyDescent="0.25">
      <c r="F455" s="196" t="s">
        <v>936</v>
      </c>
      <c r="G455" s="196" t="s">
        <v>120</v>
      </c>
      <c r="H455" s="196" t="s">
        <v>145</v>
      </c>
      <c r="I455" s="66"/>
      <c r="J455" s="239"/>
      <c r="K455" s="234"/>
      <c r="L455" s="239"/>
      <c r="M455" s="239"/>
      <c r="N455" s="239"/>
      <c r="O455" s="239"/>
      <c r="P455" s="239"/>
      <c r="Q455" s="239"/>
      <c r="R455" s="239"/>
      <c r="S455" s="239"/>
    </row>
    <row r="456" spans="5:19" s="293" customFormat="1" x14ac:dyDescent="0.25">
      <c r="F456" s="196" t="s">
        <v>937</v>
      </c>
      <c r="G456" s="196" t="s">
        <v>120</v>
      </c>
      <c r="H456" s="196" t="s">
        <v>145</v>
      </c>
      <c r="I456" s="66"/>
      <c r="J456" s="239"/>
      <c r="K456" s="234"/>
      <c r="L456" s="239"/>
      <c r="M456" s="239"/>
      <c r="N456" s="239"/>
      <c r="O456" s="239"/>
      <c r="P456" s="239"/>
      <c r="Q456" s="239"/>
      <c r="R456" s="239"/>
      <c r="S456" s="239"/>
    </row>
    <row r="457" spans="5:19" s="293" customFormat="1" x14ac:dyDescent="0.25">
      <c r="F457" s="196" t="s">
        <v>938</v>
      </c>
      <c r="G457" s="196" t="s">
        <v>120</v>
      </c>
      <c r="H457" s="196" t="s">
        <v>145</v>
      </c>
      <c r="I457" s="66"/>
      <c r="J457" s="239"/>
      <c r="K457" s="234"/>
      <c r="L457" s="239"/>
      <c r="M457" s="239"/>
      <c r="N457" s="239"/>
      <c r="O457" s="239"/>
      <c r="P457" s="239"/>
      <c r="Q457" s="239"/>
      <c r="R457" s="239"/>
      <c r="S457" s="239"/>
    </row>
    <row r="458" spans="5:19" s="293" customFormat="1" x14ac:dyDescent="0.25">
      <c r="F458" s="196" t="s">
        <v>939</v>
      </c>
      <c r="G458" s="196" t="s">
        <v>120</v>
      </c>
      <c r="H458" s="196" t="s">
        <v>145</v>
      </c>
      <c r="I458" s="66"/>
      <c r="J458" s="239"/>
      <c r="K458" s="234"/>
      <c r="L458" s="239"/>
      <c r="M458" s="239"/>
      <c r="N458" s="239"/>
      <c r="O458" s="239"/>
      <c r="P458" s="239"/>
      <c r="Q458" s="239"/>
      <c r="R458" s="239"/>
      <c r="S458" s="239"/>
    </row>
    <row r="459" spans="5:19" s="293" customFormat="1" x14ac:dyDescent="0.25">
      <c r="F459" s="196" t="s">
        <v>940</v>
      </c>
      <c r="G459" s="196" t="s">
        <v>120</v>
      </c>
      <c r="H459" s="196" t="s">
        <v>145</v>
      </c>
      <c r="I459" s="66"/>
      <c r="J459" s="239"/>
      <c r="K459" s="234"/>
      <c r="L459" s="239"/>
      <c r="M459" s="239"/>
      <c r="N459" s="239"/>
      <c r="O459" s="239"/>
      <c r="P459" s="239"/>
      <c r="Q459" s="239"/>
      <c r="R459" s="239"/>
      <c r="S459" s="239"/>
    </row>
    <row r="460" spans="5:19" s="293" customFormat="1" x14ac:dyDescent="0.25">
      <c r="F460" s="93" t="s">
        <v>941</v>
      </c>
      <c r="G460" s="93" t="s">
        <v>120</v>
      </c>
      <c r="H460" s="93" t="s">
        <v>145</v>
      </c>
      <c r="I460" s="145"/>
      <c r="J460" s="240"/>
      <c r="K460" s="236"/>
      <c r="L460" s="240"/>
      <c r="M460" s="240"/>
      <c r="N460" s="240"/>
      <c r="O460" s="240"/>
      <c r="P460" s="240"/>
      <c r="Q460" s="240"/>
      <c r="R460" s="240"/>
      <c r="S460" s="240"/>
    </row>
    <row r="461" spans="5:19" s="293" customFormat="1" x14ac:dyDescent="0.25">
      <c r="I461" s="111"/>
      <c r="J461" s="237"/>
      <c r="K461" s="237"/>
      <c r="L461" s="237"/>
      <c r="M461" s="237"/>
      <c r="N461" s="237"/>
      <c r="O461" s="237"/>
      <c r="P461" s="237"/>
      <c r="Q461" s="237"/>
      <c r="R461" s="237"/>
      <c r="S461" s="237"/>
    </row>
    <row r="462" spans="5:19" s="293" customFormat="1" x14ac:dyDescent="0.25">
      <c r="E462" s="144" t="s">
        <v>200</v>
      </c>
      <c r="I462" s="111"/>
      <c r="J462" s="237"/>
      <c r="K462" s="237"/>
      <c r="L462" s="237"/>
      <c r="M462" s="237"/>
      <c r="N462" s="237"/>
      <c r="O462" s="237"/>
      <c r="P462" s="237"/>
      <c r="Q462" s="237"/>
      <c r="R462" s="237"/>
      <c r="S462" s="237"/>
    </row>
    <row r="463" spans="5:19" s="293" customFormat="1" x14ac:dyDescent="0.25">
      <c r="F463" s="91" t="s">
        <v>926</v>
      </c>
      <c r="G463" s="91" t="s">
        <v>120</v>
      </c>
      <c r="H463" s="91" t="s">
        <v>145</v>
      </c>
      <c r="I463" s="112"/>
      <c r="J463" s="238"/>
      <c r="K463" s="232"/>
      <c r="L463" s="238"/>
      <c r="M463" s="238"/>
      <c r="N463" s="238"/>
      <c r="O463" s="238"/>
      <c r="P463" s="238"/>
      <c r="Q463" s="238"/>
      <c r="R463" s="238"/>
      <c r="S463" s="238"/>
    </row>
    <row r="464" spans="5:19" s="293" customFormat="1" x14ac:dyDescent="0.25">
      <c r="F464" s="196" t="s">
        <v>927</v>
      </c>
      <c r="G464" s="196" t="s">
        <v>120</v>
      </c>
      <c r="H464" s="196" t="s">
        <v>145</v>
      </c>
      <c r="I464" s="66"/>
      <c r="J464" s="239"/>
      <c r="K464" s="234"/>
      <c r="L464" s="239"/>
      <c r="M464" s="239"/>
      <c r="N464" s="239"/>
      <c r="O464" s="239"/>
      <c r="P464" s="239"/>
      <c r="Q464" s="239"/>
      <c r="R464" s="239"/>
      <c r="S464" s="239"/>
    </row>
    <row r="465" spans="5:19" s="293" customFormat="1" x14ac:dyDescent="0.25">
      <c r="F465" s="196" t="s">
        <v>928</v>
      </c>
      <c r="G465" s="196" t="s">
        <v>120</v>
      </c>
      <c r="H465" s="196" t="s">
        <v>145</v>
      </c>
      <c r="I465" s="66"/>
      <c r="J465" s="233">
        <f t="shared" ref="J465" si="41">CHOOSE(year_selection, L465,M465,N465,O465,P465,Q465,R465,S465)</f>
        <v>410442.87774681178</v>
      </c>
      <c r="K465" s="234"/>
      <c r="L465" s="330"/>
      <c r="M465" s="330"/>
      <c r="N465" s="330"/>
      <c r="O465" s="330">
        <v>410442.87774681178</v>
      </c>
      <c r="P465" s="330">
        <v>397420.51003108552</v>
      </c>
      <c r="Q465" s="330">
        <v>381654.97750275413</v>
      </c>
      <c r="R465" s="330">
        <v>364618.96660499251</v>
      </c>
      <c r="S465" s="330">
        <v>347582.95570723095</v>
      </c>
    </row>
    <row r="466" spans="5:19" s="293" customFormat="1" x14ac:dyDescent="0.25">
      <c r="F466" s="196" t="s">
        <v>929</v>
      </c>
      <c r="G466" s="196" t="s">
        <v>120</v>
      </c>
      <c r="H466" s="196" t="s">
        <v>145</v>
      </c>
      <c r="I466" s="66"/>
      <c r="J466" s="239"/>
      <c r="K466" s="234"/>
      <c r="L466" s="239"/>
      <c r="M466" s="239"/>
      <c r="N466" s="239"/>
      <c r="O466" s="239"/>
      <c r="P466" s="239"/>
      <c r="Q466" s="239"/>
      <c r="R466" s="239"/>
      <c r="S466" s="239"/>
    </row>
    <row r="467" spans="5:19" s="293" customFormat="1" x14ac:dyDescent="0.25">
      <c r="F467" s="196" t="s">
        <v>930</v>
      </c>
      <c r="G467" s="196" t="s">
        <v>120</v>
      </c>
      <c r="H467" s="196" t="s">
        <v>145</v>
      </c>
      <c r="I467" s="66"/>
      <c r="J467" s="233">
        <f t="shared" ref="J467:J469" si="42">CHOOSE(year_selection, L467,M467,N467,O467,P467,Q467,R467,S467)</f>
        <v>433822.45856725133</v>
      </c>
      <c r="K467" s="234"/>
      <c r="L467" s="330"/>
      <c r="M467" s="330"/>
      <c r="N467" s="330"/>
      <c r="O467" s="330">
        <v>433822.45856725133</v>
      </c>
      <c r="P467" s="330">
        <v>389037.34077248757</v>
      </c>
      <c r="Q467" s="330">
        <v>373001.02551325236</v>
      </c>
      <c r="R467" s="330">
        <v>358352.96158883767</v>
      </c>
      <c r="S467" s="330">
        <v>343704.89766442287</v>
      </c>
    </row>
    <row r="468" spans="5:19" s="293" customFormat="1" x14ac:dyDescent="0.25">
      <c r="F468" s="196" t="s">
        <v>931</v>
      </c>
      <c r="G468" s="196" t="s">
        <v>120</v>
      </c>
      <c r="H468" s="196" t="s">
        <v>145</v>
      </c>
      <c r="I468" s="66"/>
      <c r="J468" s="233">
        <f t="shared" si="42"/>
        <v>11883.279007388797</v>
      </c>
      <c r="K468" s="234"/>
      <c r="L468" s="330"/>
      <c r="M468" s="330"/>
      <c r="N468" s="330"/>
      <c r="O468" s="330">
        <v>11883.279007388797</v>
      </c>
      <c r="P468" s="330">
        <v>11081.367848794285</v>
      </c>
      <c r="Q468" s="330">
        <v>10973.620528249494</v>
      </c>
      <c r="R468" s="330">
        <v>10868.692712324535</v>
      </c>
      <c r="S468" s="330">
        <v>10763.764896399576</v>
      </c>
    </row>
    <row r="469" spans="5:19" s="293" customFormat="1" x14ac:dyDescent="0.25">
      <c r="F469" s="196" t="s">
        <v>932</v>
      </c>
      <c r="G469" s="196" t="s">
        <v>120</v>
      </c>
      <c r="H469" s="196" t="s">
        <v>145</v>
      </c>
      <c r="I469" s="66"/>
      <c r="J469" s="233">
        <f t="shared" si="42"/>
        <v>443432.31612933561</v>
      </c>
      <c r="K469" s="234"/>
      <c r="L469" s="330"/>
      <c r="M469" s="330"/>
      <c r="N469" s="330"/>
      <c r="O469" s="330">
        <v>443432.31612933561</v>
      </c>
      <c r="P469" s="330">
        <v>439034.0369783715</v>
      </c>
      <c r="Q469" s="330">
        <v>433912.07180504291</v>
      </c>
      <c r="R469" s="330">
        <v>428334.46281576704</v>
      </c>
      <c r="S469" s="330">
        <v>422756.85382649128</v>
      </c>
    </row>
    <row r="470" spans="5:19" s="293" customFormat="1" x14ac:dyDescent="0.25">
      <c r="F470" s="196" t="s">
        <v>933</v>
      </c>
      <c r="G470" s="196" t="s">
        <v>120</v>
      </c>
      <c r="H470" s="196" t="s">
        <v>145</v>
      </c>
      <c r="I470" s="66"/>
      <c r="J470" s="239"/>
      <c r="K470" s="234"/>
      <c r="L470" s="239"/>
      <c r="M470" s="239"/>
      <c r="N470" s="239"/>
      <c r="O470" s="239"/>
      <c r="P470" s="239"/>
      <c r="Q470" s="239"/>
      <c r="R470" s="239"/>
      <c r="S470" s="239"/>
    </row>
    <row r="471" spans="5:19" s="293" customFormat="1" x14ac:dyDescent="0.25">
      <c r="F471" s="196" t="s">
        <v>934</v>
      </c>
      <c r="G471" s="196" t="s">
        <v>120</v>
      </c>
      <c r="H471" s="196" t="s">
        <v>145</v>
      </c>
      <c r="I471" s="66"/>
      <c r="J471" s="239"/>
      <c r="K471" s="234"/>
      <c r="L471" s="239"/>
      <c r="M471" s="239"/>
      <c r="N471" s="239"/>
      <c r="O471" s="239"/>
      <c r="P471" s="239"/>
      <c r="Q471" s="239"/>
      <c r="R471" s="239"/>
      <c r="S471" s="239"/>
    </row>
    <row r="472" spans="5:19" s="293" customFormat="1" x14ac:dyDescent="0.25">
      <c r="F472" s="196" t="s">
        <v>935</v>
      </c>
      <c r="G472" s="196" t="s">
        <v>120</v>
      </c>
      <c r="H472" s="196" t="s">
        <v>145</v>
      </c>
      <c r="I472" s="66"/>
      <c r="J472" s="239"/>
      <c r="K472" s="234"/>
      <c r="L472" s="239"/>
      <c r="M472" s="239"/>
      <c r="N472" s="239"/>
      <c r="O472" s="239"/>
      <c r="P472" s="239"/>
      <c r="Q472" s="239"/>
      <c r="R472" s="239"/>
      <c r="S472" s="239"/>
    </row>
    <row r="473" spans="5:19" s="293" customFormat="1" x14ac:dyDescent="0.25">
      <c r="F473" s="196" t="s">
        <v>936</v>
      </c>
      <c r="G473" s="196" t="s">
        <v>120</v>
      </c>
      <c r="H473" s="196" t="s">
        <v>145</v>
      </c>
      <c r="I473" s="66"/>
      <c r="J473" s="239"/>
      <c r="K473" s="234"/>
      <c r="L473" s="239"/>
      <c r="M473" s="239"/>
      <c r="N473" s="239"/>
      <c r="O473" s="239"/>
      <c r="P473" s="239"/>
      <c r="Q473" s="239"/>
      <c r="R473" s="239"/>
      <c r="S473" s="239"/>
    </row>
    <row r="474" spans="5:19" s="293" customFormat="1" x14ac:dyDescent="0.25">
      <c r="F474" s="196" t="s">
        <v>937</v>
      </c>
      <c r="G474" s="196" t="s">
        <v>120</v>
      </c>
      <c r="H474" s="196" t="s">
        <v>145</v>
      </c>
      <c r="I474" s="66"/>
      <c r="J474" s="239"/>
      <c r="K474" s="234"/>
      <c r="L474" s="239"/>
      <c r="M474" s="239"/>
      <c r="N474" s="239"/>
      <c r="O474" s="239"/>
      <c r="P474" s="239"/>
      <c r="Q474" s="239"/>
      <c r="R474" s="239"/>
      <c r="S474" s="239"/>
    </row>
    <row r="475" spans="5:19" s="293" customFormat="1" x14ac:dyDescent="0.25">
      <c r="F475" s="196" t="s">
        <v>938</v>
      </c>
      <c r="G475" s="196" t="s">
        <v>120</v>
      </c>
      <c r="H475" s="196" t="s">
        <v>145</v>
      </c>
      <c r="I475" s="66"/>
      <c r="J475" s="239"/>
      <c r="K475" s="234"/>
      <c r="L475" s="239"/>
      <c r="M475" s="239"/>
      <c r="N475" s="239"/>
      <c r="O475" s="239"/>
      <c r="P475" s="239"/>
      <c r="Q475" s="239"/>
      <c r="R475" s="239"/>
      <c r="S475" s="239"/>
    </row>
    <row r="476" spans="5:19" s="293" customFormat="1" x14ac:dyDescent="0.25">
      <c r="F476" s="196" t="s">
        <v>939</v>
      </c>
      <c r="G476" s="196" t="s">
        <v>120</v>
      </c>
      <c r="H476" s="196" t="s">
        <v>145</v>
      </c>
      <c r="I476" s="66"/>
      <c r="J476" s="239"/>
      <c r="K476" s="234"/>
      <c r="L476" s="239"/>
      <c r="M476" s="239"/>
      <c r="N476" s="239"/>
      <c r="O476" s="239"/>
      <c r="P476" s="239"/>
      <c r="Q476" s="239"/>
      <c r="R476" s="239"/>
      <c r="S476" s="239"/>
    </row>
    <row r="477" spans="5:19" s="293" customFormat="1" x14ac:dyDescent="0.25">
      <c r="F477" s="196" t="s">
        <v>940</v>
      </c>
      <c r="G477" s="196" t="s">
        <v>120</v>
      </c>
      <c r="H477" s="196" t="s">
        <v>145</v>
      </c>
      <c r="I477" s="66"/>
      <c r="J477" s="239"/>
      <c r="K477" s="234"/>
      <c r="L477" s="239"/>
      <c r="M477" s="239"/>
      <c r="N477" s="239"/>
      <c r="O477" s="239"/>
      <c r="P477" s="239"/>
      <c r="Q477" s="239"/>
      <c r="R477" s="239"/>
      <c r="S477" s="239"/>
    </row>
    <row r="478" spans="5:19" s="293" customFormat="1" x14ac:dyDescent="0.25">
      <c r="F478" s="93" t="s">
        <v>941</v>
      </c>
      <c r="G478" s="93" t="s">
        <v>120</v>
      </c>
      <c r="H478" s="93" t="s">
        <v>145</v>
      </c>
      <c r="I478" s="145"/>
      <c r="J478" s="240"/>
      <c r="K478" s="236"/>
      <c r="L478" s="240"/>
      <c r="M478" s="240"/>
      <c r="N478" s="240"/>
      <c r="O478" s="240"/>
      <c r="P478" s="240"/>
      <c r="Q478" s="240"/>
      <c r="R478" s="240"/>
      <c r="S478" s="240"/>
    </row>
    <row r="479" spans="5:19" s="293" customFormat="1" x14ac:dyDescent="0.25">
      <c r="I479" s="111"/>
      <c r="J479" s="237"/>
      <c r="K479" s="237"/>
      <c r="L479" s="237"/>
      <c r="M479" s="237"/>
      <c r="N479" s="237"/>
      <c r="O479" s="237"/>
      <c r="P479" s="237"/>
      <c r="Q479" s="237"/>
      <c r="R479" s="237"/>
      <c r="S479" s="237"/>
    </row>
    <row r="480" spans="5:19" s="293" customFormat="1" x14ac:dyDescent="0.25">
      <c r="E480" s="144" t="s">
        <v>201</v>
      </c>
      <c r="I480" s="111"/>
      <c r="J480" s="237"/>
      <c r="K480" s="237"/>
      <c r="L480" s="237"/>
      <c r="M480" s="237"/>
      <c r="N480" s="237"/>
      <c r="O480" s="237"/>
      <c r="P480" s="237"/>
      <c r="Q480" s="237"/>
      <c r="R480" s="237"/>
      <c r="S480" s="237"/>
    </row>
    <row r="481" spans="6:19" s="293" customFormat="1" x14ac:dyDescent="0.25">
      <c r="F481" s="91" t="s">
        <v>926</v>
      </c>
      <c r="G481" s="91" t="s">
        <v>120</v>
      </c>
      <c r="H481" s="91" t="s">
        <v>145</v>
      </c>
      <c r="I481" s="112"/>
      <c r="J481" s="238"/>
      <c r="K481" s="232"/>
      <c r="L481" s="238"/>
      <c r="M481" s="238"/>
      <c r="N481" s="238"/>
      <c r="O481" s="238"/>
      <c r="P481" s="238"/>
      <c r="Q481" s="238"/>
      <c r="R481" s="238"/>
      <c r="S481" s="238"/>
    </row>
    <row r="482" spans="6:19" s="293" customFormat="1" x14ac:dyDescent="0.25">
      <c r="F482" s="196" t="s">
        <v>927</v>
      </c>
      <c r="G482" s="196" t="s">
        <v>120</v>
      </c>
      <c r="H482" s="196" t="s">
        <v>145</v>
      </c>
      <c r="I482" s="66"/>
      <c r="J482" s="239"/>
      <c r="K482" s="234"/>
      <c r="L482" s="239"/>
      <c r="M482" s="239"/>
      <c r="N482" s="239"/>
      <c r="O482" s="239"/>
      <c r="P482" s="239"/>
      <c r="Q482" s="239"/>
      <c r="R482" s="239"/>
      <c r="S482" s="239"/>
    </row>
    <row r="483" spans="6:19" s="293" customFormat="1" x14ac:dyDescent="0.25">
      <c r="F483" s="196" t="s">
        <v>928</v>
      </c>
      <c r="G483" s="196" t="s">
        <v>120</v>
      </c>
      <c r="H483" s="196" t="s">
        <v>145</v>
      </c>
      <c r="I483" s="66"/>
      <c r="J483" s="233">
        <f t="shared" ref="J483" si="43">CHOOSE(year_selection, L483,M483,N483,O483,P483,Q483,R483,S483)</f>
        <v>182363.36405640218</v>
      </c>
      <c r="K483" s="234"/>
      <c r="L483" s="330"/>
      <c r="M483" s="330"/>
      <c r="N483" s="330"/>
      <c r="O483" s="330">
        <v>182363.36405640218</v>
      </c>
      <c r="P483" s="330">
        <v>176657.28704260036</v>
      </c>
      <c r="Q483" s="330">
        <v>170917.96534896301</v>
      </c>
      <c r="R483" s="330">
        <v>165158.15626487017</v>
      </c>
      <c r="S483" s="330">
        <v>159398.34718077732</v>
      </c>
    </row>
    <row r="484" spans="6:19" s="293" customFormat="1" x14ac:dyDescent="0.25">
      <c r="F484" s="196" t="s">
        <v>929</v>
      </c>
      <c r="G484" s="196" t="s">
        <v>120</v>
      </c>
      <c r="H484" s="196" t="s">
        <v>145</v>
      </c>
      <c r="I484" s="66"/>
      <c r="J484" s="239"/>
      <c r="K484" s="234"/>
      <c r="L484" s="239"/>
      <c r="M484" s="239"/>
      <c r="N484" s="239"/>
      <c r="O484" s="239"/>
      <c r="P484" s="239"/>
      <c r="Q484" s="239"/>
      <c r="R484" s="239"/>
      <c r="S484" s="239"/>
    </row>
    <row r="485" spans="6:19" s="293" customFormat="1" x14ac:dyDescent="0.25">
      <c r="F485" s="196" t="s">
        <v>930</v>
      </c>
      <c r="G485" s="196" t="s">
        <v>120</v>
      </c>
      <c r="H485" s="196" t="s">
        <v>145</v>
      </c>
      <c r="I485" s="66"/>
      <c r="J485" s="233">
        <f t="shared" ref="J485:J487" si="44">CHOOSE(year_selection, L485,M485,N485,O485,P485,Q485,R485,S485)</f>
        <v>227470.57598887279</v>
      </c>
      <c r="K485" s="234"/>
      <c r="L485" s="330"/>
      <c r="M485" s="330"/>
      <c r="N485" s="330"/>
      <c r="O485" s="330">
        <v>227470.57598887279</v>
      </c>
      <c r="P485" s="330">
        <v>205874.49873576584</v>
      </c>
      <c r="Q485" s="330">
        <v>198914.81197389064</v>
      </c>
      <c r="R485" s="330">
        <v>192496.04967823316</v>
      </c>
      <c r="S485" s="330">
        <v>186077.28738257574</v>
      </c>
    </row>
    <row r="486" spans="6:19" s="293" customFormat="1" x14ac:dyDescent="0.25">
      <c r="F486" s="196" t="s">
        <v>931</v>
      </c>
      <c r="G486" s="196" t="s">
        <v>120</v>
      </c>
      <c r="H486" s="196" t="s">
        <v>145</v>
      </c>
      <c r="I486" s="66"/>
      <c r="J486" s="233">
        <f t="shared" si="44"/>
        <v>7778.5753819591955</v>
      </c>
      <c r="K486" s="234"/>
      <c r="L486" s="330"/>
      <c r="M486" s="330"/>
      <c r="N486" s="330"/>
      <c r="O486" s="330">
        <v>7778.5753819591955</v>
      </c>
      <c r="P486" s="330">
        <v>7264.1587600458233</v>
      </c>
      <c r="Q486" s="330">
        <v>7175.3172731164022</v>
      </c>
      <c r="R486" s="330">
        <v>7075.1977677076384</v>
      </c>
      <c r="S486" s="330">
        <v>6975.0782622988727</v>
      </c>
    </row>
    <row r="487" spans="6:19" s="293" customFormat="1" x14ac:dyDescent="0.25">
      <c r="F487" s="196" t="s">
        <v>932</v>
      </c>
      <c r="G487" s="196" t="s">
        <v>120</v>
      </c>
      <c r="H487" s="196" t="s">
        <v>145</v>
      </c>
      <c r="I487" s="66"/>
      <c r="J487" s="233">
        <f t="shared" si="44"/>
        <v>303859.51699190616</v>
      </c>
      <c r="K487" s="234"/>
      <c r="L487" s="330"/>
      <c r="M487" s="330"/>
      <c r="N487" s="330"/>
      <c r="O487" s="330">
        <v>303859.51699190616</v>
      </c>
      <c r="P487" s="330">
        <v>300334.1403292403</v>
      </c>
      <c r="Q487" s="330">
        <v>296287.87894203729</v>
      </c>
      <c r="R487" s="330">
        <v>291913.95277097088</v>
      </c>
      <c r="S487" s="330">
        <v>287540.02659990446</v>
      </c>
    </row>
    <row r="488" spans="6:19" s="293" customFormat="1" x14ac:dyDescent="0.25">
      <c r="F488" s="196" t="s">
        <v>933</v>
      </c>
      <c r="G488" s="196" t="s">
        <v>120</v>
      </c>
      <c r="H488" s="196" t="s">
        <v>145</v>
      </c>
      <c r="I488" s="66"/>
      <c r="J488" s="239"/>
      <c r="K488" s="234"/>
      <c r="L488" s="239"/>
      <c r="M488" s="239"/>
      <c r="N488" s="239"/>
      <c r="O488" s="239"/>
      <c r="P488" s="239"/>
      <c r="Q488" s="239"/>
      <c r="R488" s="239"/>
      <c r="S488" s="239"/>
    </row>
    <row r="489" spans="6:19" s="293" customFormat="1" x14ac:dyDescent="0.25">
      <c r="F489" s="196" t="s">
        <v>934</v>
      </c>
      <c r="G489" s="196" t="s">
        <v>120</v>
      </c>
      <c r="H489" s="196" t="s">
        <v>145</v>
      </c>
      <c r="I489" s="66"/>
      <c r="J489" s="239"/>
      <c r="K489" s="234"/>
      <c r="L489" s="239"/>
      <c r="M489" s="239"/>
      <c r="N489" s="239"/>
      <c r="O489" s="239"/>
      <c r="P489" s="239"/>
      <c r="Q489" s="239"/>
      <c r="R489" s="239"/>
      <c r="S489" s="239"/>
    </row>
    <row r="490" spans="6:19" s="293" customFormat="1" x14ac:dyDescent="0.25">
      <c r="F490" s="196" t="s">
        <v>935</v>
      </c>
      <c r="G490" s="196" t="s">
        <v>120</v>
      </c>
      <c r="H490" s="196" t="s">
        <v>145</v>
      </c>
      <c r="I490" s="66"/>
      <c r="J490" s="239"/>
      <c r="K490" s="234"/>
      <c r="L490" s="239"/>
      <c r="M490" s="239"/>
      <c r="N490" s="239"/>
      <c r="O490" s="239"/>
      <c r="P490" s="239"/>
      <c r="Q490" s="239"/>
      <c r="R490" s="239"/>
      <c r="S490" s="239"/>
    </row>
    <row r="491" spans="6:19" s="293" customFormat="1" x14ac:dyDescent="0.25">
      <c r="F491" s="196" t="s">
        <v>936</v>
      </c>
      <c r="G491" s="196" t="s">
        <v>120</v>
      </c>
      <c r="H491" s="196" t="s">
        <v>145</v>
      </c>
      <c r="I491" s="66"/>
      <c r="J491" s="239"/>
      <c r="K491" s="234"/>
      <c r="L491" s="239"/>
      <c r="M491" s="239"/>
      <c r="N491" s="239"/>
      <c r="O491" s="239"/>
      <c r="P491" s="239"/>
      <c r="Q491" s="239"/>
      <c r="R491" s="239"/>
      <c r="S491" s="239"/>
    </row>
    <row r="492" spans="6:19" s="293" customFormat="1" x14ac:dyDescent="0.25">
      <c r="F492" s="196" t="s">
        <v>937</v>
      </c>
      <c r="G492" s="196" t="s">
        <v>120</v>
      </c>
      <c r="H492" s="196" t="s">
        <v>145</v>
      </c>
      <c r="I492" s="66"/>
      <c r="J492" s="239"/>
      <c r="K492" s="234"/>
      <c r="L492" s="239"/>
      <c r="M492" s="239"/>
      <c r="N492" s="239"/>
      <c r="O492" s="239"/>
      <c r="P492" s="239"/>
      <c r="Q492" s="239"/>
      <c r="R492" s="239"/>
      <c r="S492" s="239"/>
    </row>
    <row r="493" spans="6:19" s="293" customFormat="1" x14ac:dyDescent="0.25">
      <c r="F493" s="196" t="s">
        <v>938</v>
      </c>
      <c r="G493" s="196" t="s">
        <v>120</v>
      </c>
      <c r="H493" s="196" t="s">
        <v>145</v>
      </c>
      <c r="I493" s="66"/>
      <c r="J493" s="239"/>
      <c r="K493" s="234"/>
      <c r="L493" s="239"/>
      <c r="M493" s="239"/>
      <c r="N493" s="239"/>
      <c r="O493" s="239"/>
      <c r="P493" s="239"/>
      <c r="Q493" s="239"/>
      <c r="R493" s="239"/>
      <c r="S493" s="239"/>
    </row>
    <row r="494" spans="6:19" s="293" customFormat="1" x14ac:dyDescent="0.25">
      <c r="F494" s="196" t="s">
        <v>939</v>
      </c>
      <c r="G494" s="196" t="s">
        <v>120</v>
      </c>
      <c r="H494" s="196" t="s">
        <v>145</v>
      </c>
      <c r="I494" s="66"/>
      <c r="J494" s="239"/>
      <c r="K494" s="234"/>
      <c r="L494" s="239"/>
      <c r="M494" s="239"/>
      <c r="N494" s="239"/>
      <c r="O494" s="239"/>
      <c r="P494" s="239"/>
      <c r="Q494" s="239"/>
      <c r="R494" s="239"/>
      <c r="S494" s="239"/>
    </row>
    <row r="495" spans="6:19" s="293" customFormat="1" x14ac:dyDescent="0.25">
      <c r="F495" s="196" t="s">
        <v>940</v>
      </c>
      <c r="G495" s="196" t="s">
        <v>120</v>
      </c>
      <c r="H495" s="196" t="s">
        <v>145</v>
      </c>
      <c r="I495" s="66"/>
      <c r="J495" s="239"/>
      <c r="K495" s="234"/>
      <c r="L495" s="239"/>
      <c r="M495" s="239"/>
      <c r="N495" s="239"/>
      <c r="O495" s="239"/>
      <c r="P495" s="239"/>
      <c r="Q495" s="239"/>
      <c r="R495" s="239"/>
      <c r="S495" s="239"/>
    </row>
    <row r="496" spans="6:19" s="293" customFormat="1" x14ac:dyDescent="0.25">
      <c r="F496" s="93" t="s">
        <v>941</v>
      </c>
      <c r="G496" s="93" t="s">
        <v>120</v>
      </c>
      <c r="H496" s="93" t="s">
        <v>145</v>
      </c>
      <c r="I496" s="145"/>
      <c r="J496" s="240"/>
      <c r="K496" s="236"/>
      <c r="L496" s="240"/>
      <c r="M496" s="240"/>
      <c r="N496" s="240"/>
      <c r="O496" s="240"/>
      <c r="P496" s="240"/>
      <c r="Q496" s="240"/>
      <c r="R496" s="240"/>
      <c r="S496" s="240"/>
    </row>
    <row r="497" spans="5:19" s="293" customFormat="1" x14ac:dyDescent="0.25">
      <c r="I497" s="111"/>
      <c r="J497" s="237"/>
      <c r="K497" s="237"/>
      <c r="L497" s="237"/>
      <c r="M497" s="237"/>
      <c r="N497" s="237"/>
      <c r="O497" s="237"/>
      <c r="P497" s="237"/>
      <c r="Q497" s="237"/>
      <c r="R497" s="237"/>
      <c r="S497" s="237"/>
    </row>
    <row r="498" spans="5:19" s="293" customFormat="1" x14ac:dyDescent="0.25">
      <c r="E498" s="144" t="s">
        <v>74</v>
      </c>
      <c r="I498" s="111"/>
      <c r="J498" s="237"/>
      <c r="K498" s="237"/>
      <c r="L498" s="237"/>
      <c r="M498" s="237"/>
      <c r="N498" s="237"/>
      <c r="O498" s="237"/>
      <c r="P498" s="237"/>
      <c r="Q498" s="237"/>
      <c r="R498" s="237"/>
      <c r="S498" s="237"/>
    </row>
    <row r="499" spans="5:19" s="293" customFormat="1" x14ac:dyDescent="0.25">
      <c r="F499" s="91" t="s">
        <v>926</v>
      </c>
      <c r="G499" s="91" t="s">
        <v>74</v>
      </c>
      <c r="H499" s="91" t="s">
        <v>145</v>
      </c>
      <c r="I499" s="112"/>
      <c r="J499" s="238"/>
      <c r="K499" s="232"/>
      <c r="L499" s="238"/>
      <c r="M499" s="238"/>
      <c r="N499" s="238"/>
      <c r="O499" s="238"/>
      <c r="P499" s="238"/>
      <c r="Q499" s="238"/>
      <c r="R499" s="238"/>
      <c r="S499" s="238"/>
    </row>
    <row r="500" spans="5:19" s="293" customFormat="1" x14ac:dyDescent="0.25">
      <c r="F500" s="196" t="s">
        <v>927</v>
      </c>
      <c r="G500" s="196" t="s">
        <v>74</v>
      </c>
      <c r="H500" s="196" t="s">
        <v>145</v>
      </c>
      <c r="I500" s="66"/>
      <c r="J500" s="239"/>
      <c r="K500" s="234"/>
      <c r="L500" s="239"/>
      <c r="M500" s="239"/>
      <c r="N500" s="239"/>
      <c r="O500" s="239"/>
      <c r="P500" s="239"/>
      <c r="Q500" s="239"/>
      <c r="R500" s="239"/>
      <c r="S500" s="239"/>
    </row>
    <row r="501" spans="5:19" s="293" customFormat="1" x14ac:dyDescent="0.25">
      <c r="F501" s="196" t="s">
        <v>928</v>
      </c>
      <c r="G501" s="196" t="s">
        <v>74</v>
      </c>
      <c r="H501" s="196" t="s">
        <v>145</v>
      </c>
      <c r="I501" s="66"/>
      <c r="J501" s="233">
        <f t="shared" ref="J501" si="45">CHOOSE(year_selection, L501,M501,N501,O501,P501,Q501,R501,S501)</f>
        <v>36790.20623631154</v>
      </c>
      <c r="K501" s="234"/>
      <c r="L501" s="330"/>
      <c r="M501" s="330"/>
      <c r="N501" s="330"/>
      <c r="O501" s="330">
        <v>36790.20623631154</v>
      </c>
      <c r="P501" s="330">
        <v>36843.102009601345</v>
      </c>
      <c r="Q501" s="330">
        <v>36892.459028151316</v>
      </c>
      <c r="R501" s="330">
        <v>36940.743395373676</v>
      </c>
      <c r="S501" s="330">
        <v>36989.027762596037</v>
      </c>
    </row>
    <row r="502" spans="5:19" s="293" customFormat="1" x14ac:dyDescent="0.25">
      <c r="F502" s="196" t="s">
        <v>929</v>
      </c>
      <c r="G502" s="196" t="s">
        <v>74</v>
      </c>
      <c r="H502" s="196" t="s">
        <v>145</v>
      </c>
      <c r="I502" s="66"/>
      <c r="J502" s="239"/>
      <c r="K502" s="234"/>
      <c r="L502" s="239"/>
      <c r="M502" s="239"/>
      <c r="N502" s="239"/>
      <c r="O502" s="239"/>
      <c r="P502" s="239"/>
      <c r="Q502" s="239"/>
      <c r="R502" s="239"/>
      <c r="S502" s="239"/>
    </row>
    <row r="503" spans="5:19" s="293" customFormat="1" x14ac:dyDescent="0.25">
      <c r="F503" s="196" t="s">
        <v>930</v>
      </c>
      <c r="G503" s="196" t="s">
        <v>74</v>
      </c>
      <c r="H503" s="196" t="s">
        <v>145</v>
      </c>
      <c r="I503" s="66"/>
      <c r="J503" s="233">
        <f t="shared" ref="J503:J505" si="46">CHOOSE(year_selection, L503,M503,N503,O503,P503,Q503,R503,S503)</f>
        <v>2872.553606714172</v>
      </c>
      <c r="K503" s="234"/>
      <c r="L503" s="330"/>
      <c r="M503" s="330"/>
      <c r="N503" s="330"/>
      <c r="O503" s="330">
        <v>2872.553606714172</v>
      </c>
      <c r="P503" s="330">
        <v>2893.5603084678787</v>
      </c>
      <c r="Q503" s="330">
        <v>2920.5072240102886</v>
      </c>
      <c r="R503" s="330">
        <v>2949.7289713587852</v>
      </c>
      <c r="S503" s="330">
        <v>2978.9507187072813</v>
      </c>
    </row>
    <row r="504" spans="5:19" s="293" customFormat="1" x14ac:dyDescent="0.25">
      <c r="F504" s="196" t="s">
        <v>931</v>
      </c>
      <c r="G504" s="196" t="s">
        <v>74</v>
      </c>
      <c r="H504" s="196" t="s">
        <v>145</v>
      </c>
      <c r="I504" s="66"/>
      <c r="J504" s="233">
        <f t="shared" si="46"/>
        <v>45.519230769230766</v>
      </c>
      <c r="K504" s="234"/>
      <c r="L504" s="330"/>
      <c r="M504" s="330"/>
      <c r="N504" s="330"/>
      <c r="O504" s="330">
        <v>45.519230769230766</v>
      </c>
      <c r="P504" s="330">
        <v>45.519230769230766</v>
      </c>
      <c r="Q504" s="330">
        <v>45.519230769230766</v>
      </c>
      <c r="R504" s="330">
        <v>45.519230769230766</v>
      </c>
      <c r="S504" s="330">
        <v>45.519230769230766</v>
      </c>
    </row>
    <row r="505" spans="5:19" s="293" customFormat="1" x14ac:dyDescent="0.25">
      <c r="F505" s="196" t="s">
        <v>932</v>
      </c>
      <c r="G505" s="196" t="s">
        <v>74</v>
      </c>
      <c r="H505" s="196" t="s">
        <v>145</v>
      </c>
      <c r="I505" s="66"/>
      <c r="J505" s="233">
        <f t="shared" si="46"/>
        <v>279.08054008462864</v>
      </c>
      <c r="K505" s="234"/>
      <c r="L505" s="330"/>
      <c r="M505" s="330"/>
      <c r="N505" s="330"/>
      <c r="O505" s="330">
        <v>279.08054008462864</v>
      </c>
      <c r="P505" s="330">
        <v>280.3170533169187</v>
      </c>
      <c r="Q505" s="330">
        <v>281.93211027721816</v>
      </c>
      <c r="R505" s="330">
        <v>283.68350873042402</v>
      </c>
      <c r="S505" s="330">
        <v>285.43490718362989</v>
      </c>
    </row>
    <row r="506" spans="5:19" s="293" customFormat="1" x14ac:dyDescent="0.25">
      <c r="F506" s="196" t="s">
        <v>933</v>
      </c>
      <c r="G506" s="196" t="s">
        <v>74</v>
      </c>
      <c r="H506" s="196" t="s">
        <v>145</v>
      </c>
      <c r="I506" s="66"/>
      <c r="J506" s="239"/>
      <c r="K506" s="234"/>
      <c r="L506" s="239"/>
      <c r="M506" s="239"/>
      <c r="N506" s="239"/>
      <c r="O506" s="239"/>
      <c r="P506" s="239"/>
      <c r="Q506" s="239"/>
      <c r="R506" s="239"/>
      <c r="S506" s="239"/>
    </row>
    <row r="507" spans="5:19" s="293" customFormat="1" x14ac:dyDescent="0.25">
      <c r="F507" s="196" t="s">
        <v>934</v>
      </c>
      <c r="G507" s="196" t="s">
        <v>74</v>
      </c>
      <c r="H507" s="196" t="s">
        <v>145</v>
      </c>
      <c r="I507" s="66"/>
      <c r="J507" s="239"/>
      <c r="K507" s="234"/>
      <c r="L507" s="239"/>
      <c r="M507" s="239"/>
      <c r="N507" s="239"/>
      <c r="O507" s="239"/>
      <c r="P507" s="239"/>
      <c r="Q507" s="239"/>
      <c r="R507" s="239"/>
      <c r="S507" s="239"/>
    </row>
    <row r="508" spans="5:19" s="293" customFormat="1" x14ac:dyDescent="0.25">
      <c r="F508" s="196" t="s">
        <v>935</v>
      </c>
      <c r="G508" s="196" t="s">
        <v>74</v>
      </c>
      <c r="H508" s="196" t="s">
        <v>145</v>
      </c>
      <c r="I508" s="66"/>
      <c r="J508" s="239"/>
      <c r="K508" s="234"/>
      <c r="L508" s="239"/>
      <c r="M508" s="239"/>
      <c r="N508" s="239"/>
      <c r="O508" s="239"/>
      <c r="P508" s="239"/>
      <c r="Q508" s="239"/>
      <c r="R508" s="239"/>
      <c r="S508" s="239"/>
    </row>
    <row r="509" spans="5:19" s="293" customFormat="1" x14ac:dyDescent="0.25">
      <c r="F509" s="196" t="s">
        <v>936</v>
      </c>
      <c r="G509" s="196" t="s">
        <v>74</v>
      </c>
      <c r="H509" s="196" t="s">
        <v>145</v>
      </c>
      <c r="I509" s="66"/>
      <c r="J509" s="239"/>
      <c r="K509" s="234"/>
      <c r="L509" s="239"/>
      <c r="M509" s="239"/>
      <c r="N509" s="239"/>
      <c r="O509" s="239"/>
      <c r="P509" s="239"/>
      <c r="Q509" s="239"/>
      <c r="R509" s="239"/>
      <c r="S509" s="239"/>
    </row>
    <row r="510" spans="5:19" s="293" customFormat="1" x14ac:dyDescent="0.25">
      <c r="F510" s="196" t="s">
        <v>937</v>
      </c>
      <c r="G510" s="196" t="s">
        <v>74</v>
      </c>
      <c r="H510" s="196" t="s">
        <v>145</v>
      </c>
      <c r="I510" s="66"/>
      <c r="J510" s="239"/>
      <c r="K510" s="234"/>
      <c r="L510" s="239"/>
      <c r="M510" s="239"/>
      <c r="N510" s="239"/>
      <c r="O510" s="239"/>
      <c r="P510" s="239"/>
      <c r="Q510" s="239"/>
      <c r="R510" s="239"/>
      <c r="S510" s="239"/>
    </row>
    <row r="511" spans="5:19" s="293" customFormat="1" x14ac:dyDescent="0.25">
      <c r="F511" s="196" t="s">
        <v>938</v>
      </c>
      <c r="G511" s="196" t="s">
        <v>74</v>
      </c>
      <c r="H511" s="196" t="s">
        <v>145</v>
      </c>
      <c r="I511" s="66"/>
      <c r="J511" s="239"/>
      <c r="K511" s="234"/>
      <c r="L511" s="239"/>
      <c r="M511" s="239"/>
      <c r="N511" s="239"/>
      <c r="O511" s="239"/>
      <c r="P511" s="239"/>
      <c r="Q511" s="239"/>
      <c r="R511" s="239"/>
      <c r="S511" s="239"/>
    </row>
    <row r="512" spans="5:19" s="293" customFormat="1" x14ac:dyDescent="0.25">
      <c r="F512" s="196" t="s">
        <v>939</v>
      </c>
      <c r="G512" s="196" t="s">
        <v>74</v>
      </c>
      <c r="H512" s="196" t="s">
        <v>145</v>
      </c>
      <c r="I512" s="66"/>
      <c r="J512" s="239"/>
      <c r="K512" s="234"/>
      <c r="L512" s="239"/>
      <c r="M512" s="239"/>
      <c r="N512" s="239"/>
      <c r="O512" s="239"/>
      <c r="P512" s="239"/>
      <c r="Q512" s="239"/>
      <c r="R512" s="239"/>
      <c r="S512" s="239"/>
    </row>
    <row r="513" spans="5:19" s="293" customFormat="1" x14ac:dyDescent="0.25">
      <c r="F513" s="196" t="s">
        <v>940</v>
      </c>
      <c r="G513" s="196" t="s">
        <v>74</v>
      </c>
      <c r="H513" s="196" t="s">
        <v>145</v>
      </c>
      <c r="I513" s="66"/>
      <c r="J513" s="239"/>
      <c r="K513" s="234"/>
      <c r="L513" s="239"/>
      <c r="M513" s="239"/>
      <c r="N513" s="239"/>
      <c r="O513" s="239"/>
      <c r="P513" s="239"/>
      <c r="Q513" s="239"/>
      <c r="R513" s="239"/>
      <c r="S513" s="239"/>
    </row>
    <row r="514" spans="5:19" s="293" customFormat="1" x14ac:dyDescent="0.25">
      <c r="F514" s="93" t="s">
        <v>941</v>
      </c>
      <c r="G514" s="93" t="s">
        <v>74</v>
      </c>
      <c r="H514" s="93" t="s">
        <v>145</v>
      </c>
      <c r="I514" s="145"/>
      <c r="J514" s="240"/>
      <c r="K514" s="236"/>
      <c r="L514" s="240"/>
      <c r="M514" s="240"/>
      <c r="N514" s="240"/>
      <c r="O514" s="240"/>
      <c r="P514" s="240"/>
      <c r="Q514" s="240"/>
      <c r="R514" s="240"/>
      <c r="S514" s="240"/>
    </row>
    <row r="515" spans="5:19" s="293" customFormat="1" x14ac:dyDescent="0.25">
      <c r="I515" s="111"/>
      <c r="J515" s="237"/>
      <c r="K515" s="237"/>
      <c r="L515" s="237"/>
      <c r="M515" s="237"/>
      <c r="N515" s="237"/>
      <c r="O515" s="237"/>
      <c r="P515" s="237"/>
      <c r="Q515" s="237"/>
      <c r="R515" s="237"/>
      <c r="S515" s="237"/>
    </row>
    <row r="516" spans="5:19" s="293" customFormat="1" x14ac:dyDescent="0.25">
      <c r="E516" s="144" t="s">
        <v>202</v>
      </c>
      <c r="I516" s="111"/>
      <c r="J516" s="237"/>
      <c r="K516" s="237"/>
      <c r="L516" s="237"/>
      <c r="M516" s="237"/>
      <c r="N516" s="237"/>
      <c r="O516" s="237"/>
      <c r="P516" s="237"/>
      <c r="Q516" s="237"/>
      <c r="R516" s="237"/>
      <c r="S516" s="237"/>
    </row>
    <row r="517" spans="5:19" s="293" customFormat="1" x14ac:dyDescent="0.25">
      <c r="F517" s="91" t="s">
        <v>926</v>
      </c>
      <c r="G517" s="91" t="s">
        <v>169</v>
      </c>
      <c r="H517" s="91" t="s">
        <v>145</v>
      </c>
      <c r="I517" s="112"/>
      <c r="J517" s="238"/>
      <c r="K517" s="232"/>
      <c r="L517" s="238"/>
      <c r="M517" s="238"/>
      <c r="N517" s="238"/>
      <c r="O517" s="238"/>
      <c r="P517" s="238"/>
      <c r="Q517" s="238"/>
      <c r="R517" s="238"/>
      <c r="S517" s="238"/>
    </row>
    <row r="518" spans="5:19" s="293" customFormat="1" x14ac:dyDescent="0.25">
      <c r="F518" s="196" t="s">
        <v>927</v>
      </c>
      <c r="G518" s="196" t="s">
        <v>169</v>
      </c>
      <c r="H518" s="196" t="s">
        <v>145</v>
      </c>
      <c r="I518" s="66"/>
      <c r="J518" s="239"/>
      <c r="K518" s="234"/>
      <c r="L518" s="239"/>
      <c r="M518" s="239"/>
      <c r="N518" s="239"/>
      <c r="O518" s="239"/>
      <c r="P518" s="239"/>
      <c r="Q518" s="239"/>
      <c r="R518" s="239"/>
      <c r="S518" s="239"/>
    </row>
    <row r="519" spans="5:19" s="293" customFormat="1" x14ac:dyDescent="0.25">
      <c r="F519" s="196" t="s">
        <v>928</v>
      </c>
      <c r="G519" s="196" t="s">
        <v>169</v>
      </c>
      <c r="H519" s="196" t="s">
        <v>145</v>
      </c>
      <c r="I519" s="66"/>
      <c r="J519" s="239"/>
      <c r="K519" s="234"/>
      <c r="L519" s="239"/>
      <c r="M519" s="239"/>
      <c r="N519" s="239"/>
      <c r="O519" s="239"/>
      <c r="P519" s="239"/>
      <c r="Q519" s="239"/>
      <c r="R519" s="239"/>
      <c r="S519" s="239"/>
    </row>
    <row r="520" spans="5:19" s="293" customFormat="1" x14ac:dyDescent="0.25">
      <c r="F520" s="196" t="s">
        <v>929</v>
      </c>
      <c r="G520" s="196" t="s">
        <v>169</v>
      </c>
      <c r="H520" s="196" t="s">
        <v>145</v>
      </c>
      <c r="I520" s="66"/>
      <c r="J520" s="239"/>
      <c r="K520" s="234"/>
      <c r="L520" s="239"/>
      <c r="M520" s="239"/>
      <c r="N520" s="239"/>
      <c r="O520" s="239"/>
      <c r="P520" s="239"/>
      <c r="Q520" s="239"/>
      <c r="R520" s="239"/>
      <c r="S520" s="239"/>
    </row>
    <row r="521" spans="5:19" s="293" customFormat="1" x14ac:dyDescent="0.25">
      <c r="F521" s="196" t="s">
        <v>930</v>
      </c>
      <c r="G521" s="196" t="s">
        <v>169</v>
      </c>
      <c r="H521" s="196" t="s">
        <v>145</v>
      </c>
      <c r="I521" s="66"/>
      <c r="J521" s="233">
        <f t="shared" ref="J521:J523" si="47">CHOOSE(year_selection, L521,M521,N521,O521,P521,Q521,R521,S521)</f>
        <v>488741.46311303356</v>
      </c>
      <c r="K521" s="234"/>
      <c r="L521" s="330"/>
      <c r="M521" s="330"/>
      <c r="N521" s="330"/>
      <c r="O521" s="330">
        <v>488741.46311303356</v>
      </c>
      <c r="P521" s="330">
        <v>496900.39090865618</v>
      </c>
      <c r="Q521" s="330">
        <v>496900.39090865618</v>
      </c>
      <c r="R521" s="330">
        <v>501872.23195125407</v>
      </c>
      <c r="S521" s="330">
        <v>506844.07299385191</v>
      </c>
    </row>
    <row r="522" spans="5:19" s="293" customFormat="1" x14ac:dyDescent="0.25">
      <c r="F522" s="196" t="s">
        <v>931</v>
      </c>
      <c r="G522" s="196" t="s">
        <v>169</v>
      </c>
      <c r="H522" s="196" t="s">
        <v>145</v>
      </c>
      <c r="I522" s="66"/>
      <c r="J522" s="233">
        <f t="shared" si="47"/>
        <v>7668.3961292627218</v>
      </c>
      <c r="K522" s="234"/>
      <c r="L522" s="330"/>
      <c r="M522" s="330"/>
      <c r="N522" s="330"/>
      <c r="O522" s="330">
        <v>7668.3961292627218</v>
      </c>
      <c r="P522" s="330">
        <v>7666.3582239944153</v>
      </c>
      <c r="Q522" s="330">
        <v>7666.3582239944153</v>
      </c>
      <c r="R522" s="330">
        <v>7666.3360983964412</v>
      </c>
      <c r="S522" s="330">
        <v>7666.3139727984681</v>
      </c>
    </row>
    <row r="523" spans="5:19" s="293" customFormat="1" x14ac:dyDescent="0.25">
      <c r="F523" s="196" t="s">
        <v>932</v>
      </c>
      <c r="G523" s="196" t="s">
        <v>169</v>
      </c>
      <c r="H523" s="196" t="s">
        <v>145</v>
      </c>
      <c r="I523" s="66"/>
      <c r="J523" s="233">
        <f t="shared" si="47"/>
        <v>374962.07826794166</v>
      </c>
      <c r="K523" s="234"/>
      <c r="L523" s="330"/>
      <c r="M523" s="330"/>
      <c r="N523" s="330"/>
      <c r="O523" s="330">
        <v>374962.07826794166</v>
      </c>
      <c r="P523" s="330">
        <v>378799.31960961164</v>
      </c>
      <c r="Q523" s="330">
        <v>378799.31960961164</v>
      </c>
      <c r="R523" s="330">
        <v>381152.47634888248</v>
      </c>
      <c r="S523" s="330">
        <v>383505.63308815332</v>
      </c>
    </row>
    <row r="524" spans="5:19" s="293" customFormat="1" x14ac:dyDescent="0.25">
      <c r="F524" s="196" t="s">
        <v>933</v>
      </c>
      <c r="G524" s="196" t="s">
        <v>169</v>
      </c>
      <c r="H524" s="196" t="s">
        <v>145</v>
      </c>
      <c r="I524" s="66"/>
      <c r="J524" s="239"/>
      <c r="K524" s="234"/>
      <c r="L524" s="239"/>
      <c r="M524" s="239"/>
      <c r="N524" s="239"/>
      <c r="O524" s="239"/>
      <c r="P524" s="239"/>
      <c r="Q524" s="239"/>
      <c r="R524" s="239"/>
      <c r="S524" s="239"/>
    </row>
    <row r="525" spans="5:19" s="293" customFormat="1" x14ac:dyDescent="0.25">
      <c r="F525" s="196" t="s">
        <v>934</v>
      </c>
      <c r="G525" s="196" t="s">
        <v>169</v>
      </c>
      <c r="H525" s="196" t="s">
        <v>145</v>
      </c>
      <c r="I525" s="66"/>
      <c r="J525" s="239"/>
      <c r="K525" s="234"/>
      <c r="L525" s="239"/>
      <c r="M525" s="239"/>
      <c r="N525" s="239"/>
      <c r="O525" s="239"/>
      <c r="P525" s="239"/>
      <c r="Q525" s="239"/>
      <c r="R525" s="239"/>
      <c r="S525" s="239"/>
    </row>
    <row r="526" spans="5:19" s="293" customFormat="1" x14ac:dyDescent="0.25">
      <c r="F526" s="196" t="s">
        <v>935</v>
      </c>
      <c r="G526" s="196" t="s">
        <v>169</v>
      </c>
      <c r="H526" s="196" t="s">
        <v>145</v>
      </c>
      <c r="I526" s="66"/>
      <c r="J526" s="239"/>
      <c r="K526" s="234"/>
      <c r="L526" s="239"/>
      <c r="M526" s="239"/>
      <c r="N526" s="239"/>
      <c r="O526" s="239"/>
      <c r="P526" s="239"/>
      <c r="Q526" s="239"/>
      <c r="R526" s="239"/>
      <c r="S526" s="239"/>
    </row>
    <row r="527" spans="5:19" s="293" customFormat="1" x14ac:dyDescent="0.25">
      <c r="F527" s="196" t="s">
        <v>936</v>
      </c>
      <c r="G527" s="196" t="s">
        <v>169</v>
      </c>
      <c r="H527" s="196" t="s">
        <v>145</v>
      </c>
      <c r="I527" s="66"/>
      <c r="J527" s="239"/>
      <c r="K527" s="234"/>
      <c r="L527" s="239"/>
      <c r="M527" s="239"/>
      <c r="N527" s="239"/>
      <c r="O527" s="239"/>
      <c r="P527" s="239"/>
      <c r="Q527" s="239"/>
      <c r="R527" s="239"/>
      <c r="S527" s="239"/>
    </row>
    <row r="528" spans="5:19" s="293" customFormat="1" x14ac:dyDescent="0.25">
      <c r="F528" s="196" t="s">
        <v>937</v>
      </c>
      <c r="G528" s="196" t="s">
        <v>169</v>
      </c>
      <c r="H528" s="196" t="s">
        <v>145</v>
      </c>
      <c r="I528" s="66"/>
      <c r="J528" s="239"/>
      <c r="K528" s="234"/>
      <c r="L528" s="239"/>
      <c r="M528" s="239"/>
      <c r="N528" s="239"/>
      <c r="O528" s="239"/>
      <c r="P528" s="239"/>
      <c r="Q528" s="239"/>
      <c r="R528" s="239"/>
      <c r="S528" s="239"/>
    </row>
    <row r="529" spans="5:19" s="293" customFormat="1" x14ac:dyDescent="0.25">
      <c r="F529" s="196" t="s">
        <v>938</v>
      </c>
      <c r="G529" s="196" t="s">
        <v>169</v>
      </c>
      <c r="H529" s="196" t="s">
        <v>145</v>
      </c>
      <c r="I529" s="66"/>
      <c r="J529" s="239"/>
      <c r="K529" s="234"/>
      <c r="L529" s="239"/>
      <c r="M529" s="239"/>
      <c r="N529" s="239"/>
      <c r="O529" s="239"/>
      <c r="P529" s="239"/>
      <c r="Q529" s="239"/>
      <c r="R529" s="239"/>
      <c r="S529" s="239"/>
    </row>
    <row r="530" spans="5:19" s="293" customFormat="1" x14ac:dyDescent="0.25">
      <c r="F530" s="196" t="s">
        <v>939</v>
      </c>
      <c r="G530" s="196" t="s">
        <v>169</v>
      </c>
      <c r="H530" s="196" t="s">
        <v>145</v>
      </c>
      <c r="I530" s="66"/>
      <c r="J530" s="239"/>
      <c r="K530" s="234"/>
      <c r="L530" s="239"/>
      <c r="M530" s="239"/>
      <c r="N530" s="239"/>
      <c r="O530" s="239"/>
      <c r="P530" s="239"/>
      <c r="Q530" s="239"/>
      <c r="R530" s="239"/>
      <c r="S530" s="239"/>
    </row>
    <row r="531" spans="5:19" s="293" customFormat="1" x14ac:dyDescent="0.25">
      <c r="F531" s="196" t="s">
        <v>940</v>
      </c>
      <c r="G531" s="196" t="s">
        <v>169</v>
      </c>
      <c r="H531" s="196" t="s">
        <v>145</v>
      </c>
      <c r="I531" s="66"/>
      <c r="J531" s="239"/>
      <c r="K531" s="234"/>
      <c r="L531" s="239"/>
      <c r="M531" s="239"/>
      <c r="N531" s="239"/>
      <c r="O531" s="239"/>
      <c r="P531" s="239"/>
      <c r="Q531" s="239"/>
      <c r="R531" s="239"/>
      <c r="S531" s="239"/>
    </row>
    <row r="532" spans="5:19" s="293" customFormat="1" x14ac:dyDescent="0.25">
      <c r="F532" s="93" t="s">
        <v>941</v>
      </c>
      <c r="G532" s="93" t="s">
        <v>169</v>
      </c>
      <c r="H532" s="93" t="s">
        <v>145</v>
      </c>
      <c r="I532" s="145"/>
      <c r="J532" s="240"/>
      <c r="K532" s="236"/>
      <c r="L532" s="240"/>
      <c r="M532" s="240"/>
      <c r="N532" s="240"/>
      <c r="O532" s="240"/>
      <c r="P532" s="240"/>
      <c r="Q532" s="240"/>
      <c r="R532" s="240"/>
      <c r="S532" s="240"/>
    </row>
    <row r="533" spans="5:19" s="293" customFormat="1" x14ac:dyDescent="0.25">
      <c r="I533" s="111"/>
      <c r="J533" s="237"/>
      <c r="K533" s="237"/>
      <c r="L533" s="237"/>
      <c r="M533" s="237"/>
      <c r="N533" s="237"/>
      <c r="O533" s="237"/>
      <c r="P533" s="237"/>
      <c r="Q533" s="237"/>
      <c r="R533" s="237"/>
      <c r="S533" s="237"/>
    </row>
    <row r="534" spans="5:19" s="293" customFormat="1" x14ac:dyDescent="0.25">
      <c r="E534" s="144" t="s">
        <v>203</v>
      </c>
      <c r="I534" s="111"/>
      <c r="J534" s="237"/>
      <c r="K534" s="237"/>
      <c r="L534" s="237"/>
      <c r="M534" s="237"/>
      <c r="N534" s="237"/>
      <c r="O534" s="237"/>
      <c r="P534" s="237"/>
      <c r="Q534" s="237"/>
      <c r="R534" s="237"/>
      <c r="S534" s="237"/>
    </row>
    <row r="535" spans="5:19" s="293" customFormat="1" x14ac:dyDescent="0.25">
      <c r="F535" s="91" t="s">
        <v>926</v>
      </c>
      <c r="G535" s="91" t="s">
        <v>169</v>
      </c>
      <c r="H535" s="91" t="s">
        <v>145</v>
      </c>
      <c r="I535" s="112"/>
      <c r="J535" s="238"/>
      <c r="K535" s="232"/>
      <c r="L535" s="238"/>
      <c r="M535" s="238"/>
      <c r="N535" s="238"/>
      <c r="O535" s="238"/>
      <c r="P535" s="238"/>
      <c r="Q535" s="238"/>
      <c r="R535" s="238"/>
      <c r="S535" s="238"/>
    </row>
    <row r="536" spans="5:19" s="293" customFormat="1" x14ac:dyDescent="0.25">
      <c r="F536" s="196" t="s">
        <v>927</v>
      </c>
      <c r="G536" s="196" t="s">
        <v>169</v>
      </c>
      <c r="H536" s="196" t="s">
        <v>145</v>
      </c>
      <c r="I536" s="66"/>
      <c r="J536" s="239"/>
      <c r="K536" s="234"/>
      <c r="L536" s="239"/>
      <c r="M536" s="239"/>
      <c r="N536" s="239"/>
      <c r="O536" s="239"/>
      <c r="P536" s="239"/>
      <c r="Q536" s="239"/>
      <c r="R536" s="239"/>
      <c r="S536" s="239"/>
    </row>
    <row r="537" spans="5:19" s="293" customFormat="1" x14ac:dyDescent="0.25">
      <c r="F537" s="196" t="s">
        <v>928</v>
      </c>
      <c r="G537" s="196" t="s">
        <v>169</v>
      </c>
      <c r="H537" s="196" t="s">
        <v>145</v>
      </c>
      <c r="I537" s="66"/>
      <c r="J537" s="239"/>
      <c r="K537" s="234"/>
      <c r="L537" s="239"/>
      <c r="M537" s="239"/>
      <c r="N537" s="239"/>
      <c r="O537" s="239"/>
      <c r="P537" s="239"/>
      <c r="Q537" s="239"/>
      <c r="R537" s="239"/>
      <c r="S537" s="239"/>
    </row>
    <row r="538" spans="5:19" s="293" customFormat="1" x14ac:dyDescent="0.25">
      <c r="F538" s="196" t="s">
        <v>929</v>
      </c>
      <c r="G538" s="196" t="s">
        <v>169</v>
      </c>
      <c r="H538" s="196" t="s">
        <v>145</v>
      </c>
      <c r="I538" s="66"/>
      <c r="J538" s="239"/>
      <c r="K538" s="234"/>
      <c r="L538" s="239"/>
      <c r="M538" s="239"/>
      <c r="N538" s="239"/>
      <c r="O538" s="239"/>
      <c r="P538" s="239"/>
      <c r="Q538" s="239"/>
      <c r="R538" s="239"/>
      <c r="S538" s="239"/>
    </row>
    <row r="539" spans="5:19" s="293" customFormat="1" x14ac:dyDescent="0.25">
      <c r="F539" s="196" t="s">
        <v>930</v>
      </c>
      <c r="G539" s="196" t="s">
        <v>169</v>
      </c>
      <c r="H539" s="196" t="s">
        <v>145</v>
      </c>
      <c r="I539" s="66"/>
      <c r="J539" s="233">
        <f t="shared" ref="J539:J541" si="48">CHOOSE(year_selection, L539,M539,N539,O539,P539,Q539,R539,S539)</f>
        <v>6664.2619857714217</v>
      </c>
      <c r="K539" s="234"/>
      <c r="L539" s="330"/>
      <c r="M539" s="330"/>
      <c r="N539" s="330"/>
      <c r="O539" s="330">
        <v>6664.2619857714217</v>
      </c>
      <c r="P539" s="330">
        <v>6775.5135092388455</v>
      </c>
      <c r="Q539" s="330">
        <v>6775.5135092388455</v>
      </c>
      <c r="R539" s="330">
        <v>6843.3073302264056</v>
      </c>
      <c r="S539" s="330">
        <v>6911.1011512139648</v>
      </c>
    </row>
    <row r="540" spans="5:19" s="293" customFormat="1" x14ac:dyDescent="0.25">
      <c r="F540" s="196" t="s">
        <v>931</v>
      </c>
      <c r="G540" s="196" t="s">
        <v>169</v>
      </c>
      <c r="H540" s="196" t="s">
        <v>145</v>
      </c>
      <c r="I540" s="66"/>
      <c r="J540" s="233">
        <f t="shared" si="48"/>
        <v>52.375546081746194</v>
      </c>
      <c r="K540" s="234"/>
      <c r="L540" s="330"/>
      <c r="M540" s="330"/>
      <c r="N540" s="330"/>
      <c r="O540" s="330">
        <v>52.375546081746194</v>
      </c>
      <c r="P540" s="330">
        <v>52.361627082324262</v>
      </c>
      <c r="Q540" s="330">
        <v>52.361627082324262</v>
      </c>
      <c r="R540" s="330">
        <v>52.36147596333447</v>
      </c>
      <c r="S540" s="330">
        <v>52.361324844344665</v>
      </c>
    </row>
    <row r="541" spans="5:19" s="293" customFormat="1" x14ac:dyDescent="0.25">
      <c r="F541" s="196" t="s">
        <v>932</v>
      </c>
      <c r="G541" s="196" t="s">
        <v>169</v>
      </c>
      <c r="H541" s="196" t="s">
        <v>145</v>
      </c>
      <c r="I541" s="66"/>
      <c r="J541" s="233">
        <f t="shared" si="48"/>
        <v>4496.5495454411821</v>
      </c>
      <c r="K541" s="234"/>
      <c r="L541" s="330"/>
      <c r="M541" s="330"/>
      <c r="N541" s="330"/>
      <c r="O541" s="330">
        <v>4496.5495454411821</v>
      </c>
      <c r="P541" s="330">
        <v>4542.565787644493</v>
      </c>
      <c r="Q541" s="330">
        <v>4542.565787644493</v>
      </c>
      <c r="R541" s="330">
        <v>4570.78487026532</v>
      </c>
      <c r="S541" s="330">
        <v>4599.0039528861462</v>
      </c>
    </row>
    <row r="542" spans="5:19" s="293" customFormat="1" x14ac:dyDescent="0.25">
      <c r="F542" s="196" t="s">
        <v>933</v>
      </c>
      <c r="G542" s="196" t="s">
        <v>169</v>
      </c>
      <c r="H542" s="196" t="s">
        <v>145</v>
      </c>
      <c r="I542" s="66"/>
      <c r="J542" s="239"/>
      <c r="K542" s="234"/>
      <c r="L542" s="239"/>
      <c r="M542" s="239"/>
      <c r="N542" s="239"/>
      <c r="O542" s="239"/>
      <c r="P542" s="239"/>
      <c r="Q542" s="239"/>
      <c r="R542" s="239"/>
      <c r="S542" s="239"/>
    </row>
    <row r="543" spans="5:19" s="293" customFormat="1" x14ac:dyDescent="0.25">
      <c r="F543" s="196" t="s">
        <v>934</v>
      </c>
      <c r="G543" s="196" t="s">
        <v>169</v>
      </c>
      <c r="H543" s="196" t="s">
        <v>145</v>
      </c>
      <c r="I543" s="66"/>
      <c r="J543" s="239"/>
      <c r="K543" s="234"/>
      <c r="L543" s="239"/>
      <c r="M543" s="239"/>
      <c r="N543" s="239"/>
      <c r="O543" s="239"/>
      <c r="P543" s="239"/>
      <c r="Q543" s="239"/>
      <c r="R543" s="239"/>
      <c r="S543" s="239"/>
    </row>
    <row r="544" spans="5:19" s="293" customFormat="1" x14ac:dyDescent="0.25">
      <c r="F544" s="196" t="s">
        <v>935</v>
      </c>
      <c r="G544" s="196" t="s">
        <v>169</v>
      </c>
      <c r="H544" s="196" t="s">
        <v>145</v>
      </c>
      <c r="I544" s="66"/>
      <c r="J544" s="239"/>
      <c r="K544" s="234"/>
      <c r="L544" s="239"/>
      <c r="M544" s="239"/>
      <c r="N544" s="239"/>
      <c r="O544" s="239"/>
      <c r="P544" s="239"/>
      <c r="Q544" s="239"/>
      <c r="R544" s="239"/>
      <c r="S544" s="239"/>
    </row>
    <row r="545" spans="5:19" s="293" customFormat="1" x14ac:dyDescent="0.25">
      <c r="F545" s="196" t="s">
        <v>936</v>
      </c>
      <c r="G545" s="196" t="s">
        <v>169</v>
      </c>
      <c r="H545" s="196" t="s">
        <v>145</v>
      </c>
      <c r="I545" s="66"/>
      <c r="J545" s="239"/>
      <c r="K545" s="234"/>
      <c r="L545" s="239"/>
      <c r="M545" s="239"/>
      <c r="N545" s="239"/>
      <c r="O545" s="239"/>
      <c r="P545" s="239"/>
      <c r="Q545" s="239"/>
      <c r="R545" s="239"/>
      <c r="S545" s="239"/>
    </row>
    <row r="546" spans="5:19" s="293" customFormat="1" x14ac:dyDescent="0.25">
      <c r="F546" s="196" t="s">
        <v>937</v>
      </c>
      <c r="G546" s="196" t="s">
        <v>169</v>
      </c>
      <c r="H546" s="196" t="s">
        <v>145</v>
      </c>
      <c r="I546" s="66"/>
      <c r="J546" s="239"/>
      <c r="K546" s="234"/>
      <c r="L546" s="239"/>
      <c r="M546" s="239"/>
      <c r="N546" s="239"/>
      <c r="O546" s="239"/>
      <c r="P546" s="239"/>
      <c r="Q546" s="239"/>
      <c r="R546" s="239"/>
      <c r="S546" s="239"/>
    </row>
    <row r="547" spans="5:19" s="293" customFormat="1" x14ac:dyDescent="0.25">
      <c r="F547" s="196" t="s">
        <v>938</v>
      </c>
      <c r="G547" s="196" t="s">
        <v>169</v>
      </c>
      <c r="H547" s="196" t="s">
        <v>145</v>
      </c>
      <c r="I547" s="66"/>
      <c r="J547" s="239"/>
      <c r="K547" s="234"/>
      <c r="L547" s="239"/>
      <c r="M547" s="239"/>
      <c r="N547" s="239"/>
      <c r="O547" s="239"/>
      <c r="P547" s="239"/>
      <c r="Q547" s="239"/>
      <c r="R547" s="239"/>
      <c r="S547" s="239"/>
    </row>
    <row r="548" spans="5:19" s="293" customFormat="1" x14ac:dyDescent="0.25">
      <c r="F548" s="196" t="s">
        <v>939</v>
      </c>
      <c r="G548" s="196" t="s">
        <v>169</v>
      </c>
      <c r="H548" s="196" t="s">
        <v>145</v>
      </c>
      <c r="I548" s="66"/>
      <c r="J548" s="239"/>
      <c r="K548" s="234"/>
      <c r="L548" s="239"/>
      <c r="M548" s="239"/>
      <c r="N548" s="239"/>
      <c r="O548" s="239"/>
      <c r="P548" s="239"/>
      <c r="Q548" s="239"/>
      <c r="R548" s="239"/>
      <c r="S548" s="239"/>
    </row>
    <row r="549" spans="5:19" s="293" customFormat="1" x14ac:dyDescent="0.25">
      <c r="F549" s="196" t="s">
        <v>940</v>
      </c>
      <c r="G549" s="196" t="s">
        <v>169</v>
      </c>
      <c r="H549" s="196" t="s">
        <v>145</v>
      </c>
      <c r="I549" s="66"/>
      <c r="J549" s="239"/>
      <c r="K549" s="234"/>
      <c r="L549" s="239"/>
      <c r="M549" s="239"/>
      <c r="N549" s="239"/>
      <c r="O549" s="239"/>
      <c r="P549" s="239"/>
      <c r="Q549" s="239"/>
      <c r="R549" s="239"/>
      <c r="S549" s="239"/>
    </row>
    <row r="550" spans="5:19" s="293" customFormat="1" x14ac:dyDescent="0.25">
      <c r="F550" s="93" t="s">
        <v>941</v>
      </c>
      <c r="G550" s="93" t="s">
        <v>169</v>
      </c>
      <c r="H550" s="93" t="s">
        <v>145</v>
      </c>
      <c r="I550" s="145"/>
      <c r="J550" s="240"/>
      <c r="K550" s="236"/>
      <c r="L550" s="240"/>
      <c r="M550" s="240"/>
      <c r="N550" s="240"/>
      <c r="O550" s="240"/>
      <c r="P550" s="240"/>
      <c r="Q550" s="240"/>
      <c r="R550" s="240"/>
      <c r="S550" s="240"/>
    </row>
    <row r="551" spans="5:19" s="293" customFormat="1" x14ac:dyDescent="0.25">
      <c r="I551" s="111"/>
      <c r="J551" s="237"/>
      <c r="K551" s="237"/>
      <c r="L551" s="237"/>
      <c r="M551" s="237"/>
      <c r="N551" s="237"/>
      <c r="O551" s="237"/>
      <c r="P551" s="237"/>
      <c r="Q551" s="237"/>
      <c r="R551" s="237"/>
      <c r="S551" s="237"/>
    </row>
    <row r="552" spans="5:19" s="293" customFormat="1" x14ac:dyDescent="0.25">
      <c r="E552" s="144" t="s">
        <v>204</v>
      </c>
      <c r="I552" s="111"/>
      <c r="J552" s="237"/>
      <c r="K552" s="237"/>
      <c r="L552" s="237"/>
      <c r="M552" s="237"/>
      <c r="N552" s="237"/>
      <c r="O552" s="237"/>
      <c r="P552" s="237"/>
      <c r="Q552" s="237"/>
      <c r="R552" s="237"/>
      <c r="S552" s="237"/>
    </row>
    <row r="553" spans="5:19" s="293" customFormat="1" x14ac:dyDescent="0.25">
      <c r="F553" s="91" t="s">
        <v>926</v>
      </c>
      <c r="G553" s="91" t="s">
        <v>170</v>
      </c>
      <c r="H553" s="91" t="s">
        <v>145</v>
      </c>
      <c r="I553" s="112"/>
      <c r="J553" s="238"/>
      <c r="K553" s="232"/>
      <c r="L553" s="238"/>
      <c r="M553" s="238"/>
      <c r="N553" s="238"/>
      <c r="O553" s="238"/>
      <c r="P553" s="238"/>
      <c r="Q553" s="238"/>
      <c r="R553" s="238"/>
      <c r="S553" s="238"/>
    </row>
    <row r="554" spans="5:19" s="293" customFormat="1" x14ac:dyDescent="0.25">
      <c r="F554" s="196" t="s">
        <v>927</v>
      </c>
      <c r="G554" s="196" t="s">
        <v>170</v>
      </c>
      <c r="H554" s="196" t="s">
        <v>145</v>
      </c>
      <c r="I554" s="66"/>
      <c r="J554" s="239"/>
      <c r="K554" s="234"/>
      <c r="L554" s="239"/>
      <c r="M554" s="239"/>
      <c r="N554" s="239"/>
      <c r="O554" s="239"/>
      <c r="P554" s="239"/>
      <c r="Q554" s="239"/>
      <c r="R554" s="239"/>
      <c r="S554" s="239"/>
    </row>
    <row r="555" spans="5:19" s="293" customFormat="1" x14ac:dyDescent="0.25">
      <c r="F555" s="196" t="s">
        <v>928</v>
      </c>
      <c r="G555" s="196" t="s">
        <v>170</v>
      </c>
      <c r="H555" s="196" t="s">
        <v>145</v>
      </c>
      <c r="I555" s="66"/>
      <c r="J555" s="239"/>
      <c r="K555" s="234"/>
      <c r="L555" s="239"/>
      <c r="M555" s="239"/>
      <c r="N555" s="239"/>
      <c r="O555" s="239"/>
      <c r="P555" s="239"/>
      <c r="Q555" s="239"/>
      <c r="R555" s="239"/>
      <c r="S555" s="239"/>
    </row>
    <row r="556" spans="5:19" s="293" customFormat="1" x14ac:dyDescent="0.25">
      <c r="F556" s="196" t="s">
        <v>929</v>
      </c>
      <c r="G556" s="196" t="s">
        <v>170</v>
      </c>
      <c r="H556" s="196" t="s">
        <v>145</v>
      </c>
      <c r="I556" s="66"/>
      <c r="J556" s="239"/>
      <c r="K556" s="234"/>
      <c r="L556" s="239"/>
      <c r="M556" s="239"/>
      <c r="N556" s="239"/>
      <c r="O556" s="239"/>
      <c r="P556" s="239"/>
      <c r="Q556" s="239"/>
      <c r="R556" s="239"/>
      <c r="S556" s="239"/>
    </row>
    <row r="557" spans="5:19" s="293" customFormat="1" x14ac:dyDescent="0.25">
      <c r="F557" s="196" t="s">
        <v>930</v>
      </c>
      <c r="G557" s="196" t="s">
        <v>170</v>
      </c>
      <c r="H557" s="196" t="s">
        <v>145</v>
      </c>
      <c r="I557" s="66"/>
      <c r="J557" s="233">
        <f t="shared" ref="J557:J559" si="49">CHOOSE(year_selection, L557,M557,N557,O557,P557,Q557,R557,S557)</f>
        <v>61856.420936773538</v>
      </c>
      <c r="K557" s="234"/>
      <c r="L557" s="330"/>
      <c r="M557" s="330"/>
      <c r="N557" s="330"/>
      <c r="O557" s="330">
        <v>61856.420936773538</v>
      </c>
      <c r="P557" s="330">
        <v>59020.175800626756</v>
      </c>
      <c r="Q557" s="330">
        <v>59020.175800626756</v>
      </c>
      <c r="R557" s="330">
        <v>56183.930664479973</v>
      </c>
      <c r="S557" s="330">
        <v>53347.685528333197</v>
      </c>
    </row>
    <row r="558" spans="5:19" s="293" customFormat="1" x14ac:dyDescent="0.25">
      <c r="F558" s="196" t="s">
        <v>931</v>
      </c>
      <c r="G558" s="196" t="s">
        <v>170</v>
      </c>
      <c r="H558" s="196" t="s">
        <v>145</v>
      </c>
      <c r="I558" s="66"/>
      <c r="J558" s="233">
        <f t="shared" si="49"/>
        <v>1534.5085806288153</v>
      </c>
      <c r="K558" s="234"/>
      <c r="L558" s="330"/>
      <c r="M558" s="330"/>
      <c r="N558" s="330"/>
      <c r="O558" s="330">
        <v>1534.5085806288153</v>
      </c>
      <c r="P558" s="330">
        <v>1524.1663940949845</v>
      </c>
      <c r="Q558" s="330">
        <v>1524.1663940949845</v>
      </c>
      <c r="R558" s="330">
        <v>1513.8242075611538</v>
      </c>
      <c r="S558" s="330">
        <v>1503.4820210273231</v>
      </c>
    </row>
    <row r="559" spans="5:19" s="293" customFormat="1" x14ac:dyDescent="0.25">
      <c r="F559" s="196" t="s">
        <v>932</v>
      </c>
      <c r="G559" s="196" t="s">
        <v>170</v>
      </c>
      <c r="H559" s="196" t="s">
        <v>145</v>
      </c>
      <c r="I559" s="66"/>
      <c r="J559" s="233">
        <f t="shared" si="49"/>
        <v>58142.183270048139</v>
      </c>
      <c r="K559" s="234"/>
      <c r="L559" s="330"/>
      <c r="M559" s="330"/>
      <c r="N559" s="330"/>
      <c r="O559" s="330">
        <v>58142.183270048139</v>
      </c>
      <c r="P559" s="330">
        <v>57549.020420893597</v>
      </c>
      <c r="Q559" s="330">
        <v>57549.020420893597</v>
      </c>
      <c r="R559" s="330">
        <v>56955.85757173907</v>
      </c>
      <c r="S559" s="330">
        <v>56362.694722584536</v>
      </c>
    </row>
    <row r="560" spans="5:19" s="293" customFormat="1" x14ac:dyDescent="0.25">
      <c r="F560" s="196" t="s">
        <v>933</v>
      </c>
      <c r="G560" s="196" t="s">
        <v>170</v>
      </c>
      <c r="H560" s="196" t="s">
        <v>145</v>
      </c>
      <c r="I560" s="66"/>
      <c r="J560" s="239"/>
      <c r="K560" s="234"/>
      <c r="L560" s="239"/>
      <c r="M560" s="239"/>
      <c r="N560" s="239"/>
      <c r="O560" s="239"/>
      <c r="P560" s="239"/>
      <c r="Q560" s="239"/>
      <c r="R560" s="239"/>
      <c r="S560" s="239"/>
    </row>
    <row r="561" spans="3:21" s="293" customFormat="1" x14ac:dyDescent="0.25">
      <c r="F561" s="196" t="s">
        <v>934</v>
      </c>
      <c r="G561" s="196" t="s">
        <v>170</v>
      </c>
      <c r="H561" s="196" t="s">
        <v>145</v>
      </c>
      <c r="I561" s="66"/>
      <c r="J561" s="239"/>
      <c r="K561" s="234"/>
      <c r="L561" s="239"/>
      <c r="M561" s="239"/>
      <c r="N561" s="239"/>
      <c r="O561" s="239"/>
      <c r="P561" s="239"/>
      <c r="Q561" s="239"/>
      <c r="R561" s="239"/>
      <c r="S561" s="239"/>
    </row>
    <row r="562" spans="3:21" s="293" customFormat="1" x14ac:dyDescent="0.25">
      <c r="F562" s="196" t="s">
        <v>935</v>
      </c>
      <c r="G562" s="196" t="s">
        <v>170</v>
      </c>
      <c r="H562" s="196" t="s">
        <v>145</v>
      </c>
      <c r="I562" s="66"/>
      <c r="J562" s="239"/>
      <c r="K562" s="234"/>
      <c r="L562" s="239"/>
      <c r="M562" s="239"/>
      <c r="N562" s="239"/>
      <c r="O562" s="239"/>
      <c r="P562" s="239"/>
      <c r="Q562" s="239"/>
      <c r="R562" s="239"/>
      <c r="S562" s="239"/>
    </row>
    <row r="563" spans="3:21" s="293" customFormat="1" x14ac:dyDescent="0.25">
      <c r="F563" s="196" t="s">
        <v>936</v>
      </c>
      <c r="G563" s="196" t="s">
        <v>170</v>
      </c>
      <c r="H563" s="196" t="s">
        <v>145</v>
      </c>
      <c r="I563" s="66"/>
      <c r="J563" s="239"/>
      <c r="K563" s="234"/>
      <c r="L563" s="239"/>
      <c r="M563" s="239"/>
      <c r="N563" s="239"/>
      <c r="O563" s="239"/>
      <c r="P563" s="239"/>
      <c r="Q563" s="239"/>
      <c r="R563" s="239"/>
      <c r="S563" s="239"/>
    </row>
    <row r="564" spans="3:21" s="293" customFormat="1" x14ac:dyDescent="0.25">
      <c r="F564" s="196" t="s">
        <v>937</v>
      </c>
      <c r="G564" s="196" t="s">
        <v>170</v>
      </c>
      <c r="H564" s="196" t="s">
        <v>145</v>
      </c>
      <c r="I564" s="66"/>
      <c r="J564" s="239"/>
      <c r="K564" s="234"/>
      <c r="L564" s="239"/>
      <c r="M564" s="239"/>
      <c r="N564" s="239"/>
      <c r="O564" s="239"/>
      <c r="P564" s="239"/>
      <c r="Q564" s="239"/>
      <c r="R564" s="239"/>
      <c r="S564" s="239"/>
    </row>
    <row r="565" spans="3:21" s="293" customFormat="1" x14ac:dyDescent="0.25">
      <c r="F565" s="196" t="s">
        <v>938</v>
      </c>
      <c r="G565" s="196" t="s">
        <v>170</v>
      </c>
      <c r="H565" s="196" t="s">
        <v>145</v>
      </c>
      <c r="I565" s="66"/>
      <c r="J565" s="239"/>
      <c r="K565" s="234"/>
      <c r="L565" s="239"/>
      <c r="M565" s="239"/>
      <c r="N565" s="239"/>
      <c r="O565" s="239"/>
      <c r="P565" s="239"/>
      <c r="Q565" s="239"/>
      <c r="R565" s="239"/>
      <c r="S565" s="239"/>
    </row>
    <row r="566" spans="3:21" s="293" customFormat="1" x14ac:dyDescent="0.25">
      <c r="F566" s="196" t="s">
        <v>939</v>
      </c>
      <c r="G566" s="196" t="s">
        <v>170</v>
      </c>
      <c r="H566" s="196" t="s">
        <v>145</v>
      </c>
      <c r="I566" s="66"/>
      <c r="J566" s="239"/>
      <c r="K566" s="234"/>
      <c r="L566" s="239"/>
      <c r="M566" s="239"/>
      <c r="N566" s="239"/>
      <c r="O566" s="239"/>
      <c r="P566" s="239"/>
      <c r="Q566" s="239"/>
      <c r="R566" s="239"/>
      <c r="S566" s="239"/>
    </row>
    <row r="567" spans="3:21" s="293" customFormat="1" x14ac:dyDescent="0.25">
      <c r="F567" s="196" t="s">
        <v>940</v>
      </c>
      <c r="G567" s="196" t="s">
        <v>170</v>
      </c>
      <c r="H567" s="196" t="s">
        <v>145</v>
      </c>
      <c r="I567" s="66"/>
      <c r="J567" s="239"/>
      <c r="K567" s="234"/>
      <c r="L567" s="239"/>
      <c r="M567" s="239"/>
      <c r="N567" s="239"/>
      <c r="O567" s="239"/>
      <c r="P567" s="239"/>
      <c r="Q567" s="239"/>
      <c r="R567" s="239"/>
      <c r="S567" s="239"/>
    </row>
    <row r="568" spans="3:21" s="293" customFormat="1" x14ac:dyDescent="0.25">
      <c r="F568" s="93" t="s">
        <v>941</v>
      </c>
      <c r="G568" s="93" t="s">
        <v>170</v>
      </c>
      <c r="H568" s="93" t="s">
        <v>145</v>
      </c>
      <c r="I568" s="145"/>
      <c r="J568" s="240"/>
      <c r="K568" s="236"/>
      <c r="L568" s="240"/>
      <c r="M568" s="240"/>
      <c r="N568" s="240"/>
      <c r="O568" s="240"/>
      <c r="P568" s="240"/>
      <c r="Q568" s="240"/>
      <c r="R568" s="240"/>
      <c r="S568" s="240"/>
    </row>
    <row r="569" spans="3:21" s="293" customFormat="1" x14ac:dyDescent="0.25">
      <c r="I569" s="111"/>
      <c r="J569" s="237"/>
      <c r="K569" s="237"/>
      <c r="L569" s="237"/>
      <c r="M569" s="237"/>
      <c r="N569" s="237"/>
      <c r="O569" s="237"/>
      <c r="P569" s="237"/>
      <c r="Q569" s="237"/>
      <c r="R569" s="237"/>
      <c r="S569" s="237"/>
    </row>
    <row r="570" spans="3:21" s="293" customFormat="1" x14ac:dyDescent="0.25">
      <c r="C570" s="7" t="str">
        <f ca="1">INDEX('Version control'!$H$35:$H$61,MATCH($A$1,'Version control'!$F$35:$F$61,0),1)&amp;"-G: All-the-way volumes - Residual Band 4"</f>
        <v>Input 501-G: All-the-way volumes - Residual Band 4</v>
      </c>
      <c r="D570" s="7"/>
      <c r="E570" s="7"/>
      <c r="F570" s="7"/>
      <c r="G570" s="7"/>
      <c r="H570" s="7"/>
      <c r="I570" s="171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</row>
    <row r="571" spans="3:21" s="293" customFormat="1" x14ac:dyDescent="0.25">
      <c r="C571" s="96"/>
      <c r="I571" s="111"/>
    </row>
    <row r="572" spans="3:21" s="293" customFormat="1" x14ac:dyDescent="0.25">
      <c r="E572" s="144" t="s">
        <v>199</v>
      </c>
      <c r="I572" s="111" t="s">
        <v>359</v>
      </c>
      <c r="U572" s="293" t="s">
        <v>692</v>
      </c>
    </row>
    <row r="573" spans="3:21" s="293" customFormat="1" x14ac:dyDescent="0.25">
      <c r="F573" s="91" t="s">
        <v>926</v>
      </c>
      <c r="G573" s="91" t="s">
        <v>120</v>
      </c>
      <c r="H573" s="91" t="s">
        <v>145</v>
      </c>
      <c r="I573" s="112"/>
      <c r="J573" s="238"/>
      <c r="K573" s="232"/>
      <c r="L573" s="238"/>
      <c r="M573" s="238"/>
      <c r="N573" s="238"/>
      <c r="O573" s="238"/>
      <c r="P573" s="238"/>
      <c r="Q573" s="238"/>
      <c r="R573" s="238"/>
      <c r="S573" s="238"/>
    </row>
    <row r="574" spans="3:21" s="293" customFormat="1" x14ac:dyDescent="0.25">
      <c r="F574" s="196" t="s">
        <v>927</v>
      </c>
      <c r="G574" s="196" t="s">
        <v>120</v>
      </c>
      <c r="H574" s="196" t="s">
        <v>145</v>
      </c>
      <c r="I574" s="66"/>
      <c r="J574" s="239"/>
      <c r="K574" s="234"/>
      <c r="L574" s="239"/>
      <c r="M574" s="239"/>
      <c r="N574" s="239"/>
      <c r="O574" s="239"/>
      <c r="P574" s="239"/>
      <c r="Q574" s="239"/>
      <c r="R574" s="239"/>
      <c r="S574" s="239"/>
    </row>
    <row r="575" spans="3:21" s="293" customFormat="1" x14ac:dyDescent="0.25">
      <c r="F575" s="196" t="s">
        <v>928</v>
      </c>
      <c r="G575" s="196" t="s">
        <v>120</v>
      </c>
      <c r="H575" s="196" t="s">
        <v>145</v>
      </c>
      <c r="I575" s="66"/>
      <c r="J575" s="233">
        <f t="shared" ref="J575" si="50">CHOOSE(year_selection, L575,M575,N575,O575,P575,Q575,R575,S575)</f>
        <v>164259.89680995391</v>
      </c>
      <c r="K575" s="234"/>
      <c r="L575" s="330"/>
      <c r="M575" s="330"/>
      <c r="N575" s="330"/>
      <c r="O575" s="330">
        <v>164259.89680995391</v>
      </c>
      <c r="P575" s="330">
        <v>159927.87270821104</v>
      </c>
      <c r="Q575" s="330">
        <v>154672.83573200871</v>
      </c>
      <c r="R575" s="330">
        <v>148990.75397468076</v>
      </c>
      <c r="S575" s="330">
        <v>143308.67221735278</v>
      </c>
    </row>
    <row r="576" spans="3:21" s="293" customFormat="1" x14ac:dyDescent="0.25">
      <c r="F576" s="196" t="s">
        <v>929</v>
      </c>
      <c r="G576" s="196" t="s">
        <v>120</v>
      </c>
      <c r="H576" s="196" t="s">
        <v>145</v>
      </c>
      <c r="I576" s="66"/>
      <c r="J576" s="239"/>
      <c r="K576" s="234"/>
      <c r="L576" s="239"/>
      <c r="M576" s="239"/>
      <c r="N576" s="239"/>
      <c r="O576" s="239"/>
      <c r="P576" s="239"/>
      <c r="Q576" s="239"/>
      <c r="R576" s="239"/>
      <c r="S576" s="239"/>
    </row>
    <row r="577" spans="5:19" s="293" customFormat="1" x14ac:dyDescent="0.25">
      <c r="F577" s="196" t="s">
        <v>930</v>
      </c>
      <c r="G577" s="196" t="s">
        <v>120</v>
      </c>
      <c r="H577" s="196" t="s">
        <v>145</v>
      </c>
      <c r="I577" s="66"/>
      <c r="J577" s="233">
        <f t="shared" ref="J577:J579" si="51">CHOOSE(year_selection, L577,M577,N577,O577,P577,Q577,R577,S577)</f>
        <v>250114.31594746836</v>
      </c>
      <c r="K577" s="234"/>
      <c r="L577" s="330"/>
      <c r="M577" s="330"/>
      <c r="N577" s="330"/>
      <c r="O577" s="330">
        <v>250114.31594746836</v>
      </c>
      <c r="P577" s="330">
        <v>222365.47211527327</v>
      </c>
      <c r="Q577" s="330">
        <v>208310.61573441056</v>
      </c>
      <c r="R577" s="330">
        <v>193649.66425891573</v>
      </c>
      <c r="S577" s="330">
        <v>178988.71278342087</v>
      </c>
    </row>
    <row r="578" spans="5:19" s="293" customFormat="1" x14ac:dyDescent="0.25">
      <c r="F578" s="196" t="s">
        <v>931</v>
      </c>
      <c r="G578" s="196" t="s">
        <v>120</v>
      </c>
      <c r="H578" s="196" t="s">
        <v>145</v>
      </c>
      <c r="I578" s="66"/>
      <c r="J578" s="233">
        <f t="shared" si="51"/>
        <v>28919.487278232933</v>
      </c>
      <c r="K578" s="234"/>
      <c r="L578" s="330"/>
      <c r="M578" s="330"/>
      <c r="N578" s="330"/>
      <c r="O578" s="330">
        <v>28919.487278232933</v>
      </c>
      <c r="P578" s="330">
        <v>27654.497371647583</v>
      </c>
      <c r="Q578" s="330">
        <v>27981.430217910503</v>
      </c>
      <c r="R578" s="330">
        <v>28270.852941254379</v>
      </c>
      <c r="S578" s="330">
        <v>28560.275664598255</v>
      </c>
    </row>
    <row r="579" spans="5:19" s="293" customFormat="1" x14ac:dyDescent="0.25">
      <c r="F579" s="196" t="s">
        <v>932</v>
      </c>
      <c r="G579" s="196" t="s">
        <v>120</v>
      </c>
      <c r="H579" s="196" t="s">
        <v>145</v>
      </c>
      <c r="I579" s="66"/>
      <c r="J579" s="233">
        <f t="shared" si="51"/>
        <v>210995.36369946759</v>
      </c>
      <c r="K579" s="234"/>
      <c r="L579" s="330"/>
      <c r="M579" s="330"/>
      <c r="N579" s="330"/>
      <c r="O579" s="330">
        <v>210995.36369946759</v>
      </c>
      <c r="P579" s="330">
        <v>209638.99700840077</v>
      </c>
      <c r="Q579" s="330">
        <v>207544.98863129478</v>
      </c>
      <c r="R579" s="330">
        <v>205054.60666446338</v>
      </c>
      <c r="S579" s="330">
        <v>202564.22469763202</v>
      </c>
    </row>
    <row r="580" spans="5:19" s="293" customFormat="1" x14ac:dyDescent="0.25">
      <c r="F580" s="196" t="s">
        <v>933</v>
      </c>
      <c r="G580" s="196" t="s">
        <v>120</v>
      </c>
      <c r="H580" s="196" t="s">
        <v>145</v>
      </c>
      <c r="I580" s="66"/>
      <c r="J580" s="239"/>
      <c r="K580" s="234"/>
      <c r="L580" s="239"/>
      <c r="M580" s="239"/>
      <c r="N580" s="239"/>
      <c r="O580" s="239"/>
      <c r="P580" s="239"/>
      <c r="Q580" s="239"/>
      <c r="R580" s="239"/>
      <c r="S580" s="239"/>
    </row>
    <row r="581" spans="5:19" s="293" customFormat="1" x14ac:dyDescent="0.25">
      <c r="F581" s="196" t="s">
        <v>934</v>
      </c>
      <c r="G581" s="196" t="s">
        <v>120</v>
      </c>
      <c r="H581" s="196" t="s">
        <v>145</v>
      </c>
      <c r="I581" s="66"/>
      <c r="J581" s="239"/>
      <c r="K581" s="234"/>
      <c r="L581" s="239"/>
      <c r="M581" s="239"/>
      <c r="N581" s="239"/>
      <c r="O581" s="239"/>
      <c r="P581" s="239"/>
      <c r="Q581" s="239"/>
      <c r="R581" s="239"/>
      <c r="S581" s="239"/>
    </row>
    <row r="582" spans="5:19" s="293" customFormat="1" x14ac:dyDescent="0.25">
      <c r="F582" s="196" t="s">
        <v>935</v>
      </c>
      <c r="G582" s="196" t="s">
        <v>120</v>
      </c>
      <c r="H582" s="196" t="s">
        <v>145</v>
      </c>
      <c r="I582" s="66"/>
      <c r="J582" s="239"/>
      <c r="K582" s="234"/>
      <c r="L582" s="239"/>
      <c r="M582" s="239"/>
      <c r="N582" s="239"/>
      <c r="O582" s="239"/>
      <c r="P582" s="239"/>
      <c r="Q582" s="239"/>
      <c r="R582" s="239"/>
      <c r="S582" s="239"/>
    </row>
    <row r="583" spans="5:19" s="293" customFormat="1" x14ac:dyDescent="0.25">
      <c r="F583" s="196" t="s">
        <v>936</v>
      </c>
      <c r="G583" s="196" t="s">
        <v>120</v>
      </c>
      <c r="H583" s="196" t="s">
        <v>145</v>
      </c>
      <c r="I583" s="66"/>
      <c r="J583" s="239"/>
      <c r="K583" s="234"/>
      <c r="L583" s="239"/>
      <c r="M583" s="239"/>
      <c r="N583" s="239"/>
      <c r="O583" s="239"/>
      <c r="P583" s="239"/>
      <c r="Q583" s="239"/>
      <c r="R583" s="239"/>
      <c r="S583" s="239"/>
    </row>
    <row r="584" spans="5:19" s="293" customFormat="1" x14ac:dyDescent="0.25">
      <c r="F584" s="196" t="s">
        <v>937</v>
      </c>
      <c r="G584" s="196" t="s">
        <v>120</v>
      </c>
      <c r="H584" s="196" t="s">
        <v>145</v>
      </c>
      <c r="I584" s="66"/>
      <c r="J584" s="239"/>
      <c r="K584" s="234"/>
      <c r="L584" s="239"/>
      <c r="M584" s="239"/>
      <c r="N584" s="239"/>
      <c r="O584" s="239"/>
      <c r="P584" s="239"/>
      <c r="Q584" s="239"/>
      <c r="R584" s="239"/>
      <c r="S584" s="239"/>
    </row>
    <row r="585" spans="5:19" s="293" customFormat="1" x14ac:dyDescent="0.25">
      <c r="F585" s="196" t="s">
        <v>938</v>
      </c>
      <c r="G585" s="196" t="s">
        <v>120</v>
      </c>
      <c r="H585" s="196" t="s">
        <v>145</v>
      </c>
      <c r="I585" s="66"/>
      <c r="J585" s="239"/>
      <c r="K585" s="234"/>
      <c r="L585" s="239"/>
      <c r="M585" s="239"/>
      <c r="N585" s="239"/>
      <c r="O585" s="239"/>
      <c r="P585" s="239"/>
      <c r="Q585" s="239"/>
      <c r="R585" s="239"/>
      <c r="S585" s="239"/>
    </row>
    <row r="586" spans="5:19" s="293" customFormat="1" x14ac:dyDescent="0.25">
      <c r="F586" s="196" t="s">
        <v>939</v>
      </c>
      <c r="G586" s="196" t="s">
        <v>120</v>
      </c>
      <c r="H586" s="196" t="s">
        <v>145</v>
      </c>
      <c r="I586" s="66"/>
      <c r="J586" s="239"/>
      <c r="K586" s="234"/>
      <c r="L586" s="239"/>
      <c r="M586" s="239"/>
      <c r="N586" s="239"/>
      <c r="O586" s="239"/>
      <c r="P586" s="239"/>
      <c r="Q586" s="239"/>
      <c r="R586" s="239"/>
      <c r="S586" s="239"/>
    </row>
    <row r="587" spans="5:19" s="293" customFormat="1" x14ac:dyDescent="0.25">
      <c r="F587" s="196" t="s">
        <v>940</v>
      </c>
      <c r="G587" s="196" t="s">
        <v>120</v>
      </c>
      <c r="H587" s="196" t="s">
        <v>145</v>
      </c>
      <c r="I587" s="66"/>
      <c r="J587" s="239"/>
      <c r="K587" s="234"/>
      <c r="L587" s="239"/>
      <c r="M587" s="239"/>
      <c r="N587" s="239"/>
      <c r="O587" s="239"/>
      <c r="P587" s="239"/>
      <c r="Q587" s="239"/>
      <c r="R587" s="239"/>
      <c r="S587" s="239"/>
    </row>
    <row r="588" spans="5:19" s="293" customFormat="1" x14ac:dyDescent="0.25">
      <c r="F588" s="93" t="s">
        <v>941</v>
      </c>
      <c r="G588" s="93" t="s">
        <v>120</v>
      </c>
      <c r="H588" s="93" t="s">
        <v>145</v>
      </c>
      <c r="I588" s="145"/>
      <c r="J588" s="240"/>
      <c r="K588" s="236"/>
      <c r="L588" s="240"/>
      <c r="M588" s="240"/>
      <c r="N588" s="240"/>
      <c r="O588" s="240"/>
      <c r="P588" s="240"/>
      <c r="Q588" s="240"/>
      <c r="R588" s="240"/>
      <c r="S588" s="240"/>
    </row>
    <row r="589" spans="5:19" s="293" customFormat="1" x14ac:dyDescent="0.25">
      <c r="I589" s="111"/>
      <c r="J589" s="237"/>
      <c r="K589" s="237"/>
      <c r="L589" s="237"/>
      <c r="M589" s="237"/>
      <c r="N589" s="237"/>
      <c r="O589" s="237"/>
      <c r="P589" s="237"/>
      <c r="Q589" s="237"/>
      <c r="R589" s="237"/>
      <c r="S589" s="237"/>
    </row>
    <row r="590" spans="5:19" s="293" customFormat="1" x14ac:dyDescent="0.25">
      <c r="E590" s="144" t="s">
        <v>200</v>
      </c>
      <c r="I590" s="111"/>
      <c r="J590" s="237"/>
      <c r="K590" s="237"/>
      <c r="L590" s="237"/>
      <c r="M590" s="237"/>
      <c r="N590" s="237"/>
      <c r="O590" s="237"/>
      <c r="P590" s="237"/>
      <c r="Q590" s="237"/>
      <c r="R590" s="237"/>
      <c r="S590" s="237"/>
    </row>
    <row r="591" spans="5:19" s="293" customFormat="1" x14ac:dyDescent="0.25">
      <c r="F591" s="91" t="s">
        <v>926</v>
      </c>
      <c r="G591" s="91" t="s">
        <v>120</v>
      </c>
      <c r="H591" s="91" t="s">
        <v>145</v>
      </c>
      <c r="I591" s="112"/>
      <c r="J591" s="238"/>
      <c r="K591" s="232"/>
      <c r="L591" s="238"/>
      <c r="M591" s="238"/>
      <c r="N591" s="238"/>
      <c r="O591" s="238"/>
      <c r="P591" s="238"/>
      <c r="Q591" s="238"/>
      <c r="R591" s="238"/>
      <c r="S591" s="238"/>
    </row>
    <row r="592" spans="5:19" s="293" customFormat="1" x14ac:dyDescent="0.25">
      <c r="F592" s="196" t="s">
        <v>927</v>
      </c>
      <c r="G592" s="196" t="s">
        <v>120</v>
      </c>
      <c r="H592" s="196" t="s">
        <v>145</v>
      </c>
      <c r="I592" s="66"/>
      <c r="J592" s="239"/>
      <c r="K592" s="234"/>
      <c r="L592" s="239"/>
      <c r="M592" s="239"/>
      <c r="N592" s="239"/>
      <c r="O592" s="239"/>
      <c r="P592" s="239"/>
      <c r="Q592" s="239"/>
      <c r="R592" s="239"/>
      <c r="S592" s="239"/>
    </row>
    <row r="593" spans="5:19" s="293" customFormat="1" x14ac:dyDescent="0.25">
      <c r="F593" s="196" t="s">
        <v>928</v>
      </c>
      <c r="G593" s="196" t="s">
        <v>120</v>
      </c>
      <c r="H593" s="196" t="s">
        <v>145</v>
      </c>
      <c r="I593" s="66"/>
      <c r="J593" s="233">
        <f t="shared" ref="J593" si="52">CHOOSE(year_selection, L593,M593,N593,O593,P593,Q593,R593,S593)</f>
        <v>1033013.5646367689</v>
      </c>
      <c r="K593" s="234"/>
      <c r="L593" s="330"/>
      <c r="M593" s="330"/>
      <c r="N593" s="330"/>
      <c r="O593" s="330">
        <v>1033013.5646367689</v>
      </c>
      <c r="P593" s="330">
        <v>1000238.5227895781</v>
      </c>
      <c r="Q593" s="330">
        <v>960559.41069268156</v>
      </c>
      <c r="R593" s="330">
        <v>917682.72480329114</v>
      </c>
      <c r="S593" s="330">
        <v>874806.03891390061</v>
      </c>
    </row>
    <row r="594" spans="5:19" s="293" customFormat="1" x14ac:dyDescent="0.25">
      <c r="F594" s="196" t="s">
        <v>929</v>
      </c>
      <c r="G594" s="196" t="s">
        <v>120</v>
      </c>
      <c r="H594" s="196" t="s">
        <v>145</v>
      </c>
      <c r="I594" s="66"/>
      <c r="J594" s="239"/>
      <c r="K594" s="234"/>
      <c r="L594" s="239"/>
      <c r="M594" s="239"/>
      <c r="N594" s="239"/>
      <c r="O594" s="239"/>
      <c r="P594" s="239"/>
      <c r="Q594" s="239"/>
      <c r="R594" s="239"/>
      <c r="S594" s="239"/>
    </row>
    <row r="595" spans="5:19" s="293" customFormat="1" x14ac:dyDescent="0.25">
      <c r="F595" s="196" t="s">
        <v>930</v>
      </c>
      <c r="G595" s="196" t="s">
        <v>120</v>
      </c>
      <c r="H595" s="196" t="s">
        <v>145</v>
      </c>
      <c r="I595" s="66"/>
      <c r="J595" s="233">
        <f t="shared" ref="J595:J597" si="53">CHOOSE(year_selection, L595,M595,N595,O595,P595,Q595,R595,S595)</f>
        <v>1427231.6802664949</v>
      </c>
      <c r="K595" s="234"/>
      <c r="L595" s="330"/>
      <c r="M595" s="330"/>
      <c r="N595" s="330"/>
      <c r="O595" s="330">
        <v>1427231.6802664949</v>
      </c>
      <c r="P595" s="330">
        <v>1279893.2065225292</v>
      </c>
      <c r="Q595" s="330">
        <v>1227135.3634908195</v>
      </c>
      <c r="R595" s="330">
        <v>1178944.7258817418</v>
      </c>
      <c r="S595" s="330">
        <v>1130754.0882726642</v>
      </c>
    </row>
    <row r="596" spans="5:19" s="293" customFormat="1" x14ac:dyDescent="0.25">
      <c r="F596" s="196" t="s">
        <v>931</v>
      </c>
      <c r="G596" s="196" t="s">
        <v>120</v>
      </c>
      <c r="H596" s="196" t="s">
        <v>145</v>
      </c>
      <c r="I596" s="66"/>
      <c r="J596" s="233">
        <f t="shared" si="53"/>
        <v>158092.75612194854</v>
      </c>
      <c r="K596" s="234"/>
      <c r="L596" s="330"/>
      <c r="M596" s="330"/>
      <c r="N596" s="330"/>
      <c r="O596" s="330">
        <v>158092.75612194854</v>
      </c>
      <c r="P596" s="330">
        <v>147424.29120175907</v>
      </c>
      <c r="Q596" s="330">
        <v>145990.84249967191</v>
      </c>
      <c r="R596" s="330">
        <v>144594.90392050377</v>
      </c>
      <c r="S596" s="330">
        <v>143198.9653413356</v>
      </c>
    </row>
    <row r="597" spans="5:19" s="293" customFormat="1" x14ac:dyDescent="0.25">
      <c r="F597" s="196" t="s">
        <v>932</v>
      </c>
      <c r="G597" s="196" t="s">
        <v>120</v>
      </c>
      <c r="H597" s="196" t="s">
        <v>145</v>
      </c>
      <c r="I597" s="66"/>
      <c r="J597" s="233">
        <f t="shared" si="53"/>
        <v>1177520.1715488152</v>
      </c>
      <c r="K597" s="234"/>
      <c r="L597" s="330"/>
      <c r="M597" s="330"/>
      <c r="N597" s="330"/>
      <c r="O597" s="330">
        <v>1177520.1715488152</v>
      </c>
      <c r="P597" s="330">
        <v>1165840.6835368224</v>
      </c>
      <c r="Q597" s="330">
        <v>1152239.4707018835</v>
      </c>
      <c r="R597" s="330">
        <v>1137428.310452641</v>
      </c>
      <c r="S597" s="330">
        <v>1122617.1502033989</v>
      </c>
    </row>
    <row r="598" spans="5:19" s="293" customFormat="1" x14ac:dyDescent="0.25">
      <c r="F598" s="196" t="s">
        <v>933</v>
      </c>
      <c r="G598" s="196" t="s">
        <v>120</v>
      </c>
      <c r="H598" s="196" t="s">
        <v>145</v>
      </c>
      <c r="I598" s="66"/>
      <c r="J598" s="239"/>
      <c r="K598" s="234"/>
      <c r="L598" s="239"/>
      <c r="M598" s="239"/>
      <c r="N598" s="239"/>
      <c r="O598" s="239"/>
      <c r="P598" s="239"/>
      <c r="Q598" s="239"/>
      <c r="R598" s="239"/>
      <c r="S598" s="239"/>
    </row>
    <row r="599" spans="5:19" s="293" customFormat="1" x14ac:dyDescent="0.25">
      <c r="F599" s="196" t="s">
        <v>934</v>
      </c>
      <c r="G599" s="196" t="s">
        <v>120</v>
      </c>
      <c r="H599" s="196" t="s">
        <v>145</v>
      </c>
      <c r="I599" s="66"/>
      <c r="J599" s="239"/>
      <c r="K599" s="234"/>
      <c r="L599" s="239"/>
      <c r="M599" s="239"/>
      <c r="N599" s="239"/>
      <c r="O599" s="239"/>
      <c r="P599" s="239"/>
      <c r="Q599" s="239"/>
      <c r="R599" s="239"/>
      <c r="S599" s="239"/>
    </row>
    <row r="600" spans="5:19" s="293" customFormat="1" x14ac:dyDescent="0.25">
      <c r="F600" s="196" t="s">
        <v>935</v>
      </c>
      <c r="G600" s="196" t="s">
        <v>120</v>
      </c>
      <c r="H600" s="196" t="s">
        <v>145</v>
      </c>
      <c r="I600" s="66"/>
      <c r="J600" s="239"/>
      <c r="K600" s="234"/>
      <c r="L600" s="239"/>
      <c r="M600" s="239"/>
      <c r="N600" s="239"/>
      <c r="O600" s="239"/>
      <c r="P600" s="239"/>
      <c r="Q600" s="239"/>
      <c r="R600" s="239"/>
      <c r="S600" s="239"/>
    </row>
    <row r="601" spans="5:19" s="293" customFormat="1" x14ac:dyDescent="0.25">
      <c r="F601" s="196" t="s">
        <v>936</v>
      </c>
      <c r="G601" s="196" t="s">
        <v>120</v>
      </c>
      <c r="H601" s="196" t="s">
        <v>145</v>
      </c>
      <c r="I601" s="66"/>
      <c r="J601" s="239"/>
      <c r="K601" s="234"/>
      <c r="L601" s="239"/>
      <c r="M601" s="239"/>
      <c r="N601" s="239"/>
      <c r="O601" s="239"/>
      <c r="P601" s="239"/>
      <c r="Q601" s="239"/>
      <c r="R601" s="239"/>
      <c r="S601" s="239"/>
    </row>
    <row r="602" spans="5:19" s="293" customFormat="1" x14ac:dyDescent="0.25">
      <c r="F602" s="196" t="s">
        <v>937</v>
      </c>
      <c r="G602" s="196" t="s">
        <v>120</v>
      </c>
      <c r="H602" s="196" t="s">
        <v>145</v>
      </c>
      <c r="I602" s="66"/>
      <c r="J602" s="239"/>
      <c r="K602" s="234"/>
      <c r="L602" s="239"/>
      <c r="M602" s="239"/>
      <c r="N602" s="239"/>
      <c r="O602" s="239"/>
      <c r="P602" s="239"/>
      <c r="Q602" s="239"/>
      <c r="R602" s="239"/>
      <c r="S602" s="239"/>
    </row>
    <row r="603" spans="5:19" s="293" customFormat="1" x14ac:dyDescent="0.25">
      <c r="F603" s="196" t="s">
        <v>938</v>
      </c>
      <c r="G603" s="196" t="s">
        <v>120</v>
      </c>
      <c r="H603" s="196" t="s">
        <v>145</v>
      </c>
      <c r="I603" s="66"/>
      <c r="J603" s="239"/>
      <c r="K603" s="234"/>
      <c r="L603" s="239"/>
      <c r="M603" s="239"/>
      <c r="N603" s="239"/>
      <c r="O603" s="239"/>
      <c r="P603" s="239"/>
      <c r="Q603" s="239"/>
      <c r="R603" s="239"/>
      <c r="S603" s="239"/>
    </row>
    <row r="604" spans="5:19" s="293" customFormat="1" x14ac:dyDescent="0.25">
      <c r="F604" s="196" t="s">
        <v>939</v>
      </c>
      <c r="G604" s="196" t="s">
        <v>120</v>
      </c>
      <c r="H604" s="196" t="s">
        <v>145</v>
      </c>
      <c r="I604" s="66"/>
      <c r="J604" s="239"/>
      <c r="K604" s="234"/>
      <c r="L604" s="239"/>
      <c r="M604" s="239"/>
      <c r="N604" s="239"/>
      <c r="O604" s="239"/>
      <c r="P604" s="239"/>
      <c r="Q604" s="239"/>
      <c r="R604" s="239"/>
      <c r="S604" s="239"/>
    </row>
    <row r="605" spans="5:19" s="293" customFormat="1" x14ac:dyDescent="0.25">
      <c r="F605" s="196" t="s">
        <v>940</v>
      </c>
      <c r="G605" s="196" t="s">
        <v>120</v>
      </c>
      <c r="H605" s="196" t="s">
        <v>145</v>
      </c>
      <c r="I605" s="66"/>
      <c r="J605" s="239"/>
      <c r="K605" s="234"/>
      <c r="L605" s="239"/>
      <c r="M605" s="239"/>
      <c r="N605" s="239"/>
      <c r="O605" s="239"/>
      <c r="P605" s="239"/>
      <c r="Q605" s="239"/>
      <c r="R605" s="239"/>
      <c r="S605" s="239"/>
    </row>
    <row r="606" spans="5:19" s="293" customFormat="1" x14ac:dyDescent="0.25">
      <c r="F606" s="93" t="s">
        <v>941</v>
      </c>
      <c r="G606" s="93" t="s">
        <v>120</v>
      </c>
      <c r="H606" s="93" t="s">
        <v>145</v>
      </c>
      <c r="I606" s="145"/>
      <c r="J606" s="240"/>
      <c r="K606" s="236"/>
      <c r="L606" s="240"/>
      <c r="M606" s="240"/>
      <c r="N606" s="240"/>
      <c r="O606" s="240"/>
      <c r="P606" s="240"/>
      <c r="Q606" s="240"/>
      <c r="R606" s="240"/>
      <c r="S606" s="240"/>
    </row>
    <row r="607" spans="5:19" s="293" customFormat="1" x14ac:dyDescent="0.25">
      <c r="I607" s="111"/>
      <c r="J607" s="237"/>
      <c r="K607" s="237"/>
      <c r="L607" s="237"/>
      <c r="M607" s="237"/>
      <c r="N607" s="237"/>
      <c r="O607" s="237"/>
      <c r="P607" s="237"/>
      <c r="Q607" s="237"/>
      <c r="R607" s="237"/>
      <c r="S607" s="237"/>
    </row>
    <row r="608" spans="5:19" s="293" customFormat="1" x14ac:dyDescent="0.25">
      <c r="E608" s="144" t="s">
        <v>201</v>
      </c>
      <c r="I608" s="111"/>
      <c r="J608" s="237"/>
      <c r="K608" s="237"/>
      <c r="L608" s="237"/>
      <c r="M608" s="237"/>
      <c r="N608" s="237"/>
      <c r="O608" s="237"/>
      <c r="P608" s="237"/>
      <c r="Q608" s="237"/>
      <c r="R608" s="237"/>
      <c r="S608" s="237"/>
    </row>
    <row r="609" spans="6:19" s="293" customFormat="1" x14ac:dyDescent="0.25">
      <c r="F609" s="91" t="s">
        <v>926</v>
      </c>
      <c r="G609" s="91" t="s">
        <v>120</v>
      </c>
      <c r="H609" s="91" t="s">
        <v>145</v>
      </c>
      <c r="I609" s="112"/>
      <c r="J609" s="238"/>
      <c r="K609" s="232"/>
      <c r="L609" s="238"/>
      <c r="M609" s="238"/>
      <c r="N609" s="238"/>
      <c r="O609" s="238"/>
      <c r="P609" s="238"/>
      <c r="Q609" s="238"/>
      <c r="R609" s="238"/>
      <c r="S609" s="238"/>
    </row>
    <row r="610" spans="6:19" s="293" customFormat="1" x14ac:dyDescent="0.25">
      <c r="F610" s="196" t="s">
        <v>927</v>
      </c>
      <c r="G610" s="196" t="s">
        <v>120</v>
      </c>
      <c r="H610" s="196" t="s">
        <v>145</v>
      </c>
      <c r="I610" s="66"/>
      <c r="J610" s="239"/>
      <c r="K610" s="234"/>
      <c r="L610" s="239"/>
      <c r="M610" s="239"/>
      <c r="N610" s="239"/>
      <c r="O610" s="239"/>
      <c r="P610" s="239"/>
      <c r="Q610" s="239"/>
      <c r="R610" s="239"/>
      <c r="S610" s="239"/>
    </row>
    <row r="611" spans="6:19" s="293" customFormat="1" x14ac:dyDescent="0.25">
      <c r="F611" s="196" t="s">
        <v>928</v>
      </c>
      <c r="G611" s="196" t="s">
        <v>120</v>
      </c>
      <c r="H611" s="196" t="s">
        <v>145</v>
      </c>
      <c r="I611" s="66"/>
      <c r="J611" s="233">
        <f t="shared" ref="J611" si="54">CHOOSE(year_selection, L611,M611,N611,O611,P611,Q611,R611,S611)</f>
        <v>458976.97091789806</v>
      </c>
      <c r="K611" s="234"/>
      <c r="L611" s="330"/>
      <c r="M611" s="330"/>
      <c r="N611" s="330"/>
      <c r="O611" s="330">
        <v>458976.97091789806</v>
      </c>
      <c r="P611" s="330">
        <v>444615.7643390976</v>
      </c>
      <c r="Q611" s="330">
        <v>430170.88666479487</v>
      </c>
      <c r="R611" s="330">
        <v>415674.44578062312</v>
      </c>
      <c r="S611" s="330">
        <v>401178.00489645131</v>
      </c>
    </row>
    <row r="612" spans="6:19" s="293" customFormat="1" x14ac:dyDescent="0.25">
      <c r="F612" s="196" t="s">
        <v>929</v>
      </c>
      <c r="G612" s="196" t="s">
        <v>120</v>
      </c>
      <c r="H612" s="196" t="s">
        <v>145</v>
      </c>
      <c r="I612" s="66"/>
      <c r="J612" s="239"/>
      <c r="K612" s="234"/>
      <c r="L612" s="239"/>
      <c r="M612" s="239"/>
      <c r="N612" s="239"/>
      <c r="O612" s="239"/>
      <c r="P612" s="239"/>
      <c r="Q612" s="239"/>
      <c r="R612" s="239"/>
      <c r="S612" s="239"/>
    </row>
    <row r="613" spans="6:19" s="293" customFormat="1" x14ac:dyDescent="0.25">
      <c r="F613" s="196" t="s">
        <v>930</v>
      </c>
      <c r="G613" s="196" t="s">
        <v>120</v>
      </c>
      <c r="H613" s="196" t="s">
        <v>145</v>
      </c>
      <c r="I613" s="66"/>
      <c r="J613" s="233">
        <f t="shared" ref="J613:J615" si="55">CHOOSE(year_selection, L613,M613,N613,O613,P613,Q613,R613,S613)</f>
        <v>748355.01474956132</v>
      </c>
      <c r="K613" s="234"/>
      <c r="L613" s="330"/>
      <c r="M613" s="330"/>
      <c r="N613" s="330"/>
      <c r="O613" s="330">
        <v>748355.01474956132</v>
      </c>
      <c r="P613" s="330">
        <v>677306.12132225442</v>
      </c>
      <c r="Q613" s="330">
        <v>654409.46109842742</v>
      </c>
      <c r="R613" s="330">
        <v>633292.38724587066</v>
      </c>
      <c r="S613" s="330">
        <v>612175.3133933139</v>
      </c>
    </row>
    <row r="614" spans="6:19" s="293" customFormat="1" x14ac:dyDescent="0.25">
      <c r="F614" s="196" t="s">
        <v>931</v>
      </c>
      <c r="G614" s="196" t="s">
        <v>120</v>
      </c>
      <c r="H614" s="196" t="s">
        <v>145</v>
      </c>
      <c r="I614" s="66"/>
      <c r="J614" s="233">
        <f t="shared" si="55"/>
        <v>103484.60387672807</v>
      </c>
      <c r="K614" s="234"/>
      <c r="L614" s="330"/>
      <c r="M614" s="330"/>
      <c r="N614" s="330"/>
      <c r="O614" s="330">
        <v>103484.60387672807</v>
      </c>
      <c r="P614" s="330">
        <v>96640.908504208346</v>
      </c>
      <c r="Q614" s="330">
        <v>95458.979213655533</v>
      </c>
      <c r="R614" s="330">
        <v>94127.009431426559</v>
      </c>
      <c r="S614" s="330">
        <v>92795.039649197555</v>
      </c>
    </row>
    <row r="615" spans="6:19" s="293" customFormat="1" x14ac:dyDescent="0.25">
      <c r="F615" s="196" t="s">
        <v>932</v>
      </c>
      <c r="G615" s="196" t="s">
        <v>120</v>
      </c>
      <c r="H615" s="196" t="s">
        <v>145</v>
      </c>
      <c r="I615" s="66"/>
      <c r="J615" s="233">
        <f t="shared" si="55"/>
        <v>806889.11827231373</v>
      </c>
      <c r="K615" s="234"/>
      <c r="L615" s="330"/>
      <c r="M615" s="330"/>
      <c r="N615" s="330"/>
      <c r="O615" s="330">
        <v>806889.11827231373</v>
      </c>
      <c r="P615" s="330">
        <v>797527.59458177211</v>
      </c>
      <c r="Q615" s="330">
        <v>786782.87835454766</v>
      </c>
      <c r="R615" s="330">
        <v>775168.05889291468</v>
      </c>
      <c r="S615" s="330">
        <v>763553.23943128181</v>
      </c>
    </row>
    <row r="616" spans="6:19" s="293" customFormat="1" x14ac:dyDescent="0.25">
      <c r="F616" s="196" t="s">
        <v>933</v>
      </c>
      <c r="G616" s="196" t="s">
        <v>120</v>
      </c>
      <c r="H616" s="196" t="s">
        <v>145</v>
      </c>
      <c r="I616" s="66"/>
      <c r="J616" s="239"/>
      <c r="K616" s="234"/>
      <c r="L616" s="239"/>
      <c r="M616" s="239"/>
      <c r="N616" s="239"/>
      <c r="O616" s="239"/>
      <c r="P616" s="239"/>
      <c r="Q616" s="239"/>
      <c r="R616" s="239"/>
      <c r="S616" s="239"/>
    </row>
    <row r="617" spans="6:19" s="293" customFormat="1" x14ac:dyDescent="0.25">
      <c r="F617" s="196" t="s">
        <v>934</v>
      </c>
      <c r="G617" s="196" t="s">
        <v>120</v>
      </c>
      <c r="H617" s="196" t="s">
        <v>145</v>
      </c>
      <c r="I617" s="66"/>
      <c r="J617" s="239"/>
      <c r="K617" s="234"/>
      <c r="L617" s="239"/>
      <c r="M617" s="239"/>
      <c r="N617" s="239"/>
      <c r="O617" s="239"/>
      <c r="P617" s="239"/>
      <c r="Q617" s="239"/>
      <c r="R617" s="239"/>
      <c r="S617" s="239"/>
    </row>
    <row r="618" spans="6:19" s="293" customFormat="1" x14ac:dyDescent="0.25">
      <c r="F618" s="196" t="s">
        <v>935</v>
      </c>
      <c r="G618" s="196" t="s">
        <v>120</v>
      </c>
      <c r="H618" s="196" t="s">
        <v>145</v>
      </c>
      <c r="I618" s="66"/>
      <c r="J618" s="239"/>
      <c r="K618" s="234"/>
      <c r="L618" s="239"/>
      <c r="M618" s="239"/>
      <c r="N618" s="239"/>
      <c r="O618" s="239"/>
      <c r="P618" s="239"/>
      <c r="Q618" s="239"/>
      <c r="R618" s="239"/>
      <c r="S618" s="239"/>
    </row>
    <row r="619" spans="6:19" s="293" customFormat="1" x14ac:dyDescent="0.25">
      <c r="F619" s="196" t="s">
        <v>936</v>
      </c>
      <c r="G619" s="196" t="s">
        <v>120</v>
      </c>
      <c r="H619" s="196" t="s">
        <v>145</v>
      </c>
      <c r="I619" s="66"/>
      <c r="J619" s="239"/>
      <c r="K619" s="234"/>
      <c r="L619" s="239"/>
      <c r="M619" s="239"/>
      <c r="N619" s="239"/>
      <c r="O619" s="239"/>
      <c r="P619" s="239"/>
      <c r="Q619" s="239"/>
      <c r="R619" s="239"/>
      <c r="S619" s="239"/>
    </row>
    <row r="620" spans="6:19" s="293" customFormat="1" x14ac:dyDescent="0.25">
      <c r="F620" s="196" t="s">
        <v>937</v>
      </c>
      <c r="G620" s="196" t="s">
        <v>120</v>
      </c>
      <c r="H620" s="196" t="s">
        <v>145</v>
      </c>
      <c r="I620" s="66"/>
      <c r="J620" s="239"/>
      <c r="K620" s="234"/>
      <c r="L620" s="239"/>
      <c r="M620" s="239"/>
      <c r="N620" s="239"/>
      <c r="O620" s="239"/>
      <c r="P620" s="239"/>
      <c r="Q620" s="239"/>
      <c r="R620" s="239"/>
      <c r="S620" s="239"/>
    </row>
    <row r="621" spans="6:19" s="293" customFormat="1" x14ac:dyDescent="0.25">
      <c r="F621" s="196" t="s">
        <v>938</v>
      </c>
      <c r="G621" s="196" t="s">
        <v>120</v>
      </c>
      <c r="H621" s="196" t="s">
        <v>145</v>
      </c>
      <c r="I621" s="66"/>
      <c r="J621" s="239"/>
      <c r="K621" s="234"/>
      <c r="L621" s="239"/>
      <c r="M621" s="239"/>
      <c r="N621" s="239"/>
      <c r="O621" s="239"/>
      <c r="P621" s="239"/>
      <c r="Q621" s="239"/>
      <c r="R621" s="239"/>
      <c r="S621" s="239"/>
    </row>
    <row r="622" spans="6:19" s="293" customFormat="1" x14ac:dyDescent="0.25">
      <c r="F622" s="196" t="s">
        <v>939</v>
      </c>
      <c r="G622" s="196" t="s">
        <v>120</v>
      </c>
      <c r="H622" s="196" t="s">
        <v>145</v>
      </c>
      <c r="I622" s="66"/>
      <c r="J622" s="239"/>
      <c r="K622" s="234"/>
      <c r="L622" s="239"/>
      <c r="M622" s="239"/>
      <c r="N622" s="239"/>
      <c r="O622" s="239"/>
      <c r="P622" s="239"/>
      <c r="Q622" s="239"/>
      <c r="R622" s="239"/>
      <c r="S622" s="239"/>
    </row>
    <row r="623" spans="6:19" s="293" customFormat="1" x14ac:dyDescent="0.25">
      <c r="F623" s="196" t="s">
        <v>940</v>
      </c>
      <c r="G623" s="196" t="s">
        <v>120</v>
      </c>
      <c r="H623" s="196" t="s">
        <v>145</v>
      </c>
      <c r="I623" s="66"/>
      <c r="J623" s="239"/>
      <c r="K623" s="234"/>
      <c r="L623" s="239"/>
      <c r="M623" s="239"/>
      <c r="N623" s="239"/>
      <c r="O623" s="239"/>
      <c r="P623" s="239"/>
      <c r="Q623" s="239"/>
      <c r="R623" s="239"/>
      <c r="S623" s="239"/>
    </row>
    <row r="624" spans="6:19" s="293" customFormat="1" x14ac:dyDescent="0.25">
      <c r="F624" s="93" t="s">
        <v>941</v>
      </c>
      <c r="G624" s="93" t="s">
        <v>120</v>
      </c>
      <c r="H624" s="93" t="s">
        <v>145</v>
      </c>
      <c r="I624" s="145"/>
      <c r="J624" s="240"/>
      <c r="K624" s="236"/>
      <c r="L624" s="240"/>
      <c r="M624" s="240"/>
      <c r="N624" s="240"/>
      <c r="O624" s="240"/>
      <c r="P624" s="240"/>
      <c r="Q624" s="240"/>
      <c r="R624" s="240"/>
      <c r="S624" s="240"/>
    </row>
    <row r="625" spans="5:19" s="293" customFormat="1" x14ac:dyDescent="0.25">
      <c r="I625" s="111"/>
      <c r="J625" s="237"/>
      <c r="K625" s="237"/>
      <c r="L625" s="237"/>
      <c r="M625" s="237"/>
      <c r="N625" s="237"/>
      <c r="O625" s="237"/>
      <c r="P625" s="237"/>
      <c r="Q625" s="237"/>
      <c r="R625" s="237"/>
      <c r="S625" s="237"/>
    </row>
    <row r="626" spans="5:19" s="293" customFormat="1" x14ac:dyDescent="0.25">
      <c r="E626" s="144" t="s">
        <v>74</v>
      </c>
      <c r="I626" s="111"/>
      <c r="J626" s="237"/>
      <c r="K626" s="237"/>
      <c r="L626" s="237"/>
      <c r="M626" s="237"/>
      <c r="N626" s="237"/>
      <c r="O626" s="237"/>
      <c r="P626" s="237"/>
      <c r="Q626" s="237"/>
      <c r="R626" s="237"/>
      <c r="S626" s="237"/>
    </row>
    <row r="627" spans="5:19" s="293" customFormat="1" x14ac:dyDescent="0.25">
      <c r="F627" s="91" t="s">
        <v>926</v>
      </c>
      <c r="G627" s="91" t="s">
        <v>74</v>
      </c>
      <c r="H627" s="91" t="s">
        <v>145</v>
      </c>
      <c r="I627" s="112"/>
      <c r="J627" s="238"/>
      <c r="K627" s="232"/>
      <c r="L627" s="238"/>
      <c r="M627" s="238"/>
      <c r="N627" s="238"/>
      <c r="O627" s="238"/>
      <c r="P627" s="238"/>
      <c r="Q627" s="238"/>
      <c r="R627" s="238"/>
      <c r="S627" s="238"/>
    </row>
    <row r="628" spans="5:19" s="293" customFormat="1" x14ac:dyDescent="0.25">
      <c r="F628" s="196" t="s">
        <v>927</v>
      </c>
      <c r="G628" s="196" t="s">
        <v>74</v>
      </c>
      <c r="H628" s="196" t="s">
        <v>145</v>
      </c>
      <c r="I628" s="66"/>
      <c r="J628" s="239"/>
      <c r="K628" s="234"/>
      <c r="L628" s="239"/>
      <c r="M628" s="239"/>
      <c r="N628" s="239"/>
      <c r="O628" s="239"/>
      <c r="P628" s="239"/>
      <c r="Q628" s="239"/>
      <c r="R628" s="239"/>
      <c r="S628" s="239"/>
    </row>
    <row r="629" spans="5:19" s="293" customFormat="1" x14ac:dyDescent="0.25">
      <c r="F629" s="196" t="s">
        <v>928</v>
      </c>
      <c r="G629" s="196" t="s">
        <v>74</v>
      </c>
      <c r="H629" s="196" t="s">
        <v>145</v>
      </c>
      <c r="I629" s="66"/>
      <c r="J629" s="233">
        <f t="shared" ref="J629" si="56">CHOOSE(year_selection, L629,M629,N629,O629,P629,Q629,R629,S629)</f>
        <v>34033.274397354267</v>
      </c>
      <c r="K629" s="234"/>
      <c r="L629" s="330"/>
      <c r="M629" s="330"/>
      <c r="N629" s="330"/>
      <c r="O629" s="330">
        <v>34033.274397354267</v>
      </c>
      <c r="P629" s="330">
        <v>34082.206342863603</v>
      </c>
      <c r="Q629" s="330">
        <v>34127.86471577287</v>
      </c>
      <c r="R629" s="330">
        <v>34172.530818165076</v>
      </c>
      <c r="S629" s="330">
        <v>34217.196920557275</v>
      </c>
    </row>
    <row r="630" spans="5:19" s="293" customFormat="1" x14ac:dyDescent="0.25">
      <c r="F630" s="196" t="s">
        <v>929</v>
      </c>
      <c r="G630" s="196" t="s">
        <v>74</v>
      </c>
      <c r="H630" s="196" t="s">
        <v>145</v>
      </c>
      <c r="I630" s="66"/>
      <c r="J630" s="239"/>
      <c r="K630" s="234"/>
      <c r="L630" s="239"/>
      <c r="M630" s="239"/>
      <c r="N630" s="239"/>
      <c r="O630" s="239"/>
      <c r="P630" s="239"/>
      <c r="Q630" s="239"/>
      <c r="R630" s="239"/>
      <c r="S630" s="239"/>
    </row>
    <row r="631" spans="5:19" s="293" customFormat="1" x14ac:dyDescent="0.25">
      <c r="F631" s="196" t="s">
        <v>930</v>
      </c>
      <c r="G631" s="196" t="s">
        <v>74</v>
      </c>
      <c r="H631" s="196" t="s">
        <v>145</v>
      </c>
      <c r="I631" s="66"/>
      <c r="J631" s="233">
        <f t="shared" ref="J631:J633" si="57">CHOOSE(year_selection, L631,M631,N631,O631,P631,Q631,R631,S631)</f>
        <v>3909.270300556323</v>
      </c>
      <c r="K631" s="234"/>
      <c r="L631" s="330"/>
      <c r="M631" s="330"/>
      <c r="N631" s="330"/>
      <c r="O631" s="330">
        <v>3909.270300556323</v>
      </c>
      <c r="P631" s="330">
        <v>3937.8584094384219</v>
      </c>
      <c r="Q631" s="330">
        <v>3974.5305802815769</v>
      </c>
      <c r="R631" s="330">
        <v>4014.2985793096291</v>
      </c>
      <c r="S631" s="330">
        <v>4054.0665783376817</v>
      </c>
    </row>
    <row r="632" spans="5:19" s="293" customFormat="1" x14ac:dyDescent="0.25">
      <c r="F632" s="196" t="s">
        <v>931</v>
      </c>
      <c r="G632" s="196" t="s">
        <v>74</v>
      </c>
      <c r="H632" s="196" t="s">
        <v>145</v>
      </c>
      <c r="I632" s="66"/>
      <c r="J632" s="233">
        <f t="shared" si="57"/>
        <v>173.98461538461538</v>
      </c>
      <c r="K632" s="234"/>
      <c r="L632" s="330"/>
      <c r="M632" s="330"/>
      <c r="N632" s="330"/>
      <c r="O632" s="330">
        <v>173.98461538461538</v>
      </c>
      <c r="P632" s="330">
        <v>173.98461538461538</v>
      </c>
      <c r="Q632" s="330">
        <v>173.98461538461538</v>
      </c>
      <c r="R632" s="330">
        <v>173.98461538461538</v>
      </c>
      <c r="S632" s="330">
        <v>173.98461538461538</v>
      </c>
    </row>
    <row r="633" spans="5:19" s="293" customFormat="1" x14ac:dyDescent="0.25">
      <c r="F633" s="196" t="s">
        <v>932</v>
      </c>
      <c r="G633" s="196" t="s">
        <v>74</v>
      </c>
      <c r="H633" s="196" t="s">
        <v>145</v>
      </c>
      <c r="I633" s="66"/>
      <c r="J633" s="233">
        <f t="shared" si="57"/>
        <v>282.09136748803127</v>
      </c>
      <c r="K633" s="234"/>
      <c r="L633" s="330"/>
      <c r="M633" s="330"/>
      <c r="N633" s="330"/>
      <c r="O633" s="330">
        <v>282.09136748803127</v>
      </c>
      <c r="P633" s="330">
        <v>283.34122069710122</v>
      </c>
      <c r="Q633" s="330">
        <v>284.97370150842465</v>
      </c>
      <c r="R633" s="330">
        <v>286.74399471672734</v>
      </c>
      <c r="S633" s="330">
        <v>288.51428792503003</v>
      </c>
    </row>
    <row r="634" spans="5:19" s="293" customFormat="1" x14ac:dyDescent="0.25">
      <c r="F634" s="196" t="s">
        <v>933</v>
      </c>
      <c r="G634" s="196" t="s">
        <v>74</v>
      </c>
      <c r="H634" s="196" t="s">
        <v>145</v>
      </c>
      <c r="I634" s="66"/>
      <c r="J634" s="239"/>
      <c r="K634" s="234"/>
      <c r="L634" s="239"/>
      <c r="M634" s="239"/>
      <c r="N634" s="239"/>
      <c r="O634" s="239"/>
      <c r="P634" s="239"/>
      <c r="Q634" s="239"/>
      <c r="R634" s="239"/>
      <c r="S634" s="239"/>
    </row>
    <row r="635" spans="5:19" s="293" customFormat="1" x14ac:dyDescent="0.25">
      <c r="F635" s="196" t="s">
        <v>934</v>
      </c>
      <c r="G635" s="196" t="s">
        <v>74</v>
      </c>
      <c r="H635" s="196" t="s">
        <v>145</v>
      </c>
      <c r="I635" s="66"/>
      <c r="J635" s="239"/>
      <c r="K635" s="234"/>
      <c r="L635" s="239"/>
      <c r="M635" s="239"/>
      <c r="N635" s="239"/>
      <c r="O635" s="239"/>
      <c r="P635" s="239"/>
      <c r="Q635" s="239"/>
      <c r="R635" s="239"/>
      <c r="S635" s="239"/>
    </row>
    <row r="636" spans="5:19" s="293" customFormat="1" x14ac:dyDescent="0.25">
      <c r="F636" s="196" t="s">
        <v>935</v>
      </c>
      <c r="G636" s="196" t="s">
        <v>74</v>
      </c>
      <c r="H636" s="196" t="s">
        <v>145</v>
      </c>
      <c r="I636" s="66"/>
      <c r="J636" s="239"/>
      <c r="K636" s="234"/>
      <c r="L636" s="239"/>
      <c r="M636" s="239"/>
      <c r="N636" s="239"/>
      <c r="O636" s="239"/>
      <c r="P636" s="239"/>
      <c r="Q636" s="239"/>
      <c r="R636" s="239"/>
      <c r="S636" s="239"/>
    </row>
    <row r="637" spans="5:19" s="293" customFormat="1" x14ac:dyDescent="0.25">
      <c r="F637" s="196" t="s">
        <v>936</v>
      </c>
      <c r="G637" s="196" t="s">
        <v>74</v>
      </c>
      <c r="H637" s="196" t="s">
        <v>145</v>
      </c>
      <c r="I637" s="66"/>
      <c r="J637" s="239"/>
      <c r="K637" s="234"/>
      <c r="L637" s="239"/>
      <c r="M637" s="239"/>
      <c r="N637" s="239"/>
      <c r="O637" s="239"/>
      <c r="P637" s="239"/>
      <c r="Q637" s="239"/>
      <c r="R637" s="239"/>
      <c r="S637" s="239"/>
    </row>
    <row r="638" spans="5:19" s="293" customFormat="1" x14ac:dyDescent="0.25">
      <c r="F638" s="196" t="s">
        <v>937</v>
      </c>
      <c r="G638" s="196" t="s">
        <v>74</v>
      </c>
      <c r="H638" s="196" t="s">
        <v>145</v>
      </c>
      <c r="I638" s="66"/>
      <c r="J638" s="239"/>
      <c r="K638" s="234"/>
      <c r="L638" s="239"/>
      <c r="M638" s="239"/>
      <c r="N638" s="239"/>
      <c r="O638" s="239"/>
      <c r="P638" s="239"/>
      <c r="Q638" s="239"/>
      <c r="R638" s="239"/>
      <c r="S638" s="239"/>
    </row>
    <row r="639" spans="5:19" s="293" customFormat="1" x14ac:dyDescent="0.25">
      <c r="F639" s="196" t="s">
        <v>938</v>
      </c>
      <c r="G639" s="196" t="s">
        <v>74</v>
      </c>
      <c r="H639" s="196" t="s">
        <v>145</v>
      </c>
      <c r="I639" s="66"/>
      <c r="J639" s="239"/>
      <c r="K639" s="234"/>
      <c r="L639" s="239"/>
      <c r="M639" s="239"/>
      <c r="N639" s="239"/>
      <c r="O639" s="239"/>
      <c r="P639" s="239"/>
      <c r="Q639" s="239"/>
      <c r="R639" s="239"/>
      <c r="S639" s="239"/>
    </row>
    <row r="640" spans="5:19" s="293" customFormat="1" x14ac:dyDescent="0.25">
      <c r="F640" s="196" t="s">
        <v>939</v>
      </c>
      <c r="G640" s="196" t="s">
        <v>74</v>
      </c>
      <c r="H640" s="196" t="s">
        <v>145</v>
      </c>
      <c r="I640" s="66"/>
      <c r="J640" s="239"/>
      <c r="K640" s="234"/>
      <c r="L640" s="239"/>
      <c r="M640" s="239"/>
      <c r="N640" s="239"/>
      <c r="O640" s="239"/>
      <c r="P640" s="239"/>
      <c r="Q640" s="239"/>
      <c r="R640" s="239"/>
      <c r="S640" s="239"/>
    </row>
    <row r="641" spans="5:19" s="293" customFormat="1" x14ac:dyDescent="0.25">
      <c r="F641" s="196" t="s">
        <v>940</v>
      </c>
      <c r="G641" s="196" t="s">
        <v>74</v>
      </c>
      <c r="H641" s="196" t="s">
        <v>145</v>
      </c>
      <c r="I641" s="66"/>
      <c r="J641" s="239"/>
      <c r="K641" s="234"/>
      <c r="L641" s="239"/>
      <c r="M641" s="239"/>
      <c r="N641" s="239"/>
      <c r="O641" s="239"/>
      <c r="P641" s="239"/>
      <c r="Q641" s="239"/>
      <c r="R641" s="239"/>
      <c r="S641" s="239"/>
    </row>
    <row r="642" spans="5:19" s="293" customFormat="1" x14ac:dyDescent="0.25">
      <c r="F642" s="93" t="s">
        <v>941</v>
      </c>
      <c r="G642" s="93" t="s">
        <v>74</v>
      </c>
      <c r="H642" s="93" t="s">
        <v>145</v>
      </c>
      <c r="I642" s="145"/>
      <c r="J642" s="240"/>
      <c r="K642" s="236"/>
      <c r="L642" s="240"/>
      <c r="M642" s="240"/>
      <c r="N642" s="240"/>
      <c r="O642" s="240"/>
      <c r="P642" s="240"/>
      <c r="Q642" s="240"/>
      <c r="R642" s="240"/>
      <c r="S642" s="240"/>
    </row>
    <row r="643" spans="5:19" s="293" customFormat="1" x14ac:dyDescent="0.25">
      <c r="I643" s="111"/>
      <c r="J643" s="237"/>
      <c r="K643" s="237"/>
      <c r="L643" s="237"/>
      <c r="M643" s="237"/>
      <c r="N643" s="237"/>
      <c r="O643" s="237"/>
      <c r="P643" s="237"/>
      <c r="Q643" s="237"/>
      <c r="R643" s="237"/>
      <c r="S643" s="237"/>
    </row>
    <row r="644" spans="5:19" s="293" customFormat="1" x14ac:dyDescent="0.25">
      <c r="E644" s="144" t="s">
        <v>202</v>
      </c>
      <c r="I644" s="111"/>
      <c r="J644" s="237"/>
      <c r="K644" s="237"/>
      <c r="L644" s="237"/>
      <c r="M644" s="237"/>
      <c r="N644" s="237"/>
      <c r="O644" s="237"/>
      <c r="P644" s="237"/>
      <c r="Q644" s="237"/>
      <c r="R644" s="237"/>
      <c r="S644" s="237"/>
    </row>
    <row r="645" spans="5:19" s="293" customFormat="1" x14ac:dyDescent="0.25">
      <c r="F645" s="91" t="s">
        <v>926</v>
      </c>
      <c r="G645" s="91" t="s">
        <v>169</v>
      </c>
      <c r="H645" s="91" t="s">
        <v>145</v>
      </c>
      <c r="I645" s="112"/>
      <c r="J645" s="238"/>
      <c r="K645" s="232"/>
      <c r="L645" s="238"/>
      <c r="M645" s="238"/>
      <c r="N645" s="238"/>
      <c r="O645" s="238"/>
      <c r="P645" s="238"/>
      <c r="Q645" s="238"/>
      <c r="R645" s="238"/>
      <c r="S645" s="238"/>
    </row>
    <row r="646" spans="5:19" s="293" customFormat="1" x14ac:dyDescent="0.25">
      <c r="F646" s="196" t="s">
        <v>927</v>
      </c>
      <c r="G646" s="196" t="s">
        <v>169</v>
      </c>
      <c r="H646" s="196" t="s">
        <v>145</v>
      </c>
      <c r="I646" s="66"/>
      <c r="J646" s="239"/>
      <c r="K646" s="234"/>
      <c r="L646" s="239"/>
      <c r="M646" s="239"/>
      <c r="N646" s="239"/>
      <c r="O646" s="239"/>
      <c r="P646" s="239"/>
      <c r="Q646" s="239"/>
      <c r="R646" s="239"/>
      <c r="S646" s="239"/>
    </row>
    <row r="647" spans="5:19" s="293" customFormat="1" x14ac:dyDescent="0.25">
      <c r="F647" s="196" t="s">
        <v>928</v>
      </c>
      <c r="G647" s="196" t="s">
        <v>169</v>
      </c>
      <c r="H647" s="196" t="s">
        <v>145</v>
      </c>
      <c r="I647" s="66"/>
      <c r="J647" s="239"/>
      <c r="K647" s="234"/>
      <c r="L647" s="239"/>
      <c r="M647" s="239"/>
      <c r="N647" s="239"/>
      <c r="O647" s="239"/>
      <c r="P647" s="239"/>
      <c r="Q647" s="239"/>
      <c r="R647" s="239"/>
      <c r="S647" s="239"/>
    </row>
    <row r="648" spans="5:19" s="293" customFormat="1" x14ac:dyDescent="0.25">
      <c r="F648" s="196" t="s">
        <v>929</v>
      </c>
      <c r="G648" s="196" t="s">
        <v>169</v>
      </c>
      <c r="H648" s="196" t="s">
        <v>145</v>
      </c>
      <c r="I648" s="66"/>
      <c r="J648" s="239"/>
      <c r="K648" s="234"/>
      <c r="L648" s="239"/>
      <c r="M648" s="239"/>
      <c r="N648" s="239"/>
      <c r="O648" s="239"/>
      <c r="P648" s="239"/>
      <c r="Q648" s="239"/>
      <c r="R648" s="239"/>
      <c r="S648" s="239"/>
    </row>
    <row r="649" spans="5:19" s="293" customFormat="1" x14ac:dyDescent="0.25">
      <c r="F649" s="196" t="s">
        <v>930</v>
      </c>
      <c r="G649" s="196" t="s">
        <v>169</v>
      </c>
      <c r="H649" s="196" t="s">
        <v>145</v>
      </c>
      <c r="I649" s="66"/>
      <c r="J649" s="233">
        <f t="shared" ref="J649:J651" si="58">CHOOSE(year_selection, L649,M649,N649,O649,P649,Q649,R649,S649)</f>
        <v>1607909.6087336058</v>
      </c>
      <c r="K649" s="234"/>
      <c r="L649" s="330"/>
      <c r="M649" s="330"/>
      <c r="N649" s="330"/>
      <c r="O649" s="330">
        <v>1607909.6087336058</v>
      </c>
      <c r="P649" s="330">
        <v>1634751.6497505172</v>
      </c>
      <c r="Q649" s="330">
        <v>1634751.6497505172</v>
      </c>
      <c r="R649" s="330">
        <v>1651108.5001281581</v>
      </c>
      <c r="S649" s="330">
        <v>1667465.3505057991</v>
      </c>
    </row>
    <row r="650" spans="5:19" s="293" customFormat="1" x14ac:dyDescent="0.25">
      <c r="F650" s="196" t="s">
        <v>931</v>
      </c>
      <c r="G650" s="196" t="s">
        <v>169</v>
      </c>
      <c r="H650" s="196" t="s">
        <v>145</v>
      </c>
      <c r="I650" s="66"/>
      <c r="J650" s="233">
        <f t="shared" si="58"/>
        <v>102018.80123796046</v>
      </c>
      <c r="K650" s="234"/>
      <c r="L650" s="330"/>
      <c r="M650" s="330"/>
      <c r="N650" s="330"/>
      <c r="O650" s="330">
        <v>102018.80123796046</v>
      </c>
      <c r="P650" s="330">
        <v>101991.68935576182</v>
      </c>
      <c r="Q650" s="330">
        <v>101991.68935576182</v>
      </c>
      <c r="R650" s="330">
        <v>101991.39500125223</v>
      </c>
      <c r="S650" s="330">
        <v>101991.10064674263</v>
      </c>
    </row>
    <row r="651" spans="5:19" s="293" customFormat="1" x14ac:dyDescent="0.25">
      <c r="F651" s="196" t="s">
        <v>932</v>
      </c>
      <c r="G651" s="196" t="s">
        <v>169</v>
      </c>
      <c r="H651" s="196" t="s">
        <v>145</v>
      </c>
      <c r="I651" s="66"/>
      <c r="J651" s="233">
        <f t="shared" si="58"/>
        <v>995699.66974979674</v>
      </c>
      <c r="K651" s="234"/>
      <c r="L651" s="330"/>
      <c r="M651" s="330"/>
      <c r="N651" s="330"/>
      <c r="O651" s="330">
        <v>995699.66974979674</v>
      </c>
      <c r="P651" s="330">
        <v>1005889.340007387</v>
      </c>
      <c r="Q651" s="330">
        <v>1005889.340007387</v>
      </c>
      <c r="R651" s="330">
        <v>1012138.0716097524</v>
      </c>
      <c r="S651" s="330">
        <v>1018386.8032121178</v>
      </c>
    </row>
    <row r="652" spans="5:19" s="293" customFormat="1" x14ac:dyDescent="0.25">
      <c r="F652" s="196" t="s">
        <v>933</v>
      </c>
      <c r="G652" s="196" t="s">
        <v>169</v>
      </c>
      <c r="H652" s="196" t="s">
        <v>145</v>
      </c>
      <c r="I652" s="66"/>
      <c r="J652" s="239"/>
      <c r="K652" s="234"/>
      <c r="L652" s="239"/>
      <c r="M652" s="239"/>
      <c r="N652" s="239"/>
      <c r="O652" s="239"/>
      <c r="P652" s="239"/>
      <c r="Q652" s="239"/>
      <c r="R652" s="239"/>
      <c r="S652" s="239"/>
    </row>
    <row r="653" spans="5:19" s="293" customFormat="1" x14ac:dyDescent="0.25">
      <c r="F653" s="196" t="s">
        <v>934</v>
      </c>
      <c r="G653" s="196" t="s">
        <v>169</v>
      </c>
      <c r="H653" s="196" t="s">
        <v>145</v>
      </c>
      <c r="I653" s="66"/>
      <c r="J653" s="239"/>
      <c r="K653" s="234"/>
      <c r="L653" s="239"/>
      <c r="M653" s="239"/>
      <c r="N653" s="239"/>
      <c r="O653" s="239"/>
      <c r="P653" s="239"/>
      <c r="Q653" s="239"/>
      <c r="R653" s="239"/>
      <c r="S653" s="239"/>
    </row>
    <row r="654" spans="5:19" s="293" customFormat="1" x14ac:dyDescent="0.25">
      <c r="F654" s="196" t="s">
        <v>935</v>
      </c>
      <c r="G654" s="196" t="s">
        <v>169</v>
      </c>
      <c r="H654" s="196" t="s">
        <v>145</v>
      </c>
      <c r="I654" s="66"/>
      <c r="J654" s="239"/>
      <c r="K654" s="234"/>
      <c r="L654" s="239"/>
      <c r="M654" s="239"/>
      <c r="N654" s="239"/>
      <c r="O654" s="239"/>
      <c r="P654" s="239"/>
      <c r="Q654" s="239"/>
      <c r="R654" s="239"/>
      <c r="S654" s="239"/>
    </row>
    <row r="655" spans="5:19" s="293" customFormat="1" x14ac:dyDescent="0.25">
      <c r="F655" s="196" t="s">
        <v>936</v>
      </c>
      <c r="G655" s="196" t="s">
        <v>169</v>
      </c>
      <c r="H655" s="196" t="s">
        <v>145</v>
      </c>
      <c r="I655" s="66"/>
      <c r="J655" s="239"/>
      <c r="K655" s="234"/>
      <c r="L655" s="239"/>
      <c r="M655" s="239"/>
      <c r="N655" s="239"/>
      <c r="O655" s="239"/>
      <c r="P655" s="239"/>
      <c r="Q655" s="239"/>
      <c r="R655" s="239"/>
      <c r="S655" s="239"/>
    </row>
    <row r="656" spans="5:19" s="293" customFormat="1" x14ac:dyDescent="0.25">
      <c r="F656" s="196" t="s">
        <v>937</v>
      </c>
      <c r="G656" s="196" t="s">
        <v>169</v>
      </c>
      <c r="H656" s="196" t="s">
        <v>145</v>
      </c>
      <c r="I656" s="66"/>
      <c r="J656" s="239"/>
      <c r="K656" s="234"/>
      <c r="L656" s="239"/>
      <c r="M656" s="239"/>
      <c r="N656" s="239"/>
      <c r="O656" s="239"/>
      <c r="P656" s="239"/>
      <c r="Q656" s="239"/>
      <c r="R656" s="239"/>
      <c r="S656" s="239"/>
    </row>
    <row r="657" spans="5:19" s="293" customFormat="1" x14ac:dyDescent="0.25">
      <c r="F657" s="196" t="s">
        <v>938</v>
      </c>
      <c r="G657" s="196" t="s">
        <v>169</v>
      </c>
      <c r="H657" s="196" t="s">
        <v>145</v>
      </c>
      <c r="I657" s="66"/>
      <c r="J657" s="239"/>
      <c r="K657" s="234"/>
      <c r="L657" s="239"/>
      <c r="M657" s="239"/>
      <c r="N657" s="239"/>
      <c r="O657" s="239"/>
      <c r="P657" s="239"/>
      <c r="Q657" s="239"/>
      <c r="R657" s="239"/>
      <c r="S657" s="239"/>
    </row>
    <row r="658" spans="5:19" s="293" customFormat="1" x14ac:dyDescent="0.25">
      <c r="F658" s="196" t="s">
        <v>939</v>
      </c>
      <c r="G658" s="196" t="s">
        <v>169</v>
      </c>
      <c r="H658" s="196" t="s">
        <v>145</v>
      </c>
      <c r="I658" s="66"/>
      <c r="J658" s="239"/>
      <c r="K658" s="234"/>
      <c r="L658" s="239"/>
      <c r="M658" s="239"/>
      <c r="N658" s="239"/>
      <c r="O658" s="239"/>
      <c r="P658" s="239"/>
      <c r="Q658" s="239"/>
      <c r="R658" s="239"/>
      <c r="S658" s="239"/>
    </row>
    <row r="659" spans="5:19" s="293" customFormat="1" x14ac:dyDescent="0.25">
      <c r="F659" s="196" t="s">
        <v>940</v>
      </c>
      <c r="G659" s="196" t="s">
        <v>169</v>
      </c>
      <c r="H659" s="196" t="s">
        <v>145</v>
      </c>
      <c r="I659" s="66"/>
      <c r="J659" s="239"/>
      <c r="K659" s="234"/>
      <c r="L659" s="239"/>
      <c r="M659" s="239"/>
      <c r="N659" s="239"/>
      <c r="O659" s="239"/>
      <c r="P659" s="239"/>
      <c r="Q659" s="239"/>
      <c r="R659" s="239"/>
      <c r="S659" s="239"/>
    </row>
    <row r="660" spans="5:19" s="293" customFormat="1" x14ac:dyDescent="0.25">
      <c r="F660" s="93" t="s">
        <v>941</v>
      </c>
      <c r="G660" s="93" t="s">
        <v>169</v>
      </c>
      <c r="H660" s="93" t="s">
        <v>145</v>
      </c>
      <c r="I660" s="145"/>
      <c r="J660" s="240"/>
      <c r="K660" s="236"/>
      <c r="L660" s="240"/>
      <c r="M660" s="240"/>
      <c r="N660" s="240"/>
      <c r="O660" s="240"/>
      <c r="P660" s="240"/>
      <c r="Q660" s="240"/>
      <c r="R660" s="240"/>
      <c r="S660" s="240"/>
    </row>
    <row r="661" spans="5:19" s="293" customFormat="1" x14ac:dyDescent="0.25">
      <c r="I661" s="111"/>
      <c r="J661" s="237"/>
      <c r="K661" s="237"/>
      <c r="L661" s="237"/>
      <c r="M661" s="237"/>
      <c r="N661" s="237"/>
      <c r="O661" s="237"/>
      <c r="P661" s="237"/>
      <c r="Q661" s="237"/>
      <c r="R661" s="237"/>
      <c r="S661" s="237"/>
    </row>
    <row r="662" spans="5:19" s="293" customFormat="1" x14ac:dyDescent="0.25">
      <c r="E662" s="144" t="s">
        <v>203</v>
      </c>
      <c r="I662" s="111"/>
      <c r="J662" s="237"/>
      <c r="K662" s="237"/>
      <c r="L662" s="237"/>
      <c r="M662" s="237"/>
      <c r="N662" s="237"/>
      <c r="O662" s="237"/>
      <c r="P662" s="237"/>
      <c r="Q662" s="237"/>
      <c r="R662" s="237"/>
      <c r="S662" s="237"/>
    </row>
    <row r="663" spans="5:19" s="293" customFormat="1" x14ac:dyDescent="0.25">
      <c r="F663" s="91" t="s">
        <v>926</v>
      </c>
      <c r="G663" s="91" t="s">
        <v>169</v>
      </c>
      <c r="H663" s="91" t="s">
        <v>145</v>
      </c>
      <c r="I663" s="112"/>
      <c r="J663" s="238"/>
      <c r="K663" s="232"/>
      <c r="L663" s="238"/>
      <c r="M663" s="238"/>
      <c r="N663" s="238"/>
      <c r="O663" s="238"/>
      <c r="P663" s="238"/>
      <c r="Q663" s="238"/>
      <c r="R663" s="238"/>
      <c r="S663" s="238"/>
    </row>
    <row r="664" spans="5:19" s="293" customFormat="1" x14ac:dyDescent="0.25">
      <c r="F664" s="196" t="s">
        <v>927</v>
      </c>
      <c r="G664" s="196" t="s">
        <v>169</v>
      </c>
      <c r="H664" s="196" t="s">
        <v>145</v>
      </c>
      <c r="I664" s="66"/>
      <c r="J664" s="239"/>
      <c r="K664" s="234"/>
      <c r="L664" s="239"/>
      <c r="M664" s="239"/>
      <c r="N664" s="239"/>
      <c r="O664" s="239"/>
      <c r="P664" s="239"/>
      <c r="Q664" s="239"/>
      <c r="R664" s="239"/>
      <c r="S664" s="239"/>
    </row>
    <row r="665" spans="5:19" s="293" customFormat="1" x14ac:dyDescent="0.25">
      <c r="F665" s="196" t="s">
        <v>928</v>
      </c>
      <c r="G665" s="196" t="s">
        <v>169</v>
      </c>
      <c r="H665" s="196" t="s">
        <v>145</v>
      </c>
      <c r="I665" s="66"/>
      <c r="J665" s="239"/>
      <c r="K665" s="234"/>
      <c r="L665" s="239"/>
      <c r="M665" s="239"/>
      <c r="N665" s="239"/>
      <c r="O665" s="239"/>
      <c r="P665" s="239"/>
      <c r="Q665" s="239"/>
      <c r="R665" s="239"/>
      <c r="S665" s="239"/>
    </row>
    <row r="666" spans="5:19" s="293" customFormat="1" x14ac:dyDescent="0.25">
      <c r="F666" s="196" t="s">
        <v>929</v>
      </c>
      <c r="G666" s="196" t="s">
        <v>169</v>
      </c>
      <c r="H666" s="196" t="s">
        <v>145</v>
      </c>
      <c r="I666" s="66"/>
      <c r="J666" s="239"/>
      <c r="K666" s="234"/>
      <c r="L666" s="239"/>
      <c r="M666" s="239"/>
      <c r="N666" s="239"/>
      <c r="O666" s="239"/>
      <c r="P666" s="239"/>
      <c r="Q666" s="239"/>
      <c r="R666" s="239"/>
      <c r="S666" s="239"/>
    </row>
    <row r="667" spans="5:19" s="293" customFormat="1" x14ac:dyDescent="0.25">
      <c r="F667" s="196" t="s">
        <v>930</v>
      </c>
      <c r="G667" s="196" t="s">
        <v>169</v>
      </c>
      <c r="H667" s="196" t="s">
        <v>145</v>
      </c>
      <c r="I667" s="66"/>
      <c r="J667" s="233">
        <f t="shared" ref="J667:J669" si="59">CHOOSE(year_selection, L667,M667,N667,O667,P667,Q667,R667,S667)</f>
        <v>21924.742815531772</v>
      </c>
      <c r="K667" s="234"/>
      <c r="L667" s="330"/>
      <c r="M667" s="330"/>
      <c r="N667" s="330"/>
      <c r="O667" s="330">
        <v>21924.742815531772</v>
      </c>
      <c r="P667" s="330">
        <v>22290.748990719228</v>
      </c>
      <c r="Q667" s="330">
        <v>22290.748990719228</v>
      </c>
      <c r="R667" s="330">
        <v>22513.783753279273</v>
      </c>
      <c r="S667" s="330">
        <v>22736.818515839313</v>
      </c>
    </row>
    <row r="668" spans="5:19" s="293" customFormat="1" x14ac:dyDescent="0.25">
      <c r="F668" s="196" t="s">
        <v>931</v>
      </c>
      <c r="G668" s="196" t="s">
        <v>169</v>
      </c>
      <c r="H668" s="196" t="s">
        <v>145</v>
      </c>
      <c r="I668" s="66"/>
      <c r="J668" s="233">
        <f t="shared" si="59"/>
        <v>696.79374087799431</v>
      </c>
      <c r="K668" s="234"/>
      <c r="L668" s="330"/>
      <c r="M668" s="330"/>
      <c r="N668" s="330"/>
      <c r="O668" s="330">
        <v>696.79374087799431</v>
      </c>
      <c r="P668" s="330">
        <v>696.60856530652916</v>
      </c>
      <c r="Q668" s="330">
        <v>696.60856530652916</v>
      </c>
      <c r="R668" s="330">
        <v>696.60655484985443</v>
      </c>
      <c r="S668" s="330">
        <v>696.60454439317948</v>
      </c>
    </row>
    <row r="669" spans="5:19" s="293" customFormat="1" x14ac:dyDescent="0.25">
      <c r="F669" s="196" t="s">
        <v>932</v>
      </c>
      <c r="G669" s="196" t="s">
        <v>169</v>
      </c>
      <c r="H669" s="196" t="s">
        <v>145</v>
      </c>
      <c r="I669" s="66"/>
      <c r="J669" s="233">
        <f t="shared" si="59"/>
        <v>11940.441865723931</v>
      </c>
      <c r="K669" s="234"/>
      <c r="L669" s="330"/>
      <c r="M669" s="330"/>
      <c r="N669" s="330"/>
      <c r="O669" s="330">
        <v>11940.441865723931</v>
      </c>
      <c r="P669" s="330">
        <v>12062.636508383828</v>
      </c>
      <c r="Q669" s="330">
        <v>12062.636508383828</v>
      </c>
      <c r="R669" s="330">
        <v>12137.57136946629</v>
      </c>
      <c r="S669" s="330">
        <v>12212.506230548752</v>
      </c>
    </row>
    <row r="670" spans="5:19" s="293" customFormat="1" x14ac:dyDescent="0.25">
      <c r="F670" s="196" t="s">
        <v>933</v>
      </c>
      <c r="G670" s="196" t="s">
        <v>169</v>
      </c>
      <c r="H670" s="196" t="s">
        <v>145</v>
      </c>
      <c r="I670" s="66"/>
      <c r="J670" s="239"/>
      <c r="K670" s="234"/>
      <c r="L670" s="239"/>
      <c r="M670" s="239"/>
      <c r="N670" s="239"/>
      <c r="O670" s="239"/>
      <c r="P670" s="239"/>
      <c r="Q670" s="239"/>
      <c r="R670" s="239"/>
      <c r="S670" s="239"/>
    </row>
    <row r="671" spans="5:19" s="293" customFormat="1" x14ac:dyDescent="0.25">
      <c r="F671" s="196" t="s">
        <v>934</v>
      </c>
      <c r="G671" s="196" t="s">
        <v>169</v>
      </c>
      <c r="H671" s="196" t="s">
        <v>145</v>
      </c>
      <c r="I671" s="66"/>
      <c r="J671" s="239"/>
      <c r="K671" s="234"/>
      <c r="L671" s="239"/>
      <c r="M671" s="239"/>
      <c r="N671" s="239"/>
      <c r="O671" s="239"/>
      <c r="P671" s="239"/>
      <c r="Q671" s="239"/>
      <c r="R671" s="239"/>
      <c r="S671" s="239"/>
    </row>
    <row r="672" spans="5:19" s="293" customFormat="1" x14ac:dyDescent="0.25">
      <c r="F672" s="196" t="s">
        <v>935</v>
      </c>
      <c r="G672" s="196" t="s">
        <v>169</v>
      </c>
      <c r="H672" s="196" t="s">
        <v>145</v>
      </c>
      <c r="I672" s="66"/>
      <c r="J672" s="239"/>
      <c r="K672" s="234"/>
      <c r="L672" s="239"/>
      <c r="M672" s="239"/>
      <c r="N672" s="239"/>
      <c r="O672" s="239"/>
      <c r="P672" s="239"/>
      <c r="Q672" s="239"/>
      <c r="R672" s="239"/>
      <c r="S672" s="239"/>
    </row>
    <row r="673" spans="5:19" s="293" customFormat="1" x14ac:dyDescent="0.25">
      <c r="F673" s="196" t="s">
        <v>936</v>
      </c>
      <c r="G673" s="196" t="s">
        <v>169</v>
      </c>
      <c r="H673" s="196" t="s">
        <v>145</v>
      </c>
      <c r="I673" s="66"/>
      <c r="J673" s="239"/>
      <c r="K673" s="234"/>
      <c r="L673" s="239"/>
      <c r="M673" s="239"/>
      <c r="N673" s="239"/>
      <c r="O673" s="239"/>
      <c r="P673" s="239"/>
      <c r="Q673" s="239"/>
      <c r="R673" s="239"/>
      <c r="S673" s="239"/>
    </row>
    <row r="674" spans="5:19" s="293" customFormat="1" x14ac:dyDescent="0.25">
      <c r="F674" s="196" t="s">
        <v>937</v>
      </c>
      <c r="G674" s="196" t="s">
        <v>169</v>
      </c>
      <c r="H674" s="196" t="s">
        <v>145</v>
      </c>
      <c r="I674" s="66"/>
      <c r="J674" s="239"/>
      <c r="K674" s="234"/>
      <c r="L674" s="239"/>
      <c r="M674" s="239"/>
      <c r="N674" s="239"/>
      <c r="O674" s="239"/>
      <c r="P674" s="239"/>
      <c r="Q674" s="239"/>
      <c r="R674" s="239"/>
      <c r="S674" s="239"/>
    </row>
    <row r="675" spans="5:19" s="293" customFormat="1" x14ac:dyDescent="0.25">
      <c r="F675" s="196" t="s">
        <v>938</v>
      </c>
      <c r="G675" s="196" t="s">
        <v>169</v>
      </c>
      <c r="H675" s="196" t="s">
        <v>145</v>
      </c>
      <c r="I675" s="66"/>
      <c r="J675" s="239"/>
      <c r="K675" s="234"/>
      <c r="L675" s="239"/>
      <c r="M675" s="239"/>
      <c r="N675" s="239"/>
      <c r="O675" s="239"/>
      <c r="P675" s="239"/>
      <c r="Q675" s="239"/>
      <c r="R675" s="239"/>
      <c r="S675" s="239"/>
    </row>
    <row r="676" spans="5:19" s="293" customFormat="1" x14ac:dyDescent="0.25">
      <c r="F676" s="196" t="s">
        <v>939</v>
      </c>
      <c r="G676" s="196" t="s">
        <v>169</v>
      </c>
      <c r="H676" s="196" t="s">
        <v>145</v>
      </c>
      <c r="I676" s="66"/>
      <c r="J676" s="239"/>
      <c r="K676" s="234"/>
      <c r="L676" s="239"/>
      <c r="M676" s="239"/>
      <c r="N676" s="239"/>
      <c r="O676" s="239"/>
      <c r="P676" s="239"/>
      <c r="Q676" s="239"/>
      <c r="R676" s="239"/>
      <c r="S676" s="239"/>
    </row>
    <row r="677" spans="5:19" s="293" customFormat="1" x14ac:dyDescent="0.25">
      <c r="F677" s="196" t="s">
        <v>940</v>
      </c>
      <c r="G677" s="196" t="s">
        <v>169</v>
      </c>
      <c r="H677" s="196" t="s">
        <v>145</v>
      </c>
      <c r="I677" s="66"/>
      <c r="J677" s="239"/>
      <c r="K677" s="234"/>
      <c r="L677" s="239"/>
      <c r="M677" s="239"/>
      <c r="N677" s="239"/>
      <c r="O677" s="239"/>
      <c r="P677" s="239"/>
      <c r="Q677" s="239"/>
      <c r="R677" s="239"/>
      <c r="S677" s="239"/>
    </row>
    <row r="678" spans="5:19" s="293" customFormat="1" x14ac:dyDescent="0.25">
      <c r="F678" s="93" t="s">
        <v>941</v>
      </c>
      <c r="G678" s="93" t="s">
        <v>169</v>
      </c>
      <c r="H678" s="93" t="s">
        <v>145</v>
      </c>
      <c r="I678" s="145"/>
      <c r="J678" s="240"/>
      <c r="K678" s="236"/>
      <c r="L678" s="240"/>
      <c r="M678" s="240"/>
      <c r="N678" s="240"/>
      <c r="O678" s="240"/>
      <c r="P678" s="240"/>
      <c r="Q678" s="240"/>
      <c r="R678" s="240"/>
      <c r="S678" s="240"/>
    </row>
    <row r="679" spans="5:19" s="293" customFormat="1" x14ac:dyDescent="0.25">
      <c r="I679" s="111"/>
      <c r="J679" s="237"/>
      <c r="K679" s="237"/>
      <c r="L679" s="237"/>
      <c r="M679" s="237"/>
      <c r="N679" s="237"/>
      <c r="O679" s="237"/>
      <c r="P679" s="237"/>
      <c r="Q679" s="237"/>
      <c r="R679" s="237"/>
      <c r="S679" s="237"/>
    </row>
    <row r="680" spans="5:19" s="293" customFormat="1" x14ac:dyDescent="0.25">
      <c r="E680" s="144" t="s">
        <v>204</v>
      </c>
      <c r="I680" s="111"/>
      <c r="J680" s="237"/>
      <c r="K680" s="237"/>
      <c r="L680" s="237"/>
      <c r="M680" s="237"/>
      <c r="N680" s="237"/>
      <c r="O680" s="237"/>
      <c r="P680" s="237"/>
      <c r="Q680" s="237"/>
      <c r="R680" s="237"/>
      <c r="S680" s="237"/>
    </row>
    <row r="681" spans="5:19" s="293" customFormat="1" x14ac:dyDescent="0.25">
      <c r="F681" s="91" t="s">
        <v>926</v>
      </c>
      <c r="G681" s="91" t="s">
        <v>170</v>
      </c>
      <c r="H681" s="91" t="s">
        <v>145</v>
      </c>
      <c r="I681" s="112"/>
      <c r="J681" s="238"/>
      <c r="K681" s="232"/>
      <c r="L681" s="238"/>
      <c r="M681" s="238"/>
      <c r="N681" s="238"/>
      <c r="O681" s="238"/>
      <c r="P681" s="238"/>
      <c r="Q681" s="238"/>
      <c r="R681" s="238"/>
      <c r="S681" s="238"/>
    </row>
    <row r="682" spans="5:19" s="293" customFormat="1" x14ac:dyDescent="0.25">
      <c r="F682" s="196" t="s">
        <v>927</v>
      </c>
      <c r="G682" s="196" t="s">
        <v>170</v>
      </c>
      <c r="H682" s="196" t="s">
        <v>145</v>
      </c>
      <c r="I682" s="66"/>
      <c r="J682" s="239"/>
      <c r="K682" s="234"/>
      <c r="L682" s="239"/>
      <c r="M682" s="239"/>
      <c r="N682" s="239"/>
      <c r="O682" s="239"/>
      <c r="P682" s="239"/>
      <c r="Q682" s="239"/>
      <c r="R682" s="239"/>
      <c r="S682" s="239"/>
    </row>
    <row r="683" spans="5:19" s="293" customFormat="1" x14ac:dyDescent="0.25">
      <c r="F683" s="196" t="s">
        <v>928</v>
      </c>
      <c r="G683" s="196" t="s">
        <v>170</v>
      </c>
      <c r="H683" s="196" t="s">
        <v>145</v>
      </c>
      <c r="I683" s="66"/>
      <c r="J683" s="239"/>
      <c r="K683" s="234"/>
      <c r="L683" s="239"/>
      <c r="M683" s="239"/>
      <c r="N683" s="239"/>
      <c r="O683" s="239"/>
      <c r="P683" s="239"/>
      <c r="Q683" s="239"/>
      <c r="R683" s="239"/>
      <c r="S683" s="239"/>
    </row>
    <row r="684" spans="5:19" s="293" customFormat="1" x14ac:dyDescent="0.25">
      <c r="F684" s="196" t="s">
        <v>929</v>
      </c>
      <c r="G684" s="196" t="s">
        <v>170</v>
      </c>
      <c r="H684" s="196" t="s">
        <v>145</v>
      </c>
      <c r="I684" s="66"/>
      <c r="J684" s="239"/>
      <c r="K684" s="234"/>
      <c r="L684" s="239"/>
      <c r="M684" s="239"/>
      <c r="N684" s="239"/>
      <c r="O684" s="239"/>
      <c r="P684" s="239"/>
      <c r="Q684" s="239"/>
      <c r="R684" s="239"/>
      <c r="S684" s="239"/>
    </row>
    <row r="685" spans="5:19" s="293" customFormat="1" x14ac:dyDescent="0.25">
      <c r="F685" s="196" t="s">
        <v>930</v>
      </c>
      <c r="G685" s="196" t="s">
        <v>170</v>
      </c>
      <c r="H685" s="196" t="s">
        <v>145</v>
      </c>
      <c r="I685" s="66"/>
      <c r="J685" s="233">
        <f t="shared" ref="J685:J687" si="60">CHOOSE(year_selection, L685,M685,N685,O685,P685,Q685,R685,S685)</f>
        <v>203501.32144017884</v>
      </c>
      <c r="K685" s="234"/>
      <c r="L685" s="330"/>
      <c r="M685" s="330"/>
      <c r="N685" s="330"/>
      <c r="O685" s="330">
        <v>203501.32144017884</v>
      </c>
      <c r="P685" s="330">
        <v>194170.36396813061</v>
      </c>
      <c r="Q685" s="330">
        <v>194170.36396813061</v>
      </c>
      <c r="R685" s="330">
        <v>184839.40649608232</v>
      </c>
      <c r="S685" s="330">
        <v>175508.44902403405</v>
      </c>
    </row>
    <row r="686" spans="5:19" s="293" customFormat="1" x14ac:dyDescent="0.25">
      <c r="F686" s="196" t="s">
        <v>931</v>
      </c>
      <c r="G686" s="196" t="s">
        <v>170</v>
      </c>
      <c r="H686" s="196" t="s">
        <v>145</v>
      </c>
      <c r="I686" s="66"/>
      <c r="J686" s="233">
        <f t="shared" si="60"/>
        <v>20414.793816887406</v>
      </c>
      <c r="K686" s="234"/>
      <c r="L686" s="330"/>
      <c r="M686" s="330"/>
      <c r="N686" s="330"/>
      <c r="O686" s="330">
        <v>20414.793816887406</v>
      </c>
      <c r="P686" s="330">
        <v>20277.203445370928</v>
      </c>
      <c r="Q686" s="330">
        <v>20277.203445370928</v>
      </c>
      <c r="R686" s="330">
        <v>20139.613073854445</v>
      </c>
      <c r="S686" s="330">
        <v>20002.022702337967</v>
      </c>
    </row>
    <row r="687" spans="5:19" s="293" customFormat="1" x14ac:dyDescent="0.25">
      <c r="F687" s="196" t="s">
        <v>932</v>
      </c>
      <c r="G687" s="196" t="s">
        <v>170</v>
      </c>
      <c r="H687" s="196" t="s">
        <v>145</v>
      </c>
      <c r="I687" s="66"/>
      <c r="J687" s="233">
        <f t="shared" si="60"/>
        <v>154394.68691858038</v>
      </c>
      <c r="K687" s="234"/>
      <c r="L687" s="330"/>
      <c r="M687" s="330"/>
      <c r="N687" s="330"/>
      <c r="O687" s="330">
        <v>154394.68691858038</v>
      </c>
      <c r="P687" s="330">
        <v>152819.56215999351</v>
      </c>
      <c r="Q687" s="330">
        <v>152819.56215999351</v>
      </c>
      <c r="R687" s="330">
        <v>151244.43740140667</v>
      </c>
      <c r="S687" s="330">
        <v>149669.31264281983</v>
      </c>
    </row>
    <row r="688" spans="5:19" s="293" customFormat="1" x14ac:dyDescent="0.25">
      <c r="F688" s="196" t="s">
        <v>933</v>
      </c>
      <c r="G688" s="196" t="s">
        <v>170</v>
      </c>
      <c r="H688" s="196" t="s">
        <v>145</v>
      </c>
      <c r="I688" s="66"/>
      <c r="J688" s="239"/>
      <c r="K688" s="234"/>
      <c r="L688" s="239"/>
      <c r="M688" s="239"/>
      <c r="N688" s="239"/>
      <c r="O688" s="239"/>
      <c r="P688" s="239"/>
      <c r="Q688" s="239"/>
      <c r="R688" s="239"/>
      <c r="S688" s="239"/>
    </row>
    <row r="689" spans="3:21" s="293" customFormat="1" x14ac:dyDescent="0.25">
      <c r="F689" s="196" t="s">
        <v>934</v>
      </c>
      <c r="G689" s="196" t="s">
        <v>170</v>
      </c>
      <c r="H689" s="196" t="s">
        <v>145</v>
      </c>
      <c r="I689" s="66"/>
      <c r="J689" s="239"/>
      <c r="K689" s="234"/>
      <c r="L689" s="239"/>
      <c r="M689" s="239"/>
      <c r="N689" s="239"/>
      <c r="O689" s="239"/>
      <c r="P689" s="239"/>
      <c r="Q689" s="239"/>
      <c r="R689" s="239"/>
      <c r="S689" s="239"/>
    </row>
    <row r="690" spans="3:21" s="293" customFormat="1" x14ac:dyDescent="0.25">
      <c r="F690" s="196" t="s">
        <v>935</v>
      </c>
      <c r="G690" s="196" t="s">
        <v>170</v>
      </c>
      <c r="H690" s="196" t="s">
        <v>145</v>
      </c>
      <c r="I690" s="66"/>
      <c r="J690" s="239"/>
      <c r="K690" s="234"/>
      <c r="L690" s="239"/>
      <c r="M690" s="239"/>
      <c r="N690" s="239"/>
      <c r="O690" s="239"/>
      <c r="P690" s="239"/>
      <c r="Q690" s="239"/>
      <c r="R690" s="239"/>
      <c r="S690" s="239"/>
    </row>
    <row r="691" spans="3:21" s="293" customFormat="1" x14ac:dyDescent="0.25">
      <c r="F691" s="196" t="s">
        <v>936</v>
      </c>
      <c r="G691" s="196" t="s">
        <v>170</v>
      </c>
      <c r="H691" s="196" t="s">
        <v>145</v>
      </c>
      <c r="I691" s="66"/>
      <c r="J691" s="239"/>
      <c r="K691" s="234"/>
      <c r="L691" s="239"/>
      <c r="M691" s="239"/>
      <c r="N691" s="239"/>
      <c r="O691" s="239"/>
      <c r="P691" s="239"/>
      <c r="Q691" s="239"/>
      <c r="R691" s="239"/>
      <c r="S691" s="239"/>
    </row>
    <row r="692" spans="3:21" s="293" customFormat="1" x14ac:dyDescent="0.25">
      <c r="F692" s="196" t="s">
        <v>937</v>
      </c>
      <c r="G692" s="196" t="s">
        <v>170</v>
      </c>
      <c r="H692" s="196" t="s">
        <v>145</v>
      </c>
      <c r="I692" s="66"/>
      <c r="J692" s="239"/>
      <c r="K692" s="234"/>
      <c r="L692" s="239"/>
      <c r="M692" s="239"/>
      <c r="N692" s="239"/>
      <c r="O692" s="239"/>
      <c r="P692" s="239"/>
      <c r="Q692" s="239"/>
      <c r="R692" s="239"/>
      <c r="S692" s="239"/>
    </row>
    <row r="693" spans="3:21" s="293" customFormat="1" x14ac:dyDescent="0.25">
      <c r="F693" s="196" t="s">
        <v>938</v>
      </c>
      <c r="G693" s="196" t="s">
        <v>170</v>
      </c>
      <c r="H693" s="196" t="s">
        <v>145</v>
      </c>
      <c r="I693" s="66"/>
      <c r="J693" s="239"/>
      <c r="K693" s="234"/>
      <c r="L693" s="239"/>
      <c r="M693" s="239"/>
      <c r="N693" s="239"/>
      <c r="O693" s="239"/>
      <c r="P693" s="239"/>
      <c r="Q693" s="239"/>
      <c r="R693" s="239"/>
      <c r="S693" s="239"/>
    </row>
    <row r="694" spans="3:21" s="293" customFormat="1" x14ac:dyDescent="0.25">
      <c r="F694" s="196" t="s">
        <v>939</v>
      </c>
      <c r="G694" s="196" t="s">
        <v>170</v>
      </c>
      <c r="H694" s="196" t="s">
        <v>145</v>
      </c>
      <c r="I694" s="66"/>
      <c r="J694" s="239"/>
      <c r="K694" s="234"/>
      <c r="L694" s="239"/>
      <c r="M694" s="239"/>
      <c r="N694" s="239"/>
      <c r="O694" s="239"/>
      <c r="P694" s="239"/>
      <c r="Q694" s="239"/>
      <c r="R694" s="239"/>
      <c r="S694" s="239"/>
    </row>
    <row r="695" spans="3:21" s="293" customFormat="1" x14ac:dyDescent="0.25">
      <c r="F695" s="196" t="s">
        <v>940</v>
      </c>
      <c r="G695" s="196" t="s">
        <v>170</v>
      </c>
      <c r="H695" s="196" t="s">
        <v>145</v>
      </c>
      <c r="I695" s="66"/>
      <c r="J695" s="239"/>
      <c r="K695" s="234"/>
      <c r="L695" s="239"/>
      <c r="M695" s="239"/>
      <c r="N695" s="239"/>
      <c r="O695" s="239"/>
      <c r="P695" s="239"/>
      <c r="Q695" s="239"/>
      <c r="R695" s="239"/>
      <c r="S695" s="239"/>
    </row>
    <row r="696" spans="3:21" s="293" customFormat="1" x14ac:dyDescent="0.25">
      <c r="F696" s="93" t="s">
        <v>941</v>
      </c>
      <c r="G696" s="93" t="s">
        <v>170</v>
      </c>
      <c r="H696" s="93" t="s">
        <v>145</v>
      </c>
      <c r="I696" s="145"/>
      <c r="J696" s="240"/>
      <c r="K696" s="236"/>
      <c r="L696" s="240"/>
      <c r="M696" s="240"/>
      <c r="N696" s="240"/>
      <c r="O696" s="240"/>
      <c r="P696" s="240"/>
      <c r="Q696" s="240"/>
      <c r="R696" s="240"/>
      <c r="S696" s="240"/>
    </row>
    <row r="697" spans="3:21" s="293" customFormat="1" x14ac:dyDescent="0.25">
      <c r="I697" s="111"/>
      <c r="J697" s="237"/>
      <c r="K697" s="237"/>
      <c r="L697" s="237"/>
      <c r="M697" s="237"/>
      <c r="N697" s="237"/>
      <c r="O697" s="237"/>
      <c r="P697" s="237"/>
      <c r="Q697" s="237"/>
      <c r="R697" s="237"/>
      <c r="S697" s="237"/>
    </row>
    <row r="698" spans="3:21" x14ac:dyDescent="0.25">
      <c r="C698" s="7" t="str">
        <f ca="1">INDEX('Version control'!$H$35:$H$61,MATCH($A$1,'Version control'!$F$35:$F$61,0),1)&amp;"-H: LDNO LV volumes - No residual"</f>
        <v>Input 501-H: LDNO LV volumes - No residual</v>
      </c>
      <c r="D698" s="7"/>
      <c r="E698" s="7"/>
      <c r="F698" s="7"/>
      <c r="G698" s="7"/>
      <c r="H698" s="7"/>
      <c r="I698" s="171"/>
      <c r="J698" s="241"/>
      <c r="K698" s="241"/>
      <c r="L698" s="241"/>
      <c r="M698" s="241"/>
      <c r="N698" s="241"/>
      <c r="O698" s="241"/>
      <c r="P698" s="241"/>
      <c r="Q698" s="241"/>
      <c r="R698" s="241"/>
      <c r="S698" s="241"/>
      <c r="T698" s="7"/>
      <c r="U698" s="7"/>
    </row>
    <row r="699" spans="3:21" x14ac:dyDescent="0.25">
      <c r="D699" s="96"/>
      <c r="L699" s="293"/>
      <c r="M699" s="293"/>
      <c r="N699" s="293"/>
      <c r="P699" s="293"/>
      <c r="Q699" s="293"/>
      <c r="R699" s="293"/>
      <c r="S699" s="293"/>
    </row>
    <row r="700" spans="3:21" x14ac:dyDescent="0.25">
      <c r="E700" s="144" t="s">
        <v>199</v>
      </c>
      <c r="I700" s="111" t="s">
        <v>359</v>
      </c>
      <c r="J700" s="237"/>
      <c r="K700" s="237"/>
      <c r="L700" s="237"/>
      <c r="M700" s="237"/>
      <c r="N700" s="237"/>
      <c r="O700" s="237"/>
      <c r="P700" s="237"/>
      <c r="Q700" s="237"/>
      <c r="R700" s="237"/>
      <c r="S700" s="237"/>
      <c r="U700" s="85" t="s">
        <v>692</v>
      </c>
    </row>
    <row r="701" spans="3:21" x14ac:dyDescent="0.25">
      <c r="F701" s="91" t="s">
        <v>926</v>
      </c>
      <c r="G701" s="91" t="s">
        <v>120</v>
      </c>
      <c r="H701" s="91" t="s">
        <v>479</v>
      </c>
      <c r="I701" s="112"/>
      <c r="J701" s="238"/>
      <c r="K701" s="232"/>
      <c r="L701" s="238"/>
      <c r="M701" s="238"/>
      <c r="N701" s="238"/>
      <c r="O701" s="238"/>
      <c r="P701" s="238"/>
      <c r="Q701" s="238"/>
      <c r="R701" s="238"/>
      <c r="S701" s="238"/>
    </row>
    <row r="702" spans="3:21" x14ac:dyDescent="0.25">
      <c r="F702" s="196" t="s">
        <v>927</v>
      </c>
      <c r="G702" s="196" t="s">
        <v>120</v>
      </c>
      <c r="H702" s="196" t="s">
        <v>479</v>
      </c>
      <c r="I702" s="66"/>
      <c r="J702" s="233">
        <f t="shared" ref="J702:J705" si="61">CHOOSE(year_selection, L702,M702,N702,O702,P702,Q702,R702,S702)</f>
        <v>0</v>
      </c>
      <c r="K702" s="234"/>
      <c r="L702" s="330"/>
      <c r="M702" s="330"/>
      <c r="N702" s="330"/>
      <c r="O702" s="330">
        <v>0</v>
      </c>
      <c r="P702" s="330">
        <v>0</v>
      </c>
      <c r="Q702" s="330">
        <v>0</v>
      </c>
      <c r="R702" s="330">
        <v>0</v>
      </c>
      <c r="S702" s="330">
        <v>0</v>
      </c>
    </row>
    <row r="703" spans="3:21" x14ac:dyDescent="0.25">
      <c r="F703" s="196" t="s">
        <v>928</v>
      </c>
      <c r="G703" s="196" t="s">
        <v>120</v>
      </c>
      <c r="H703" s="196" t="s">
        <v>479</v>
      </c>
      <c r="I703" s="66"/>
      <c r="J703" s="233">
        <f t="shared" si="61"/>
        <v>3.0375372524205455E-2</v>
      </c>
      <c r="K703" s="234"/>
      <c r="L703" s="330"/>
      <c r="M703" s="330"/>
      <c r="N703" s="330"/>
      <c r="O703" s="330">
        <v>3.0375372524205455E-2</v>
      </c>
      <c r="P703" s="330">
        <v>3.2546011535702322E-2</v>
      </c>
      <c r="Q703" s="330">
        <v>3.3875101872647612E-2</v>
      </c>
      <c r="R703" s="330">
        <v>3.4891206349652336E-2</v>
      </c>
      <c r="S703" s="330">
        <v>3.5907310826657046E-2</v>
      </c>
    </row>
    <row r="704" spans="3:21" x14ac:dyDescent="0.25">
      <c r="F704" s="196" t="s">
        <v>929</v>
      </c>
      <c r="G704" s="196" t="s">
        <v>120</v>
      </c>
      <c r="H704" s="196" t="s">
        <v>479</v>
      </c>
      <c r="I704" s="66"/>
      <c r="J704" s="233">
        <f t="shared" si="61"/>
        <v>29.268702844790479</v>
      </c>
      <c r="K704" s="234"/>
      <c r="L704" s="330"/>
      <c r="M704" s="330"/>
      <c r="N704" s="330"/>
      <c r="O704" s="330">
        <v>29.268702844790479</v>
      </c>
      <c r="P704" s="330">
        <v>29.268702844790479</v>
      </c>
      <c r="Q704" s="330">
        <v>29.268702844790479</v>
      </c>
      <c r="R704" s="330">
        <v>29.268702844790479</v>
      </c>
      <c r="S704" s="330">
        <v>29.268702844790479</v>
      </c>
    </row>
    <row r="705" spans="5:19" x14ac:dyDescent="0.25">
      <c r="F705" s="196" t="s">
        <v>930</v>
      </c>
      <c r="G705" s="196" t="s">
        <v>120</v>
      </c>
      <c r="H705" s="196" t="s">
        <v>479</v>
      </c>
      <c r="I705" s="66"/>
      <c r="J705" s="233">
        <f t="shared" si="61"/>
        <v>0.31107049755657146</v>
      </c>
      <c r="K705" s="234"/>
      <c r="L705" s="330"/>
      <c r="M705" s="330"/>
      <c r="N705" s="330"/>
      <c r="O705" s="330">
        <v>0.31107049755657146</v>
      </c>
      <c r="P705" s="330">
        <v>0.31821205218689602</v>
      </c>
      <c r="Q705" s="330">
        <v>0.34336280895005244</v>
      </c>
      <c r="R705" s="330">
        <v>0.36851356571320887</v>
      </c>
      <c r="S705" s="330">
        <v>0.39366432247636529</v>
      </c>
    </row>
    <row r="706" spans="5:19" x14ac:dyDescent="0.25">
      <c r="F706" s="196" t="s">
        <v>931</v>
      </c>
      <c r="G706" s="196" t="s">
        <v>120</v>
      </c>
      <c r="H706" s="196" t="s">
        <v>479</v>
      </c>
      <c r="I706" s="66"/>
      <c r="J706" s="239"/>
      <c r="K706" s="234"/>
      <c r="L706" s="239"/>
      <c r="M706" s="239"/>
      <c r="N706" s="239"/>
      <c r="O706" s="239"/>
      <c r="P706" s="239"/>
      <c r="Q706" s="239"/>
      <c r="R706" s="239"/>
      <c r="S706" s="239"/>
    </row>
    <row r="707" spans="5:19" x14ac:dyDescent="0.25">
      <c r="F707" s="196" t="s">
        <v>932</v>
      </c>
      <c r="G707" s="196" t="s">
        <v>120</v>
      </c>
      <c r="H707" s="196" t="s">
        <v>479</v>
      </c>
      <c r="I707" s="66"/>
      <c r="J707" s="239"/>
      <c r="K707" s="234"/>
      <c r="L707" s="239"/>
      <c r="M707" s="239"/>
      <c r="N707" s="239"/>
      <c r="O707" s="239"/>
      <c r="P707" s="239"/>
      <c r="Q707" s="239"/>
      <c r="R707" s="239"/>
      <c r="S707" s="239"/>
    </row>
    <row r="708" spans="5:19" x14ac:dyDescent="0.25">
      <c r="F708" s="196" t="s">
        <v>933</v>
      </c>
      <c r="G708" s="196" t="s">
        <v>120</v>
      </c>
      <c r="H708" s="196" t="s">
        <v>479</v>
      </c>
      <c r="I708" s="66"/>
      <c r="J708" s="239"/>
      <c r="K708" s="234"/>
      <c r="L708" s="239"/>
      <c r="M708" s="239"/>
      <c r="N708" s="239"/>
      <c r="O708" s="239"/>
      <c r="P708" s="239"/>
      <c r="Q708" s="239"/>
      <c r="R708" s="239"/>
      <c r="S708" s="239"/>
    </row>
    <row r="709" spans="5:19" x14ac:dyDescent="0.25">
      <c r="F709" s="196" t="s">
        <v>934</v>
      </c>
      <c r="G709" s="196" t="s">
        <v>120</v>
      </c>
      <c r="H709" s="196" t="s">
        <v>479</v>
      </c>
      <c r="I709" s="66"/>
      <c r="J709" s="233">
        <f t="shared" ref="J709:J711" si="62">CHOOSE(year_selection, L709,M709,N709,O709,P709,Q709,R709,S709)</f>
        <v>26.613504917281357</v>
      </c>
      <c r="K709" s="234"/>
      <c r="L709" s="330"/>
      <c r="M709" s="330"/>
      <c r="N709" s="330"/>
      <c r="O709" s="330">
        <v>26.613504917281357</v>
      </c>
      <c r="P709" s="330">
        <v>26.613504917281357</v>
      </c>
      <c r="Q709" s="330">
        <v>26.613504917281357</v>
      </c>
      <c r="R709" s="330">
        <v>26.613504917281357</v>
      </c>
      <c r="S709" s="330">
        <v>26.613504917281357</v>
      </c>
    </row>
    <row r="710" spans="5:19" x14ac:dyDescent="0.25">
      <c r="F710" s="196" t="s">
        <v>935</v>
      </c>
      <c r="G710" s="196" t="s">
        <v>120</v>
      </c>
      <c r="H710" s="196" t="s">
        <v>479</v>
      </c>
      <c r="I710" s="66"/>
      <c r="J710" s="239"/>
      <c r="K710" s="234"/>
      <c r="L710" s="239"/>
      <c r="M710" s="239"/>
      <c r="N710" s="239"/>
      <c r="O710" s="239"/>
      <c r="P710" s="239"/>
      <c r="Q710" s="239"/>
      <c r="R710" s="239"/>
      <c r="S710" s="239"/>
    </row>
    <row r="711" spans="5:19" x14ac:dyDescent="0.25">
      <c r="F711" s="196" t="s">
        <v>936</v>
      </c>
      <c r="G711" s="196" t="s">
        <v>120</v>
      </c>
      <c r="H711" s="196" t="s">
        <v>479</v>
      </c>
      <c r="I711" s="66"/>
      <c r="J711" s="233">
        <f t="shared" si="62"/>
        <v>0</v>
      </c>
      <c r="K711" s="234"/>
      <c r="L711" s="330"/>
      <c r="M711" s="330"/>
      <c r="N711" s="330"/>
      <c r="O711" s="330">
        <v>0</v>
      </c>
      <c r="P711" s="330">
        <v>0</v>
      </c>
      <c r="Q711" s="330">
        <v>0</v>
      </c>
      <c r="R711" s="330">
        <v>0</v>
      </c>
      <c r="S711" s="330">
        <v>0</v>
      </c>
    </row>
    <row r="712" spans="5:19" x14ac:dyDescent="0.25">
      <c r="F712" s="196" t="s">
        <v>937</v>
      </c>
      <c r="G712" s="196" t="s">
        <v>120</v>
      </c>
      <c r="H712" s="196" t="s">
        <v>479</v>
      </c>
      <c r="I712" s="66"/>
      <c r="J712" s="239"/>
      <c r="K712" s="234"/>
      <c r="L712" s="239"/>
      <c r="M712" s="239"/>
      <c r="N712" s="239"/>
      <c r="O712" s="239"/>
      <c r="P712" s="239"/>
      <c r="Q712" s="239"/>
      <c r="R712" s="239"/>
      <c r="S712" s="239"/>
    </row>
    <row r="713" spans="5:19" x14ac:dyDescent="0.25">
      <c r="F713" s="196" t="s">
        <v>938</v>
      </c>
      <c r="G713" s="196" t="s">
        <v>120</v>
      </c>
      <c r="H713" s="196" t="s">
        <v>479</v>
      </c>
      <c r="I713" s="66"/>
      <c r="J713" s="239"/>
      <c r="K713" s="234"/>
      <c r="L713" s="239"/>
      <c r="M713" s="239"/>
      <c r="N713" s="239"/>
      <c r="O713" s="239"/>
      <c r="P713" s="239"/>
      <c r="Q713" s="239"/>
      <c r="R713" s="239"/>
      <c r="S713" s="239"/>
    </row>
    <row r="714" spans="5:19" x14ac:dyDescent="0.25">
      <c r="F714" s="196" t="s">
        <v>939</v>
      </c>
      <c r="G714" s="196" t="s">
        <v>120</v>
      </c>
      <c r="H714" s="196" t="s">
        <v>479</v>
      </c>
      <c r="I714" s="66"/>
      <c r="J714" s="239"/>
      <c r="K714" s="234"/>
      <c r="L714" s="239"/>
      <c r="M714" s="239"/>
      <c r="N714" s="239"/>
      <c r="O714" s="239"/>
      <c r="P714" s="239"/>
      <c r="Q714" s="239"/>
      <c r="R714" s="239"/>
      <c r="S714" s="239"/>
    </row>
    <row r="715" spans="5:19" x14ac:dyDescent="0.25">
      <c r="F715" s="196" t="s">
        <v>940</v>
      </c>
      <c r="G715" s="196" t="s">
        <v>120</v>
      </c>
      <c r="H715" s="196" t="s">
        <v>479</v>
      </c>
      <c r="I715" s="66"/>
      <c r="J715" s="239"/>
      <c r="K715" s="234"/>
      <c r="L715" s="239"/>
      <c r="M715" s="239"/>
      <c r="N715" s="239"/>
      <c r="O715" s="239"/>
      <c r="P715" s="239"/>
      <c r="Q715" s="239"/>
      <c r="R715" s="239"/>
      <c r="S715" s="239"/>
    </row>
    <row r="716" spans="5:19" x14ac:dyDescent="0.25">
      <c r="F716" s="93" t="s">
        <v>941</v>
      </c>
      <c r="G716" s="93" t="s">
        <v>120</v>
      </c>
      <c r="H716" s="93" t="s">
        <v>479</v>
      </c>
      <c r="I716" s="145"/>
      <c r="J716" s="240"/>
      <c r="K716" s="236"/>
      <c r="L716" s="240"/>
      <c r="M716" s="240"/>
      <c r="N716" s="240"/>
      <c r="O716" s="240"/>
      <c r="P716" s="240"/>
      <c r="Q716" s="240"/>
      <c r="R716" s="240"/>
      <c r="S716" s="240"/>
    </row>
    <row r="717" spans="5:19" x14ac:dyDescent="0.25">
      <c r="J717" s="237"/>
      <c r="K717" s="237"/>
      <c r="L717" s="237"/>
      <c r="M717" s="237"/>
      <c r="N717" s="237"/>
      <c r="O717" s="237"/>
      <c r="P717" s="237"/>
      <c r="Q717" s="237"/>
      <c r="R717" s="237"/>
      <c r="S717" s="237"/>
    </row>
    <row r="718" spans="5:19" x14ac:dyDescent="0.25">
      <c r="E718" s="144" t="s">
        <v>200</v>
      </c>
      <c r="J718" s="237"/>
      <c r="K718" s="237"/>
      <c r="L718" s="237"/>
      <c r="M718" s="237"/>
      <c r="N718" s="237"/>
      <c r="O718" s="237"/>
      <c r="P718" s="237"/>
      <c r="Q718" s="237"/>
      <c r="R718" s="237"/>
      <c r="S718" s="237"/>
    </row>
    <row r="719" spans="5:19" x14ac:dyDescent="0.25">
      <c r="F719" s="91" t="s">
        <v>926</v>
      </c>
      <c r="G719" s="91" t="s">
        <v>120</v>
      </c>
      <c r="H719" s="91" t="s">
        <v>479</v>
      </c>
      <c r="I719" s="112"/>
      <c r="J719" s="238"/>
      <c r="K719" s="232"/>
      <c r="L719" s="238"/>
      <c r="M719" s="238"/>
      <c r="N719" s="238"/>
      <c r="O719" s="238"/>
      <c r="P719" s="238"/>
      <c r="Q719" s="238"/>
      <c r="R719" s="238"/>
      <c r="S719" s="238"/>
    </row>
    <row r="720" spans="5:19" x14ac:dyDescent="0.25">
      <c r="F720" s="196" t="s">
        <v>927</v>
      </c>
      <c r="G720" s="196" t="s">
        <v>120</v>
      </c>
      <c r="H720" s="196" t="s">
        <v>479</v>
      </c>
      <c r="I720" s="66"/>
      <c r="J720" s="233">
        <f t="shared" ref="J720:J723" si="63">CHOOSE(year_selection, L720,M720,N720,O720,P720,Q720,R720,S720)</f>
        <v>0</v>
      </c>
      <c r="K720" s="234"/>
      <c r="L720" s="330"/>
      <c r="M720" s="330"/>
      <c r="N720" s="330"/>
      <c r="O720" s="330">
        <v>0</v>
      </c>
      <c r="P720" s="330">
        <v>0</v>
      </c>
      <c r="Q720" s="330">
        <v>0</v>
      </c>
      <c r="R720" s="330">
        <v>0</v>
      </c>
      <c r="S720" s="330">
        <v>0</v>
      </c>
    </row>
    <row r="721" spans="5:19" x14ac:dyDescent="0.25">
      <c r="F721" s="196" t="s">
        <v>928</v>
      </c>
      <c r="G721" s="196" t="s">
        <v>120</v>
      </c>
      <c r="H721" s="196" t="s">
        <v>479</v>
      </c>
      <c r="I721" s="66"/>
      <c r="J721" s="233">
        <f t="shared" si="63"/>
        <v>0.19289983188688145</v>
      </c>
      <c r="K721" s="234"/>
      <c r="L721" s="330"/>
      <c r="M721" s="330"/>
      <c r="N721" s="330"/>
      <c r="O721" s="330">
        <v>0.19289983188688145</v>
      </c>
      <c r="P721" s="330">
        <v>0.20716047678608737</v>
      </c>
      <c r="Q721" s="330">
        <v>0.21581139663189078</v>
      </c>
      <c r="R721" s="330">
        <v>0.22233660000027211</v>
      </c>
      <c r="S721" s="330">
        <v>0.22886180336865344</v>
      </c>
    </row>
    <row r="722" spans="5:19" x14ac:dyDescent="0.25">
      <c r="F722" s="196" t="s">
        <v>929</v>
      </c>
      <c r="G722" s="196" t="s">
        <v>120</v>
      </c>
      <c r="H722" s="196" t="s">
        <v>479</v>
      </c>
      <c r="I722" s="66"/>
      <c r="J722" s="233">
        <f t="shared" si="63"/>
        <v>179.17889035465157</v>
      </c>
      <c r="K722" s="234"/>
      <c r="L722" s="330"/>
      <c r="M722" s="330"/>
      <c r="N722" s="330"/>
      <c r="O722" s="330">
        <v>179.17889035465157</v>
      </c>
      <c r="P722" s="330">
        <v>179.17889035465157</v>
      </c>
      <c r="Q722" s="330">
        <v>179.17889035465157</v>
      </c>
      <c r="R722" s="330">
        <v>179.17889035465157</v>
      </c>
      <c r="S722" s="330">
        <v>179.17889035465157</v>
      </c>
    </row>
    <row r="723" spans="5:19" x14ac:dyDescent="0.25">
      <c r="F723" s="196" t="s">
        <v>930</v>
      </c>
      <c r="G723" s="196" t="s">
        <v>120</v>
      </c>
      <c r="H723" s="196" t="s">
        <v>479</v>
      </c>
      <c r="I723" s="66"/>
      <c r="J723" s="233">
        <f t="shared" si="63"/>
        <v>1.8226331011284325</v>
      </c>
      <c r="K723" s="234"/>
      <c r="L723" s="330"/>
      <c r="M723" s="330"/>
      <c r="N723" s="330"/>
      <c r="O723" s="330">
        <v>1.8226331011284325</v>
      </c>
      <c r="P723" s="330">
        <v>1.864483957105797</v>
      </c>
      <c r="Q723" s="330">
        <v>2.011854842112089</v>
      </c>
      <c r="R723" s="330">
        <v>2.1592257271183803</v>
      </c>
      <c r="S723" s="330">
        <v>2.3065966121246722</v>
      </c>
    </row>
    <row r="724" spans="5:19" x14ac:dyDescent="0.25">
      <c r="F724" s="196" t="s">
        <v>931</v>
      </c>
      <c r="G724" s="196" t="s">
        <v>120</v>
      </c>
      <c r="H724" s="196" t="s">
        <v>479</v>
      </c>
      <c r="I724" s="66"/>
      <c r="J724" s="239"/>
      <c r="K724" s="234"/>
      <c r="L724" s="239"/>
      <c r="M724" s="239"/>
      <c r="N724" s="239"/>
      <c r="O724" s="239"/>
      <c r="P724" s="239"/>
      <c r="Q724" s="239"/>
      <c r="R724" s="239"/>
      <c r="S724" s="239"/>
    </row>
    <row r="725" spans="5:19" x14ac:dyDescent="0.25">
      <c r="F725" s="196" t="s">
        <v>932</v>
      </c>
      <c r="G725" s="196" t="s">
        <v>120</v>
      </c>
      <c r="H725" s="196" t="s">
        <v>479</v>
      </c>
      <c r="I725" s="66"/>
      <c r="J725" s="239"/>
      <c r="K725" s="234"/>
      <c r="L725" s="239"/>
      <c r="M725" s="239"/>
      <c r="N725" s="239"/>
      <c r="O725" s="239"/>
      <c r="P725" s="239"/>
      <c r="Q725" s="239"/>
      <c r="R725" s="239"/>
      <c r="S725" s="239"/>
    </row>
    <row r="726" spans="5:19" x14ac:dyDescent="0.25">
      <c r="F726" s="196" t="s">
        <v>933</v>
      </c>
      <c r="G726" s="196" t="s">
        <v>120</v>
      </c>
      <c r="H726" s="196" t="s">
        <v>479</v>
      </c>
      <c r="I726" s="66"/>
      <c r="J726" s="239"/>
      <c r="K726" s="234"/>
      <c r="L726" s="239"/>
      <c r="M726" s="239"/>
      <c r="N726" s="239"/>
      <c r="O726" s="239"/>
      <c r="P726" s="239"/>
      <c r="Q726" s="239"/>
      <c r="R726" s="239"/>
      <c r="S726" s="239"/>
    </row>
    <row r="727" spans="5:19" x14ac:dyDescent="0.25">
      <c r="F727" s="196" t="s">
        <v>934</v>
      </c>
      <c r="G727" s="196" t="s">
        <v>120</v>
      </c>
      <c r="H727" s="196" t="s">
        <v>479</v>
      </c>
      <c r="I727" s="66"/>
      <c r="J727" s="233">
        <f t="shared" ref="J727" si="64">CHOOSE(year_selection, L727,M727,N727,O727,P727,Q727,R727,S727)</f>
        <v>222.99704050037963</v>
      </c>
      <c r="K727" s="234"/>
      <c r="L727" s="330"/>
      <c r="M727" s="330"/>
      <c r="N727" s="330"/>
      <c r="O727" s="330">
        <v>222.99704050037963</v>
      </c>
      <c r="P727" s="330">
        <v>222.99704050037963</v>
      </c>
      <c r="Q727" s="330">
        <v>222.99704050037963</v>
      </c>
      <c r="R727" s="330">
        <v>222.99704050037963</v>
      </c>
      <c r="S727" s="330">
        <v>222.99704050037963</v>
      </c>
    </row>
    <row r="728" spans="5:19" x14ac:dyDescent="0.25">
      <c r="F728" s="196" t="s">
        <v>935</v>
      </c>
      <c r="G728" s="196" t="s">
        <v>120</v>
      </c>
      <c r="H728" s="196" t="s">
        <v>479</v>
      </c>
      <c r="I728" s="66"/>
      <c r="J728" s="239"/>
      <c r="K728" s="234"/>
      <c r="L728" s="239"/>
      <c r="M728" s="239"/>
      <c r="N728" s="239"/>
      <c r="O728" s="239"/>
      <c r="P728" s="239"/>
      <c r="Q728" s="239"/>
      <c r="R728" s="239"/>
      <c r="S728" s="239"/>
    </row>
    <row r="729" spans="5:19" x14ac:dyDescent="0.25">
      <c r="F729" s="196" t="s">
        <v>936</v>
      </c>
      <c r="G729" s="196" t="s">
        <v>120</v>
      </c>
      <c r="H729" s="196" t="s">
        <v>479</v>
      </c>
      <c r="I729" s="66"/>
      <c r="J729" s="233">
        <f t="shared" ref="J729" si="65">CHOOSE(year_selection, L729,M729,N729,O729,P729,Q729,R729,S729)</f>
        <v>0</v>
      </c>
      <c r="K729" s="234"/>
      <c r="L729" s="330"/>
      <c r="M729" s="330"/>
      <c r="N729" s="330"/>
      <c r="O729" s="330">
        <v>0</v>
      </c>
      <c r="P729" s="330">
        <v>0</v>
      </c>
      <c r="Q729" s="330">
        <v>0</v>
      </c>
      <c r="R729" s="330">
        <v>0</v>
      </c>
      <c r="S729" s="330">
        <v>0</v>
      </c>
    </row>
    <row r="730" spans="5:19" x14ac:dyDescent="0.25">
      <c r="F730" s="196" t="s">
        <v>937</v>
      </c>
      <c r="G730" s="196" t="s">
        <v>120</v>
      </c>
      <c r="H730" s="196" t="s">
        <v>479</v>
      </c>
      <c r="I730" s="66"/>
      <c r="J730" s="239"/>
      <c r="K730" s="234"/>
      <c r="L730" s="239"/>
      <c r="M730" s="239"/>
      <c r="N730" s="239"/>
      <c r="O730" s="239"/>
      <c r="P730" s="239"/>
      <c r="Q730" s="239"/>
      <c r="R730" s="239"/>
      <c r="S730" s="239"/>
    </row>
    <row r="731" spans="5:19" x14ac:dyDescent="0.25">
      <c r="F731" s="196" t="s">
        <v>938</v>
      </c>
      <c r="G731" s="196" t="s">
        <v>120</v>
      </c>
      <c r="H731" s="196" t="s">
        <v>479</v>
      </c>
      <c r="I731" s="66"/>
      <c r="J731" s="239"/>
      <c r="K731" s="234"/>
      <c r="L731" s="239"/>
      <c r="M731" s="239"/>
      <c r="N731" s="239"/>
      <c r="O731" s="239"/>
      <c r="P731" s="239"/>
      <c r="Q731" s="239"/>
      <c r="R731" s="239"/>
      <c r="S731" s="239"/>
    </row>
    <row r="732" spans="5:19" x14ac:dyDescent="0.25">
      <c r="F732" s="196" t="s">
        <v>939</v>
      </c>
      <c r="G732" s="196" t="s">
        <v>120</v>
      </c>
      <c r="H732" s="196" t="s">
        <v>479</v>
      </c>
      <c r="I732" s="66"/>
      <c r="J732" s="239"/>
      <c r="K732" s="234"/>
      <c r="L732" s="239"/>
      <c r="M732" s="239"/>
      <c r="N732" s="239"/>
      <c r="O732" s="239"/>
      <c r="P732" s="239"/>
      <c r="Q732" s="239"/>
      <c r="R732" s="239"/>
      <c r="S732" s="239"/>
    </row>
    <row r="733" spans="5:19" x14ac:dyDescent="0.25">
      <c r="F733" s="196" t="s">
        <v>940</v>
      </c>
      <c r="G733" s="196" t="s">
        <v>120</v>
      </c>
      <c r="H733" s="196" t="s">
        <v>479</v>
      </c>
      <c r="I733" s="66"/>
      <c r="J733" s="239"/>
      <c r="K733" s="234"/>
      <c r="L733" s="239"/>
      <c r="M733" s="239"/>
      <c r="N733" s="239"/>
      <c r="O733" s="239"/>
      <c r="P733" s="239"/>
      <c r="Q733" s="239"/>
      <c r="R733" s="239"/>
      <c r="S733" s="239"/>
    </row>
    <row r="734" spans="5:19" x14ac:dyDescent="0.25">
      <c r="F734" s="93" t="s">
        <v>941</v>
      </c>
      <c r="G734" s="93" t="s">
        <v>120</v>
      </c>
      <c r="H734" s="93" t="s">
        <v>479</v>
      </c>
      <c r="I734" s="145"/>
      <c r="J734" s="240"/>
      <c r="K734" s="236"/>
      <c r="L734" s="240"/>
      <c r="M734" s="240"/>
      <c r="N734" s="240"/>
      <c r="O734" s="240"/>
      <c r="P734" s="240"/>
      <c r="Q734" s="240"/>
      <c r="R734" s="240"/>
      <c r="S734" s="240"/>
    </row>
    <row r="735" spans="5:19" x14ac:dyDescent="0.25">
      <c r="J735" s="237"/>
      <c r="K735" s="237"/>
      <c r="L735" s="237"/>
      <c r="M735" s="237"/>
      <c r="N735" s="237"/>
      <c r="O735" s="237"/>
      <c r="P735" s="237"/>
      <c r="Q735" s="237"/>
      <c r="R735" s="237"/>
      <c r="S735" s="237"/>
    </row>
    <row r="736" spans="5:19" x14ac:dyDescent="0.25">
      <c r="E736" s="144" t="s">
        <v>201</v>
      </c>
      <c r="J736" s="237"/>
      <c r="K736" s="237"/>
      <c r="L736" s="237"/>
      <c r="M736" s="237"/>
      <c r="N736" s="237"/>
      <c r="O736" s="237"/>
      <c r="P736" s="237"/>
      <c r="Q736" s="237"/>
      <c r="R736" s="237"/>
      <c r="S736" s="237"/>
    </row>
    <row r="737" spans="6:19" x14ac:dyDescent="0.25">
      <c r="F737" s="91" t="s">
        <v>926</v>
      </c>
      <c r="G737" s="91" t="s">
        <v>120</v>
      </c>
      <c r="H737" s="91" t="s">
        <v>479</v>
      </c>
      <c r="I737" s="112"/>
      <c r="J737" s="238"/>
      <c r="K737" s="232"/>
      <c r="L737" s="238"/>
      <c r="M737" s="238"/>
      <c r="N737" s="238"/>
      <c r="O737" s="238"/>
      <c r="P737" s="238"/>
      <c r="Q737" s="238"/>
      <c r="R737" s="238"/>
      <c r="S737" s="238"/>
    </row>
    <row r="738" spans="6:19" x14ac:dyDescent="0.25">
      <c r="F738" s="196" t="s">
        <v>927</v>
      </c>
      <c r="G738" s="196" t="s">
        <v>120</v>
      </c>
      <c r="H738" s="196" t="s">
        <v>479</v>
      </c>
      <c r="I738" s="66"/>
      <c r="J738" s="233">
        <f t="shared" ref="J738:J741" si="66">CHOOSE(year_selection, L738,M738,N738,O738,P738,Q738,R738,S738)</f>
        <v>0</v>
      </c>
      <c r="K738" s="234"/>
      <c r="L738" s="330"/>
      <c r="M738" s="330"/>
      <c r="N738" s="330"/>
      <c r="O738" s="330">
        <v>0</v>
      </c>
      <c r="P738" s="330">
        <v>0</v>
      </c>
      <c r="Q738" s="330">
        <v>0</v>
      </c>
      <c r="R738" s="330">
        <v>0</v>
      </c>
      <c r="S738" s="330">
        <v>0</v>
      </c>
    </row>
    <row r="739" spans="6:19" x14ac:dyDescent="0.25">
      <c r="F739" s="196" t="s">
        <v>928</v>
      </c>
      <c r="G739" s="196" t="s">
        <v>120</v>
      </c>
      <c r="H739" s="196" t="s">
        <v>479</v>
      </c>
      <c r="I739" s="66"/>
      <c r="J739" s="233">
        <f t="shared" si="66"/>
        <v>8.6786395358914928E-2</v>
      </c>
      <c r="K739" s="234"/>
      <c r="L739" s="330"/>
      <c r="M739" s="330"/>
      <c r="N739" s="330"/>
      <c r="O739" s="330">
        <v>8.6786395358914928E-2</v>
      </c>
      <c r="P739" s="330">
        <v>9.3179522470747886E-2</v>
      </c>
      <c r="Q739" s="330">
        <v>9.7062377064557143E-2</v>
      </c>
      <c r="R739" s="330">
        <v>9.9997735230702295E-2</v>
      </c>
      <c r="S739" s="330">
        <v>0.10293309339684745</v>
      </c>
    </row>
    <row r="740" spans="6:19" x14ac:dyDescent="0.25">
      <c r="F740" s="196" t="s">
        <v>929</v>
      </c>
      <c r="G740" s="196" t="s">
        <v>120</v>
      </c>
      <c r="H740" s="196" t="s">
        <v>479</v>
      </c>
      <c r="I740" s="66"/>
      <c r="J740" s="233">
        <f t="shared" si="66"/>
        <v>94.027914478237506</v>
      </c>
      <c r="K740" s="234"/>
      <c r="L740" s="330"/>
      <c r="M740" s="330"/>
      <c r="N740" s="330"/>
      <c r="O740" s="330">
        <v>94.027914478237506</v>
      </c>
      <c r="P740" s="330">
        <v>94.027914478237506</v>
      </c>
      <c r="Q740" s="330">
        <v>94.027914478237506</v>
      </c>
      <c r="R740" s="330">
        <v>94.027914478237506</v>
      </c>
      <c r="S740" s="330">
        <v>94.027914478237506</v>
      </c>
    </row>
    <row r="741" spans="6:19" x14ac:dyDescent="0.25">
      <c r="F741" s="196" t="s">
        <v>930</v>
      </c>
      <c r="G741" s="196" t="s">
        <v>120</v>
      </c>
      <c r="H741" s="196" t="s">
        <v>479</v>
      </c>
      <c r="I741" s="66"/>
      <c r="J741" s="233">
        <f t="shared" si="66"/>
        <v>1.0806857353958756</v>
      </c>
      <c r="K741" s="234"/>
      <c r="L741" s="330"/>
      <c r="M741" s="330"/>
      <c r="N741" s="330"/>
      <c r="O741" s="330">
        <v>1.0806857353958756</v>
      </c>
      <c r="P741" s="330">
        <v>1.1055133127504309</v>
      </c>
      <c r="Q741" s="330">
        <v>1.1929064114375683</v>
      </c>
      <c r="R741" s="330">
        <v>1.2802995101247054</v>
      </c>
      <c r="S741" s="330">
        <v>1.3676926088118424</v>
      </c>
    </row>
    <row r="742" spans="6:19" x14ac:dyDescent="0.25">
      <c r="F742" s="196" t="s">
        <v>931</v>
      </c>
      <c r="G742" s="196" t="s">
        <v>120</v>
      </c>
      <c r="H742" s="196" t="s">
        <v>479</v>
      </c>
      <c r="I742" s="66"/>
      <c r="J742" s="239"/>
      <c r="K742" s="234"/>
      <c r="L742" s="239"/>
      <c r="M742" s="239"/>
      <c r="N742" s="239"/>
      <c r="O742" s="239"/>
      <c r="P742" s="239"/>
      <c r="Q742" s="239"/>
      <c r="R742" s="239"/>
      <c r="S742" s="239"/>
    </row>
    <row r="743" spans="6:19" x14ac:dyDescent="0.25">
      <c r="F743" s="196" t="s">
        <v>932</v>
      </c>
      <c r="G743" s="196" t="s">
        <v>120</v>
      </c>
      <c r="H743" s="196" t="s">
        <v>479</v>
      </c>
      <c r="I743" s="66"/>
      <c r="J743" s="239"/>
      <c r="K743" s="234"/>
      <c r="L743" s="239"/>
      <c r="M743" s="239"/>
      <c r="N743" s="239"/>
      <c r="O743" s="239"/>
      <c r="P743" s="239"/>
      <c r="Q743" s="239"/>
      <c r="R743" s="239"/>
      <c r="S743" s="239"/>
    </row>
    <row r="744" spans="6:19" x14ac:dyDescent="0.25">
      <c r="F744" s="196" t="s">
        <v>933</v>
      </c>
      <c r="G744" s="196" t="s">
        <v>120</v>
      </c>
      <c r="H744" s="196" t="s">
        <v>479</v>
      </c>
      <c r="I744" s="66"/>
      <c r="J744" s="239"/>
      <c r="K744" s="234"/>
      <c r="L744" s="239"/>
      <c r="M744" s="239"/>
      <c r="N744" s="239"/>
      <c r="O744" s="239"/>
      <c r="P744" s="239"/>
      <c r="Q744" s="239"/>
      <c r="R744" s="239"/>
      <c r="S744" s="239"/>
    </row>
    <row r="745" spans="6:19" x14ac:dyDescent="0.25">
      <c r="F745" s="196" t="s">
        <v>934</v>
      </c>
      <c r="G745" s="196" t="s">
        <v>120</v>
      </c>
      <c r="H745" s="196" t="s">
        <v>479</v>
      </c>
      <c r="I745" s="66"/>
      <c r="J745" s="233">
        <f t="shared" ref="J745" si="67">CHOOSE(year_selection, L745,M745,N745,O745,P745,Q745,R745,S745)</f>
        <v>20.758512136782162</v>
      </c>
      <c r="K745" s="234"/>
      <c r="L745" s="330"/>
      <c r="M745" s="330"/>
      <c r="N745" s="330"/>
      <c r="O745" s="330">
        <v>20.758512136782162</v>
      </c>
      <c r="P745" s="330">
        <v>20.758512136782162</v>
      </c>
      <c r="Q745" s="330">
        <v>20.758512136782162</v>
      </c>
      <c r="R745" s="330">
        <v>20.758512136782162</v>
      </c>
      <c r="S745" s="330">
        <v>20.758512136782162</v>
      </c>
    </row>
    <row r="746" spans="6:19" x14ac:dyDescent="0.25">
      <c r="F746" s="196" t="s">
        <v>935</v>
      </c>
      <c r="G746" s="196" t="s">
        <v>120</v>
      </c>
      <c r="H746" s="196" t="s">
        <v>479</v>
      </c>
      <c r="I746" s="66"/>
      <c r="J746" s="239"/>
      <c r="K746" s="234"/>
      <c r="L746" s="239"/>
      <c r="M746" s="239"/>
      <c r="N746" s="239"/>
      <c r="O746" s="239"/>
      <c r="P746" s="239"/>
      <c r="Q746" s="239"/>
      <c r="R746" s="239"/>
      <c r="S746" s="239"/>
    </row>
    <row r="747" spans="6:19" x14ac:dyDescent="0.25">
      <c r="F747" s="196" t="s">
        <v>936</v>
      </c>
      <c r="G747" s="196" t="s">
        <v>120</v>
      </c>
      <c r="H747" s="196" t="s">
        <v>479</v>
      </c>
      <c r="I747" s="66"/>
      <c r="J747" s="233">
        <f t="shared" ref="J747" si="68">CHOOSE(year_selection, L747,M747,N747,O747,P747,Q747,R747,S747)</f>
        <v>0</v>
      </c>
      <c r="K747" s="234"/>
      <c r="L747" s="330"/>
      <c r="M747" s="330"/>
      <c r="N747" s="330"/>
      <c r="O747" s="330">
        <v>0</v>
      </c>
      <c r="P747" s="330">
        <v>0</v>
      </c>
      <c r="Q747" s="330">
        <v>0</v>
      </c>
      <c r="R747" s="330">
        <v>0</v>
      </c>
      <c r="S747" s="330">
        <v>0</v>
      </c>
    </row>
    <row r="748" spans="6:19" x14ac:dyDescent="0.25">
      <c r="F748" s="196" t="s">
        <v>937</v>
      </c>
      <c r="G748" s="196" t="s">
        <v>120</v>
      </c>
      <c r="H748" s="196" t="s">
        <v>479</v>
      </c>
      <c r="I748" s="66"/>
      <c r="J748" s="239"/>
      <c r="K748" s="234"/>
      <c r="L748" s="239"/>
      <c r="M748" s="239"/>
      <c r="N748" s="239"/>
      <c r="O748" s="239"/>
      <c r="P748" s="239"/>
      <c r="Q748" s="239"/>
      <c r="R748" s="239"/>
      <c r="S748" s="239"/>
    </row>
    <row r="749" spans="6:19" x14ac:dyDescent="0.25">
      <c r="F749" s="196" t="s">
        <v>938</v>
      </c>
      <c r="G749" s="196" t="s">
        <v>120</v>
      </c>
      <c r="H749" s="196" t="s">
        <v>479</v>
      </c>
      <c r="I749" s="66"/>
      <c r="J749" s="239"/>
      <c r="K749" s="234"/>
      <c r="L749" s="239"/>
      <c r="M749" s="239"/>
      <c r="N749" s="239"/>
      <c r="O749" s="239"/>
      <c r="P749" s="239"/>
      <c r="Q749" s="239"/>
      <c r="R749" s="239"/>
      <c r="S749" s="239"/>
    </row>
    <row r="750" spans="6:19" x14ac:dyDescent="0.25">
      <c r="F750" s="196" t="s">
        <v>939</v>
      </c>
      <c r="G750" s="196" t="s">
        <v>120</v>
      </c>
      <c r="H750" s="196" t="s">
        <v>479</v>
      </c>
      <c r="I750" s="66"/>
      <c r="J750" s="239"/>
      <c r="K750" s="234"/>
      <c r="L750" s="239"/>
      <c r="M750" s="239"/>
      <c r="N750" s="239"/>
      <c r="O750" s="239"/>
      <c r="P750" s="239"/>
      <c r="Q750" s="239"/>
      <c r="R750" s="239"/>
      <c r="S750" s="239"/>
    </row>
    <row r="751" spans="6:19" x14ac:dyDescent="0.25">
      <c r="F751" s="196" t="s">
        <v>940</v>
      </c>
      <c r="G751" s="196" t="s">
        <v>120</v>
      </c>
      <c r="H751" s="196" t="s">
        <v>479</v>
      </c>
      <c r="I751" s="66"/>
      <c r="J751" s="239"/>
      <c r="K751" s="234"/>
      <c r="L751" s="239"/>
      <c r="M751" s="239"/>
      <c r="N751" s="239"/>
      <c r="O751" s="239"/>
      <c r="P751" s="239"/>
      <c r="Q751" s="239"/>
      <c r="R751" s="239"/>
      <c r="S751" s="239"/>
    </row>
    <row r="752" spans="6:19" x14ac:dyDescent="0.25">
      <c r="F752" s="93" t="s">
        <v>941</v>
      </c>
      <c r="G752" s="93" t="s">
        <v>120</v>
      </c>
      <c r="H752" s="93" t="s">
        <v>479</v>
      </c>
      <c r="I752" s="145"/>
      <c r="J752" s="240"/>
      <c r="K752" s="236"/>
      <c r="L752" s="240"/>
      <c r="M752" s="240"/>
      <c r="N752" s="240"/>
      <c r="O752" s="240"/>
      <c r="P752" s="240"/>
      <c r="Q752" s="240"/>
      <c r="R752" s="240"/>
      <c r="S752" s="240"/>
    </row>
    <row r="753" spans="5:19" x14ac:dyDescent="0.25">
      <c r="J753" s="237"/>
      <c r="K753" s="237"/>
      <c r="L753" s="237"/>
      <c r="M753" s="237"/>
      <c r="N753" s="237"/>
      <c r="O753" s="237"/>
      <c r="P753" s="237"/>
      <c r="Q753" s="237"/>
      <c r="R753" s="237"/>
      <c r="S753" s="237"/>
    </row>
    <row r="754" spans="5:19" x14ac:dyDescent="0.25">
      <c r="E754" s="144" t="s">
        <v>74</v>
      </c>
      <c r="J754" s="237"/>
      <c r="K754" s="237"/>
      <c r="L754" s="237"/>
      <c r="M754" s="237"/>
      <c r="N754" s="237"/>
      <c r="O754" s="237"/>
      <c r="P754" s="237"/>
      <c r="Q754" s="237"/>
      <c r="R754" s="237"/>
      <c r="S754" s="237"/>
    </row>
    <row r="755" spans="5:19" x14ac:dyDescent="0.25">
      <c r="F755" s="91" t="s">
        <v>926</v>
      </c>
      <c r="G755" s="91" t="s">
        <v>74</v>
      </c>
      <c r="H755" s="91" t="s">
        <v>479</v>
      </c>
      <c r="I755" s="112"/>
      <c r="J755" s="238"/>
      <c r="K755" s="232"/>
      <c r="L755" s="238"/>
      <c r="M755" s="238"/>
      <c r="N755" s="238"/>
      <c r="O755" s="238"/>
      <c r="P755" s="238"/>
      <c r="Q755" s="238"/>
      <c r="R755" s="238"/>
      <c r="S755" s="238"/>
    </row>
    <row r="756" spans="5:19" x14ac:dyDescent="0.25">
      <c r="F756" s="196" t="s">
        <v>927</v>
      </c>
      <c r="G756" s="196" t="s">
        <v>74</v>
      </c>
      <c r="H756" s="196" t="s">
        <v>479</v>
      </c>
      <c r="I756" s="66"/>
      <c r="J756" s="233">
        <f t="shared" ref="J756:J759" si="69">CHOOSE(year_selection, L756,M756,N756,O756,P756,Q756,R756,S756)</f>
        <v>0</v>
      </c>
      <c r="K756" s="234"/>
      <c r="L756" s="330"/>
      <c r="M756" s="330"/>
      <c r="N756" s="330"/>
      <c r="O756" s="330">
        <v>0</v>
      </c>
      <c r="P756" s="330">
        <v>0</v>
      </c>
      <c r="Q756" s="330">
        <v>0</v>
      </c>
      <c r="R756" s="330">
        <v>0</v>
      </c>
      <c r="S756" s="330">
        <v>0</v>
      </c>
    </row>
    <row r="757" spans="5:19" x14ac:dyDescent="0.25">
      <c r="F757" s="196" t="s">
        <v>928</v>
      </c>
      <c r="G757" s="196" t="s">
        <v>74</v>
      </c>
      <c r="H757" s="196" t="s">
        <v>479</v>
      </c>
      <c r="I757" s="66"/>
      <c r="J757" s="233">
        <f t="shared" si="69"/>
        <v>1.562562276581243E-2</v>
      </c>
      <c r="K757" s="234"/>
      <c r="L757" s="330"/>
      <c r="M757" s="330"/>
      <c r="N757" s="330"/>
      <c r="O757" s="330">
        <v>1.562562276581243E-2</v>
      </c>
      <c r="P757" s="330">
        <v>1.6749790050553014E-2</v>
      </c>
      <c r="Q757" s="330">
        <v>1.7436595960383924E-2</v>
      </c>
      <c r="R757" s="330">
        <v>1.7961046794143561E-2</v>
      </c>
      <c r="S757" s="330">
        <v>1.8485497627903202E-2</v>
      </c>
    </row>
    <row r="758" spans="5:19" x14ac:dyDescent="0.25">
      <c r="F758" s="196" t="s">
        <v>929</v>
      </c>
      <c r="G758" s="196" t="s">
        <v>74</v>
      </c>
      <c r="H758" s="196" t="s">
        <v>479</v>
      </c>
      <c r="I758" s="66"/>
      <c r="J758" s="233">
        <f t="shared" si="69"/>
        <v>4</v>
      </c>
      <c r="K758" s="234"/>
      <c r="L758" s="330"/>
      <c r="M758" s="330"/>
      <c r="N758" s="330"/>
      <c r="O758" s="330">
        <v>4</v>
      </c>
      <c r="P758" s="330">
        <v>4</v>
      </c>
      <c r="Q758" s="330">
        <v>4</v>
      </c>
      <c r="R758" s="330">
        <v>4</v>
      </c>
      <c r="S758" s="330">
        <v>4</v>
      </c>
    </row>
    <row r="759" spans="5:19" x14ac:dyDescent="0.25">
      <c r="F759" s="196" t="s">
        <v>930</v>
      </c>
      <c r="G759" s="196" t="s">
        <v>74</v>
      </c>
      <c r="H759" s="196" t="s">
        <v>479</v>
      </c>
      <c r="I759" s="66"/>
      <c r="J759" s="233">
        <f t="shared" si="69"/>
        <v>7.7906285467221531E-2</v>
      </c>
      <c r="K759" s="234"/>
      <c r="L759" s="330"/>
      <c r="M759" s="330"/>
      <c r="N759" s="330"/>
      <c r="O759" s="330">
        <v>7.7906285467221531E-2</v>
      </c>
      <c r="P759" s="330">
        <v>8.460790142139113E-2</v>
      </c>
      <c r="Q759" s="330">
        <v>9.1309517375560714E-2</v>
      </c>
      <c r="R759" s="330">
        <v>9.8011133329730313E-2</v>
      </c>
      <c r="S759" s="330">
        <v>0.10471274928389991</v>
      </c>
    </row>
    <row r="760" spans="5:19" x14ac:dyDescent="0.25">
      <c r="F760" s="196" t="s">
        <v>931</v>
      </c>
      <c r="G760" s="196" t="s">
        <v>74</v>
      </c>
      <c r="H760" s="196" t="s">
        <v>479</v>
      </c>
      <c r="I760" s="66"/>
      <c r="J760" s="239"/>
      <c r="K760" s="234"/>
      <c r="L760" s="239"/>
      <c r="M760" s="239"/>
      <c r="N760" s="239"/>
      <c r="O760" s="239"/>
      <c r="P760" s="239"/>
      <c r="Q760" s="239"/>
      <c r="R760" s="239"/>
      <c r="S760" s="239"/>
    </row>
    <row r="761" spans="5:19" x14ac:dyDescent="0.25">
      <c r="F761" s="196" t="s">
        <v>932</v>
      </c>
      <c r="G761" s="196" t="s">
        <v>74</v>
      </c>
      <c r="H761" s="196" t="s">
        <v>479</v>
      </c>
      <c r="I761" s="66"/>
      <c r="J761" s="239"/>
      <c r="K761" s="234"/>
      <c r="L761" s="239"/>
      <c r="M761" s="239"/>
      <c r="N761" s="239"/>
      <c r="O761" s="239"/>
      <c r="P761" s="239"/>
      <c r="Q761" s="239"/>
      <c r="R761" s="239"/>
      <c r="S761" s="239"/>
    </row>
    <row r="762" spans="5:19" x14ac:dyDescent="0.25">
      <c r="F762" s="196" t="s">
        <v>933</v>
      </c>
      <c r="G762" s="196" t="s">
        <v>74</v>
      </c>
      <c r="H762" s="196" t="s">
        <v>479</v>
      </c>
      <c r="I762" s="66"/>
      <c r="J762" s="239"/>
      <c r="K762" s="234"/>
      <c r="L762" s="239"/>
      <c r="M762" s="239"/>
      <c r="N762" s="239"/>
      <c r="O762" s="239"/>
      <c r="P762" s="239"/>
      <c r="Q762" s="239"/>
      <c r="R762" s="239"/>
      <c r="S762" s="239"/>
    </row>
    <row r="763" spans="5:19" x14ac:dyDescent="0.25">
      <c r="F763" s="196" t="s">
        <v>934</v>
      </c>
      <c r="G763" s="196" t="s">
        <v>74</v>
      </c>
      <c r="H763" s="196" t="s">
        <v>479</v>
      </c>
      <c r="I763" s="66"/>
      <c r="J763" s="233">
        <f t="shared" ref="J763" si="70">CHOOSE(year_selection, L763,M763,N763,O763,P763,Q763,R763,S763)</f>
        <v>50.451612903225801</v>
      </c>
      <c r="K763" s="234"/>
      <c r="L763" s="330"/>
      <c r="M763" s="330"/>
      <c r="N763" s="330"/>
      <c r="O763" s="330">
        <v>50.451612903225801</v>
      </c>
      <c r="P763" s="330">
        <v>50.451612903225801</v>
      </c>
      <c r="Q763" s="330">
        <v>50.451612903225801</v>
      </c>
      <c r="R763" s="330">
        <v>50.451612903225801</v>
      </c>
      <c r="S763" s="330">
        <v>50.451612903225801</v>
      </c>
    </row>
    <row r="764" spans="5:19" x14ac:dyDescent="0.25">
      <c r="F764" s="196" t="s">
        <v>935</v>
      </c>
      <c r="G764" s="196" t="s">
        <v>74</v>
      </c>
      <c r="H764" s="196" t="s">
        <v>479</v>
      </c>
      <c r="I764" s="66"/>
      <c r="J764" s="239"/>
      <c r="K764" s="234"/>
      <c r="L764" s="239"/>
      <c r="M764" s="239"/>
      <c r="N764" s="239"/>
      <c r="O764" s="239"/>
      <c r="P764" s="239"/>
      <c r="Q764" s="239"/>
      <c r="R764" s="239"/>
      <c r="S764" s="239"/>
    </row>
    <row r="765" spans="5:19" x14ac:dyDescent="0.25">
      <c r="F765" s="196" t="s">
        <v>936</v>
      </c>
      <c r="G765" s="196" t="s">
        <v>74</v>
      </c>
      <c r="H765" s="196" t="s">
        <v>479</v>
      </c>
      <c r="I765" s="66"/>
      <c r="J765" s="233">
        <f t="shared" ref="J765" si="71">CHOOSE(year_selection, L765,M765,N765,O765,P765,Q765,R765,S765)</f>
        <v>0</v>
      </c>
      <c r="K765" s="234"/>
      <c r="L765" s="330"/>
      <c r="M765" s="330"/>
      <c r="N765" s="330"/>
      <c r="O765" s="330">
        <v>0</v>
      </c>
      <c r="P765" s="330">
        <v>0</v>
      </c>
      <c r="Q765" s="330">
        <v>0</v>
      </c>
      <c r="R765" s="330">
        <v>0</v>
      </c>
      <c r="S765" s="330">
        <v>0</v>
      </c>
    </row>
    <row r="766" spans="5:19" x14ac:dyDescent="0.25">
      <c r="F766" s="196" t="s">
        <v>937</v>
      </c>
      <c r="G766" s="196" t="s">
        <v>74</v>
      </c>
      <c r="H766" s="196" t="s">
        <v>479</v>
      </c>
      <c r="I766" s="66"/>
      <c r="J766" s="239"/>
      <c r="K766" s="234"/>
      <c r="L766" s="239"/>
      <c r="M766" s="239"/>
      <c r="N766" s="239"/>
      <c r="O766" s="239"/>
      <c r="P766" s="239"/>
      <c r="Q766" s="239"/>
      <c r="R766" s="239"/>
      <c r="S766" s="239"/>
    </row>
    <row r="767" spans="5:19" x14ac:dyDescent="0.25">
      <c r="F767" s="196" t="s">
        <v>938</v>
      </c>
      <c r="G767" s="196" t="s">
        <v>74</v>
      </c>
      <c r="H767" s="196" t="s">
        <v>479</v>
      </c>
      <c r="I767" s="66"/>
      <c r="J767" s="239"/>
      <c r="K767" s="234"/>
      <c r="L767" s="239"/>
      <c r="M767" s="239"/>
      <c r="N767" s="239"/>
      <c r="O767" s="239"/>
      <c r="P767" s="239"/>
      <c r="Q767" s="239"/>
      <c r="R767" s="239"/>
      <c r="S767" s="239"/>
    </row>
    <row r="768" spans="5:19" x14ac:dyDescent="0.25">
      <c r="F768" s="196" t="s">
        <v>939</v>
      </c>
      <c r="G768" s="196" t="s">
        <v>74</v>
      </c>
      <c r="H768" s="196" t="s">
        <v>479</v>
      </c>
      <c r="I768" s="66"/>
      <c r="J768" s="239"/>
      <c r="K768" s="234"/>
      <c r="L768" s="239"/>
      <c r="M768" s="239"/>
      <c r="N768" s="239"/>
      <c r="O768" s="239"/>
      <c r="P768" s="239"/>
      <c r="Q768" s="239"/>
      <c r="R768" s="239"/>
      <c r="S768" s="239"/>
    </row>
    <row r="769" spans="5:19" x14ac:dyDescent="0.25">
      <c r="F769" s="196" t="s">
        <v>940</v>
      </c>
      <c r="G769" s="196" t="s">
        <v>74</v>
      </c>
      <c r="H769" s="196" t="s">
        <v>479</v>
      </c>
      <c r="I769" s="66"/>
      <c r="J769" s="239"/>
      <c r="K769" s="234"/>
      <c r="L769" s="239"/>
      <c r="M769" s="239"/>
      <c r="N769" s="239"/>
      <c r="O769" s="239"/>
      <c r="P769" s="239"/>
      <c r="Q769" s="239"/>
      <c r="R769" s="239"/>
      <c r="S769" s="239"/>
    </row>
    <row r="770" spans="5:19" x14ac:dyDescent="0.25">
      <c r="F770" s="93" t="s">
        <v>941</v>
      </c>
      <c r="G770" s="93" t="s">
        <v>74</v>
      </c>
      <c r="H770" s="93" t="s">
        <v>479</v>
      </c>
      <c r="I770" s="145"/>
      <c r="J770" s="240"/>
      <c r="K770" s="236"/>
      <c r="L770" s="240"/>
      <c r="M770" s="240"/>
      <c r="N770" s="240"/>
      <c r="O770" s="240"/>
      <c r="P770" s="240"/>
      <c r="Q770" s="240"/>
      <c r="R770" s="240"/>
      <c r="S770" s="240"/>
    </row>
    <row r="771" spans="5:19" x14ac:dyDescent="0.25">
      <c r="J771" s="237"/>
      <c r="K771" s="237"/>
      <c r="L771" s="237"/>
      <c r="M771" s="237"/>
      <c r="N771" s="237"/>
      <c r="O771" s="237"/>
      <c r="P771" s="237"/>
      <c r="Q771" s="237"/>
      <c r="R771" s="237"/>
      <c r="S771" s="237"/>
    </row>
    <row r="772" spans="5:19" x14ac:dyDescent="0.25">
      <c r="E772" s="144" t="s">
        <v>202</v>
      </c>
      <c r="J772" s="237"/>
      <c r="K772" s="237"/>
      <c r="L772" s="237"/>
      <c r="M772" s="237"/>
      <c r="N772" s="237"/>
      <c r="O772" s="237"/>
      <c r="P772" s="237"/>
      <c r="Q772" s="237"/>
      <c r="R772" s="237"/>
      <c r="S772" s="237"/>
    </row>
    <row r="773" spans="5:19" x14ac:dyDescent="0.25">
      <c r="F773" s="91" t="s">
        <v>926</v>
      </c>
      <c r="G773" s="91" t="s">
        <v>169</v>
      </c>
      <c r="H773" s="91" t="s">
        <v>479</v>
      </c>
      <c r="I773" s="112"/>
      <c r="J773" s="238"/>
      <c r="K773" s="232"/>
      <c r="L773" s="238"/>
      <c r="M773" s="238"/>
      <c r="N773" s="238"/>
      <c r="O773" s="238"/>
      <c r="P773" s="238"/>
      <c r="Q773" s="238"/>
      <c r="R773" s="238"/>
      <c r="S773" s="238"/>
    </row>
    <row r="774" spans="5:19" x14ac:dyDescent="0.25">
      <c r="F774" s="196" t="s">
        <v>927</v>
      </c>
      <c r="G774" s="196" t="s">
        <v>169</v>
      </c>
      <c r="H774" s="196" t="s">
        <v>479</v>
      </c>
      <c r="I774" s="66"/>
      <c r="J774" s="239"/>
      <c r="K774" s="234"/>
      <c r="L774" s="239"/>
      <c r="M774" s="239"/>
      <c r="N774" s="239"/>
      <c r="O774" s="239"/>
      <c r="P774" s="239"/>
      <c r="Q774" s="239"/>
      <c r="R774" s="239"/>
      <c r="S774" s="239"/>
    </row>
    <row r="775" spans="5:19" x14ac:dyDescent="0.25">
      <c r="F775" s="196" t="s">
        <v>928</v>
      </c>
      <c r="G775" s="196" t="s">
        <v>169</v>
      </c>
      <c r="H775" s="196" t="s">
        <v>479</v>
      </c>
      <c r="I775" s="66"/>
      <c r="J775" s="239"/>
      <c r="K775" s="234"/>
      <c r="L775" s="239"/>
      <c r="M775" s="239"/>
      <c r="N775" s="239"/>
      <c r="O775" s="239"/>
      <c r="P775" s="239"/>
      <c r="Q775" s="239"/>
      <c r="R775" s="239"/>
      <c r="S775" s="239"/>
    </row>
    <row r="776" spans="5:19" x14ac:dyDescent="0.25">
      <c r="F776" s="196" t="s">
        <v>929</v>
      </c>
      <c r="G776" s="196" t="s">
        <v>169</v>
      </c>
      <c r="H776" s="196" t="s">
        <v>479</v>
      </c>
      <c r="I776" s="66"/>
      <c r="J776" s="239"/>
      <c r="K776" s="234"/>
      <c r="L776" s="239"/>
      <c r="M776" s="239"/>
      <c r="N776" s="239"/>
      <c r="O776" s="239"/>
      <c r="P776" s="239"/>
      <c r="Q776" s="239"/>
      <c r="R776" s="239"/>
      <c r="S776" s="239"/>
    </row>
    <row r="777" spans="5:19" x14ac:dyDescent="0.25">
      <c r="F777" s="196" t="s">
        <v>930</v>
      </c>
      <c r="G777" s="196" t="s">
        <v>169</v>
      </c>
      <c r="H777" s="196" t="s">
        <v>479</v>
      </c>
      <c r="I777" s="66"/>
      <c r="J777" s="233">
        <f t="shared" ref="J777" si="72">CHOOSE(year_selection, L777,M777,N777,O777,P777,Q777,R777,S777)</f>
        <v>3.9060851734454922</v>
      </c>
      <c r="K777" s="234"/>
      <c r="L777" s="330"/>
      <c r="M777" s="330"/>
      <c r="N777" s="330"/>
      <c r="O777" s="330">
        <v>3.9060851734454922</v>
      </c>
      <c r="P777" s="330">
        <v>4.5780998269414903</v>
      </c>
      <c r="Q777" s="330">
        <v>4.5780998269414903</v>
      </c>
      <c r="R777" s="330">
        <v>4.9141071536894909</v>
      </c>
      <c r="S777" s="330">
        <v>5.2501144804374906</v>
      </c>
    </row>
    <row r="778" spans="5:19" x14ac:dyDescent="0.25">
      <c r="F778" s="196" t="s">
        <v>931</v>
      </c>
      <c r="G778" s="196" t="s">
        <v>169</v>
      </c>
      <c r="H778" s="196" t="s">
        <v>479</v>
      </c>
      <c r="I778" s="66"/>
      <c r="J778" s="239"/>
      <c r="K778" s="234"/>
      <c r="L778" s="239"/>
      <c r="M778" s="239"/>
      <c r="N778" s="239"/>
      <c r="O778" s="239"/>
      <c r="P778" s="239"/>
      <c r="Q778" s="239"/>
      <c r="R778" s="239"/>
      <c r="S778" s="239"/>
    </row>
    <row r="779" spans="5:19" x14ac:dyDescent="0.25">
      <c r="F779" s="196" t="s">
        <v>932</v>
      </c>
      <c r="G779" s="196" t="s">
        <v>169</v>
      </c>
      <c r="H779" s="196" t="s">
        <v>479</v>
      </c>
      <c r="I779" s="66"/>
      <c r="J779" s="239"/>
      <c r="K779" s="234"/>
      <c r="L779" s="239"/>
      <c r="M779" s="239"/>
      <c r="N779" s="239"/>
      <c r="O779" s="239"/>
      <c r="P779" s="239"/>
      <c r="Q779" s="239"/>
      <c r="R779" s="239"/>
      <c r="S779" s="239"/>
    </row>
    <row r="780" spans="5:19" x14ac:dyDescent="0.25">
      <c r="F780" s="196" t="s">
        <v>933</v>
      </c>
      <c r="G780" s="196" t="s">
        <v>169</v>
      </c>
      <c r="H780" s="196" t="s">
        <v>479</v>
      </c>
      <c r="I780" s="66"/>
      <c r="J780" s="239"/>
      <c r="K780" s="234"/>
      <c r="L780" s="239"/>
      <c r="M780" s="239"/>
      <c r="N780" s="239"/>
      <c r="O780" s="239"/>
      <c r="P780" s="239"/>
      <c r="Q780" s="239"/>
      <c r="R780" s="239"/>
      <c r="S780" s="239"/>
    </row>
    <row r="781" spans="5:19" x14ac:dyDescent="0.25">
      <c r="F781" s="196" t="s">
        <v>934</v>
      </c>
      <c r="G781" s="196" t="s">
        <v>169</v>
      </c>
      <c r="H781" s="196" t="s">
        <v>479</v>
      </c>
      <c r="I781" s="66"/>
      <c r="J781" s="239"/>
      <c r="K781" s="234"/>
      <c r="L781" s="239"/>
      <c r="M781" s="239"/>
      <c r="N781" s="239"/>
      <c r="O781" s="239"/>
      <c r="P781" s="239"/>
      <c r="Q781" s="239"/>
      <c r="R781" s="239"/>
      <c r="S781" s="239"/>
    </row>
    <row r="782" spans="5:19" x14ac:dyDescent="0.25">
      <c r="F782" s="196" t="s">
        <v>935</v>
      </c>
      <c r="G782" s="196" t="s">
        <v>169</v>
      </c>
      <c r="H782" s="196" t="s">
        <v>479</v>
      </c>
      <c r="I782" s="66"/>
      <c r="J782" s="239"/>
      <c r="K782" s="234"/>
      <c r="L782" s="239"/>
      <c r="M782" s="239"/>
      <c r="N782" s="239"/>
      <c r="O782" s="239"/>
      <c r="P782" s="239"/>
      <c r="Q782" s="239"/>
      <c r="R782" s="239"/>
      <c r="S782" s="239"/>
    </row>
    <row r="783" spans="5:19" x14ac:dyDescent="0.25">
      <c r="F783" s="196" t="s">
        <v>936</v>
      </c>
      <c r="G783" s="196" t="s">
        <v>169</v>
      </c>
      <c r="H783" s="196" t="s">
        <v>479</v>
      </c>
      <c r="I783" s="66"/>
      <c r="J783" s="239"/>
      <c r="K783" s="234"/>
      <c r="L783" s="239"/>
      <c r="M783" s="239"/>
      <c r="N783" s="239"/>
      <c r="O783" s="239"/>
      <c r="P783" s="239"/>
      <c r="Q783" s="239"/>
      <c r="R783" s="239"/>
      <c r="S783" s="239"/>
    </row>
    <row r="784" spans="5:19" x14ac:dyDescent="0.25">
      <c r="F784" s="196" t="s">
        <v>937</v>
      </c>
      <c r="G784" s="196" t="s">
        <v>169</v>
      </c>
      <c r="H784" s="196" t="s">
        <v>479</v>
      </c>
      <c r="I784" s="66"/>
      <c r="J784" s="239"/>
      <c r="K784" s="234"/>
      <c r="L784" s="239"/>
      <c r="M784" s="239"/>
      <c r="N784" s="239"/>
      <c r="O784" s="239"/>
      <c r="P784" s="239"/>
      <c r="Q784" s="239"/>
      <c r="R784" s="239"/>
      <c r="S784" s="239"/>
    </row>
    <row r="785" spans="5:19" x14ac:dyDescent="0.25">
      <c r="F785" s="196" t="s">
        <v>938</v>
      </c>
      <c r="G785" s="196" t="s">
        <v>169</v>
      </c>
      <c r="H785" s="196" t="s">
        <v>479</v>
      </c>
      <c r="I785" s="66"/>
      <c r="J785" s="239"/>
      <c r="K785" s="234"/>
      <c r="L785" s="239"/>
      <c r="M785" s="239"/>
      <c r="N785" s="239"/>
      <c r="O785" s="239"/>
      <c r="P785" s="239"/>
      <c r="Q785" s="239"/>
      <c r="R785" s="239"/>
      <c r="S785" s="239"/>
    </row>
    <row r="786" spans="5:19" x14ac:dyDescent="0.25">
      <c r="F786" s="196" t="s">
        <v>939</v>
      </c>
      <c r="G786" s="196" t="s">
        <v>169</v>
      </c>
      <c r="H786" s="196" t="s">
        <v>479</v>
      </c>
      <c r="I786" s="66"/>
      <c r="J786" s="239"/>
      <c r="K786" s="234"/>
      <c r="L786" s="239"/>
      <c r="M786" s="239"/>
      <c r="N786" s="239"/>
      <c r="O786" s="239"/>
      <c r="P786" s="239"/>
      <c r="Q786" s="239"/>
      <c r="R786" s="239"/>
      <c r="S786" s="239"/>
    </row>
    <row r="787" spans="5:19" x14ac:dyDescent="0.25">
      <c r="F787" s="196" t="s">
        <v>940</v>
      </c>
      <c r="G787" s="196" t="s">
        <v>169</v>
      </c>
      <c r="H787" s="196" t="s">
        <v>479</v>
      </c>
      <c r="I787" s="66"/>
      <c r="J787" s="239"/>
      <c r="K787" s="234"/>
      <c r="L787" s="239"/>
      <c r="M787" s="239"/>
      <c r="N787" s="239"/>
      <c r="O787" s="239"/>
      <c r="P787" s="239"/>
      <c r="Q787" s="239"/>
      <c r="R787" s="239"/>
      <c r="S787" s="239"/>
    </row>
    <row r="788" spans="5:19" x14ac:dyDescent="0.25">
      <c r="F788" s="93" t="s">
        <v>941</v>
      </c>
      <c r="G788" s="93" t="s">
        <v>169</v>
      </c>
      <c r="H788" s="93" t="s">
        <v>479</v>
      </c>
      <c r="I788" s="145"/>
      <c r="J788" s="240"/>
      <c r="K788" s="236"/>
      <c r="L788" s="240"/>
      <c r="M788" s="240"/>
      <c r="N788" s="240"/>
      <c r="O788" s="240"/>
      <c r="P788" s="240"/>
      <c r="Q788" s="240"/>
      <c r="R788" s="240"/>
      <c r="S788" s="240"/>
    </row>
    <row r="789" spans="5:19" x14ac:dyDescent="0.25">
      <c r="J789" s="237"/>
      <c r="K789" s="237"/>
      <c r="L789" s="237"/>
      <c r="M789" s="237"/>
      <c r="N789" s="237"/>
      <c r="O789" s="237"/>
      <c r="P789" s="237"/>
      <c r="Q789" s="237"/>
      <c r="R789" s="237"/>
      <c r="S789" s="237"/>
    </row>
    <row r="790" spans="5:19" x14ac:dyDescent="0.25">
      <c r="E790" s="144" t="s">
        <v>203</v>
      </c>
      <c r="J790" s="237"/>
      <c r="K790" s="237"/>
      <c r="L790" s="237"/>
      <c r="M790" s="237"/>
      <c r="N790" s="237"/>
      <c r="O790" s="237"/>
      <c r="P790" s="237"/>
      <c r="Q790" s="237"/>
      <c r="R790" s="237"/>
      <c r="S790" s="237"/>
    </row>
    <row r="791" spans="5:19" x14ac:dyDescent="0.25">
      <c r="F791" s="91" t="s">
        <v>926</v>
      </c>
      <c r="G791" s="91" t="s">
        <v>169</v>
      </c>
      <c r="H791" s="91" t="s">
        <v>479</v>
      </c>
      <c r="I791" s="112"/>
      <c r="J791" s="238"/>
      <c r="K791" s="232"/>
      <c r="L791" s="238"/>
      <c r="M791" s="238"/>
      <c r="N791" s="238"/>
      <c r="O791" s="238"/>
      <c r="P791" s="238"/>
      <c r="Q791" s="238"/>
      <c r="R791" s="238"/>
      <c r="S791" s="238"/>
    </row>
    <row r="792" spans="5:19" x14ac:dyDescent="0.25">
      <c r="F792" s="196" t="s">
        <v>927</v>
      </c>
      <c r="G792" s="196" t="s">
        <v>169</v>
      </c>
      <c r="H792" s="196" t="s">
        <v>479</v>
      </c>
      <c r="I792" s="66"/>
      <c r="J792" s="239"/>
      <c r="K792" s="234"/>
      <c r="L792" s="239"/>
      <c r="M792" s="239"/>
      <c r="N792" s="239"/>
      <c r="O792" s="239"/>
      <c r="P792" s="239"/>
      <c r="Q792" s="239"/>
      <c r="R792" s="239"/>
      <c r="S792" s="239"/>
    </row>
    <row r="793" spans="5:19" x14ac:dyDescent="0.25">
      <c r="F793" s="196" t="s">
        <v>928</v>
      </c>
      <c r="G793" s="196" t="s">
        <v>169</v>
      </c>
      <c r="H793" s="196" t="s">
        <v>479</v>
      </c>
      <c r="I793" s="66"/>
      <c r="J793" s="239"/>
      <c r="K793" s="234"/>
      <c r="L793" s="239"/>
      <c r="M793" s="239"/>
      <c r="N793" s="239"/>
      <c r="O793" s="239"/>
      <c r="P793" s="239"/>
      <c r="Q793" s="239"/>
      <c r="R793" s="239"/>
      <c r="S793" s="239"/>
    </row>
    <row r="794" spans="5:19" x14ac:dyDescent="0.25">
      <c r="F794" s="196" t="s">
        <v>929</v>
      </c>
      <c r="G794" s="196" t="s">
        <v>169</v>
      </c>
      <c r="H794" s="196" t="s">
        <v>479</v>
      </c>
      <c r="I794" s="66"/>
      <c r="J794" s="239"/>
      <c r="K794" s="234"/>
      <c r="L794" s="239"/>
      <c r="M794" s="239"/>
      <c r="N794" s="239"/>
      <c r="O794" s="239"/>
      <c r="P794" s="239"/>
      <c r="Q794" s="239"/>
      <c r="R794" s="239"/>
      <c r="S794" s="239"/>
    </row>
    <row r="795" spans="5:19" x14ac:dyDescent="0.25">
      <c r="F795" s="196" t="s">
        <v>930</v>
      </c>
      <c r="G795" s="196" t="s">
        <v>169</v>
      </c>
      <c r="H795" s="196" t="s">
        <v>479</v>
      </c>
      <c r="I795" s="66"/>
      <c r="J795" s="233">
        <f t="shared" ref="J795" si="73">CHOOSE(year_selection, L795,M795,N795,O795,P795,Q795,R795,S795)</f>
        <v>3.5304457460642526E-3</v>
      </c>
      <c r="K795" s="234"/>
      <c r="L795" s="330"/>
      <c r="M795" s="330"/>
      <c r="N795" s="330"/>
      <c r="O795" s="330">
        <v>3.5304457460642526E-3</v>
      </c>
      <c r="P795" s="330">
        <v>4.1378342615161663E-3</v>
      </c>
      <c r="Q795" s="330">
        <v>4.1378342615161663E-3</v>
      </c>
      <c r="R795" s="330">
        <v>4.4415285192421225E-3</v>
      </c>
      <c r="S795" s="330">
        <v>4.7452227769680787E-3</v>
      </c>
    </row>
    <row r="796" spans="5:19" x14ac:dyDescent="0.25">
      <c r="F796" s="196" t="s">
        <v>931</v>
      </c>
      <c r="G796" s="196" t="s">
        <v>169</v>
      </c>
      <c r="H796" s="196" t="s">
        <v>479</v>
      </c>
      <c r="I796" s="66"/>
      <c r="J796" s="239"/>
      <c r="K796" s="234"/>
      <c r="L796" s="239"/>
      <c r="M796" s="239"/>
      <c r="N796" s="239"/>
      <c r="O796" s="239"/>
      <c r="P796" s="239"/>
      <c r="Q796" s="239"/>
      <c r="R796" s="239"/>
      <c r="S796" s="239"/>
    </row>
    <row r="797" spans="5:19" x14ac:dyDescent="0.25">
      <c r="F797" s="196" t="s">
        <v>932</v>
      </c>
      <c r="G797" s="196" t="s">
        <v>169</v>
      </c>
      <c r="H797" s="196" t="s">
        <v>479</v>
      </c>
      <c r="I797" s="66"/>
      <c r="J797" s="239"/>
      <c r="K797" s="234"/>
      <c r="L797" s="239"/>
      <c r="M797" s="239"/>
      <c r="N797" s="239"/>
      <c r="O797" s="239"/>
      <c r="P797" s="239"/>
      <c r="Q797" s="239"/>
      <c r="R797" s="239"/>
      <c r="S797" s="239"/>
    </row>
    <row r="798" spans="5:19" x14ac:dyDescent="0.25">
      <c r="F798" s="196" t="s">
        <v>933</v>
      </c>
      <c r="G798" s="196" t="s">
        <v>169</v>
      </c>
      <c r="H798" s="196" t="s">
        <v>479</v>
      </c>
      <c r="I798" s="66"/>
      <c r="J798" s="239"/>
      <c r="K798" s="234"/>
      <c r="L798" s="239"/>
      <c r="M798" s="239"/>
      <c r="N798" s="239"/>
      <c r="O798" s="239"/>
      <c r="P798" s="239"/>
      <c r="Q798" s="239"/>
      <c r="R798" s="239"/>
      <c r="S798" s="239"/>
    </row>
    <row r="799" spans="5:19" x14ac:dyDescent="0.25">
      <c r="F799" s="196" t="s">
        <v>934</v>
      </c>
      <c r="G799" s="196" t="s">
        <v>169</v>
      </c>
      <c r="H799" s="196" t="s">
        <v>479</v>
      </c>
      <c r="I799" s="66"/>
      <c r="J799" s="239"/>
      <c r="K799" s="234"/>
      <c r="L799" s="239"/>
      <c r="M799" s="239"/>
      <c r="N799" s="239"/>
      <c r="O799" s="239"/>
      <c r="P799" s="239"/>
      <c r="Q799" s="239"/>
      <c r="R799" s="239"/>
      <c r="S799" s="239"/>
    </row>
    <row r="800" spans="5:19" x14ac:dyDescent="0.25">
      <c r="F800" s="196" t="s">
        <v>935</v>
      </c>
      <c r="G800" s="196" t="s">
        <v>169</v>
      </c>
      <c r="H800" s="196" t="s">
        <v>479</v>
      </c>
      <c r="I800" s="66"/>
      <c r="J800" s="239"/>
      <c r="K800" s="234"/>
      <c r="L800" s="239"/>
      <c r="M800" s="239"/>
      <c r="N800" s="239"/>
      <c r="O800" s="239"/>
      <c r="P800" s="239"/>
      <c r="Q800" s="239"/>
      <c r="R800" s="239"/>
      <c r="S800" s="239"/>
    </row>
    <row r="801" spans="5:19" x14ac:dyDescent="0.25">
      <c r="F801" s="196" t="s">
        <v>936</v>
      </c>
      <c r="G801" s="196" t="s">
        <v>169</v>
      </c>
      <c r="H801" s="196" t="s">
        <v>479</v>
      </c>
      <c r="I801" s="66"/>
      <c r="J801" s="239"/>
      <c r="K801" s="234"/>
      <c r="L801" s="239"/>
      <c r="M801" s="239"/>
      <c r="N801" s="239"/>
      <c r="O801" s="239"/>
      <c r="P801" s="239"/>
      <c r="Q801" s="239"/>
      <c r="R801" s="239"/>
      <c r="S801" s="239"/>
    </row>
    <row r="802" spans="5:19" x14ac:dyDescent="0.25">
      <c r="F802" s="196" t="s">
        <v>937</v>
      </c>
      <c r="G802" s="196" t="s">
        <v>169</v>
      </c>
      <c r="H802" s="196" t="s">
        <v>479</v>
      </c>
      <c r="I802" s="66"/>
      <c r="J802" s="239"/>
      <c r="K802" s="234"/>
      <c r="L802" s="239"/>
      <c r="M802" s="239"/>
      <c r="N802" s="239"/>
      <c r="O802" s="239"/>
      <c r="P802" s="239"/>
      <c r="Q802" s="239"/>
      <c r="R802" s="239"/>
      <c r="S802" s="239"/>
    </row>
    <row r="803" spans="5:19" x14ac:dyDescent="0.25">
      <c r="F803" s="196" t="s">
        <v>938</v>
      </c>
      <c r="G803" s="196" t="s">
        <v>169</v>
      </c>
      <c r="H803" s="196" t="s">
        <v>479</v>
      </c>
      <c r="I803" s="66"/>
      <c r="J803" s="239"/>
      <c r="K803" s="234"/>
      <c r="L803" s="239"/>
      <c r="M803" s="239"/>
      <c r="N803" s="239"/>
      <c r="O803" s="239"/>
      <c r="P803" s="239"/>
      <c r="Q803" s="239"/>
      <c r="R803" s="239"/>
      <c r="S803" s="239"/>
    </row>
    <row r="804" spans="5:19" x14ac:dyDescent="0.25">
      <c r="F804" s="196" t="s">
        <v>939</v>
      </c>
      <c r="G804" s="196" t="s">
        <v>169</v>
      </c>
      <c r="H804" s="196" t="s">
        <v>479</v>
      </c>
      <c r="I804" s="66"/>
      <c r="J804" s="239"/>
      <c r="K804" s="234"/>
      <c r="L804" s="239"/>
      <c r="M804" s="239"/>
      <c r="N804" s="239"/>
      <c r="O804" s="239"/>
      <c r="P804" s="239"/>
      <c r="Q804" s="239"/>
      <c r="R804" s="239"/>
      <c r="S804" s="239"/>
    </row>
    <row r="805" spans="5:19" x14ac:dyDescent="0.25">
      <c r="F805" s="196" t="s">
        <v>940</v>
      </c>
      <c r="G805" s="196" t="s">
        <v>169</v>
      </c>
      <c r="H805" s="196" t="s">
        <v>479</v>
      </c>
      <c r="I805" s="66"/>
      <c r="J805" s="239"/>
      <c r="K805" s="234"/>
      <c r="L805" s="239"/>
      <c r="M805" s="239"/>
      <c r="N805" s="239"/>
      <c r="O805" s="239"/>
      <c r="P805" s="239"/>
      <c r="Q805" s="239"/>
      <c r="R805" s="239"/>
      <c r="S805" s="239"/>
    </row>
    <row r="806" spans="5:19" x14ac:dyDescent="0.25">
      <c r="F806" s="93" t="s">
        <v>941</v>
      </c>
      <c r="G806" s="93" t="s">
        <v>169</v>
      </c>
      <c r="H806" s="93" t="s">
        <v>479</v>
      </c>
      <c r="I806" s="145"/>
      <c r="J806" s="240"/>
      <c r="K806" s="236"/>
      <c r="L806" s="240"/>
      <c r="M806" s="240"/>
      <c r="N806" s="240"/>
      <c r="O806" s="240"/>
      <c r="P806" s="240"/>
      <c r="Q806" s="240"/>
      <c r="R806" s="240"/>
      <c r="S806" s="240"/>
    </row>
    <row r="807" spans="5:19" x14ac:dyDescent="0.25">
      <c r="J807" s="237"/>
      <c r="K807" s="237"/>
      <c r="L807" s="237"/>
      <c r="M807" s="237"/>
      <c r="N807" s="237"/>
      <c r="O807" s="237"/>
      <c r="P807" s="237"/>
      <c r="Q807" s="237"/>
      <c r="R807" s="237"/>
      <c r="S807" s="237"/>
    </row>
    <row r="808" spans="5:19" x14ac:dyDescent="0.25">
      <c r="E808" s="144" t="s">
        <v>204</v>
      </c>
      <c r="J808" s="237"/>
      <c r="K808" s="237"/>
      <c r="L808" s="237"/>
      <c r="M808" s="237"/>
      <c r="N808" s="237"/>
      <c r="O808" s="237"/>
      <c r="P808" s="237"/>
      <c r="Q808" s="237"/>
      <c r="R808" s="237"/>
      <c r="S808" s="237"/>
    </row>
    <row r="809" spans="5:19" x14ac:dyDescent="0.25">
      <c r="F809" s="91" t="s">
        <v>926</v>
      </c>
      <c r="G809" s="91" t="s">
        <v>170</v>
      </c>
      <c r="H809" s="91" t="s">
        <v>479</v>
      </c>
      <c r="I809" s="112"/>
      <c r="J809" s="238"/>
      <c r="K809" s="232"/>
      <c r="L809" s="238"/>
      <c r="M809" s="238"/>
      <c r="N809" s="238"/>
      <c r="O809" s="238"/>
      <c r="P809" s="238"/>
      <c r="Q809" s="238"/>
      <c r="R809" s="238"/>
      <c r="S809" s="238"/>
    </row>
    <row r="810" spans="5:19" x14ac:dyDescent="0.25">
      <c r="F810" s="196" t="s">
        <v>927</v>
      </c>
      <c r="G810" s="196" t="s">
        <v>170</v>
      </c>
      <c r="H810" s="196" t="s">
        <v>479</v>
      </c>
      <c r="I810" s="66"/>
      <c r="J810" s="239"/>
      <c r="K810" s="234"/>
      <c r="L810" s="239"/>
      <c r="M810" s="239"/>
      <c r="N810" s="239"/>
      <c r="O810" s="239"/>
      <c r="P810" s="239"/>
      <c r="Q810" s="239"/>
      <c r="R810" s="239"/>
      <c r="S810" s="239"/>
    </row>
    <row r="811" spans="5:19" x14ac:dyDescent="0.25">
      <c r="F811" s="196" t="s">
        <v>928</v>
      </c>
      <c r="G811" s="196" t="s">
        <v>170</v>
      </c>
      <c r="H811" s="196" t="s">
        <v>479</v>
      </c>
      <c r="I811" s="66"/>
      <c r="J811" s="239"/>
      <c r="K811" s="234"/>
      <c r="L811" s="239"/>
      <c r="M811" s="239"/>
      <c r="N811" s="239"/>
      <c r="O811" s="239"/>
      <c r="P811" s="239"/>
      <c r="Q811" s="239"/>
      <c r="R811" s="239"/>
      <c r="S811" s="239"/>
    </row>
    <row r="812" spans="5:19" x14ac:dyDescent="0.25">
      <c r="F812" s="196" t="s">
        <v>929</v>
      </c>
      <c r="G812" s="196" t="s">
        <v>170</v>
      </c>
      <c r="H812" s="196" t="s">
        <v>479</v>
      </c>
      <c r="I812" s="66"/>
      <c r="J812" s="239"/>
      <c r="K812" s="234"/>
      <c r="L812" s="239"/>
      <c r="M812" s="239"/>
      <c r="N812" s="239"/>
      <c r="O812" s="239"/>
      <c r="P812" s="239"/>
      <c r="Q812" s="239"/>
      <c r="R812" s="239"/>
      <c r="S812" s="239"/>
    </row>
    <row r="813" spans="5:19" x14ac:dyDescent="0.25">
      <c r="F813" s="196" t="s">
        <v>930</v>
      </c>
      <c r="G813" s="196" t="s">
        <v>170</v>
      </c>
      <c r="H813" s="196" t="s">
        <v>479</v>
      </c>
      <c r="I813" s="66"/>
      <c r="J813" s="233">
        <f t="shared" ref="J813" si="74">CHOOSE(year_selection, L813,M813,N813,O813,P813,Q813,R813,S813)</f>
        <v>0.37449607950128161</v>
      </c>
      <c r="K813" s="234"/>
      <c r="L813" s="330"/>
      <c r="M813" s="330"/>
      <c r="N813" s="330"/>
      <c r="O813" s="330">
        <v>0.37449607950128161</v>
      </c>
      <c r="P813" s="330">
        <v>0.40663861011816421</v>
      </c>
      <c r="Q813" s="330">
        <v>0.40663861011816421</v>
      </c>
      <c r="R813" s="330">
        <v>0.43878114073504682</v>
      </c>
      <c r="S813" s="330">
        <v>0.47092367135192942</v>
      </c>
    </row>
    <row r="814" spans="5:19" x14ac:dyDescent="0.25">
      <c r="F814" s="196" t="s">
        <v>931</v>
      </c>
      <c r="G814" s="196" t="s">
        <v>170</v>
      </c>
      <c r="H814" s="196" t="s">
        <v>479</v>
      </c>
      <c r="I814" s="66"/>
      <c r="J814" s="518"/>
      <c r="K814" s="519"/>
      <c r="L814" s="518"/>
      <c r="M814" s="518"/>
      <c r="N814" s="518"/>
      <c r="O814" s="518"/>
      <c r="P814" s="518"/>
      <c r="Q814" s="518"/>
      <c r="R814" s="518"/>
      <c r="S814" s="518"/>
    </row>
    <row r="815" spans="5:19" x14ac:dyDescent="0.25">
      <c r="F815" s="196" t="s">
        <v>932</v>
      </c>
      <c r="G815" s="196" t="s">
        <v>170</v>
      </c>
      <c r="H815" s="196" t="s">
        <v>479</v>
      </c>
      <c r="I815" s="66"/>
      <c r="J815" s="518"/>
      <c r="K815" s="519"/>
      <c r="L815" s="518"/>
      <c r="M815" s="518"/>
      <c r="N815" s="518"/>
      <c r="O815" s="518"/>
      <c r="P815" s="518"/>
      <c r="Q815" s="518"/>
      <c r="R815" s="518"/>
      <c r="S815" s="518"/>
    </row>
    <row r="816" spans="5:19" x14ac:dyDescent="0.25">
      <c r="F816" s="196" t="s">
        <v>933</v>
      </c>
      <c r="G816" s="196" t="s">
        <v>170</v>
      </c>
      <c r="H816" s="196" t="s">
        <v>479</v>
      </c>
      <c r="I816" s="66"/>
      <c r="J816" s="239"/>
      <c r="K816" s="234"/>
      <c r="L816" s="239"/>
      <c r="M816" s="239"/>
      <c r="N816" s="239"/>
      <c r="O816" s="239"/>
      <c r="P816" s="239"/>
      <c r="Q816" s="239"/>
      <c r="R816" s="239"/>
      <c r="S816" s="239"/>
    </row>
    <row r="817" spans="3:21" x14ac:dyDescent="0.25">
      <c r="F817" s="196" t="s">
        <v>934</v>
      </c>
      <c r="G817" s="196" t="s">
        <v>170</v>
      </c>
      <c r="H817" s="196" t="s">
        <v>479</v>
      </c>
      <c r="I817" s="66"/>
      <c r="J817" s="239"/>
      <c r="K817" s="234"/>
      <c r="L817" s="239"/>
      <c r="M817" s="239"/>
      <c r="N817" s="239"/>
      <c r="O817" s="239"/>
      <c r="P817" s="239"/>
      <c r="Q817" s="239"/>
      <c r="R817" s="239"/>
      <c r="S817" s="239"/>
    </row>
    <row r="818" spans="3:21" x14ac:dyDescent="0.25">
      <c r="F818" s="196" t="s">
        <v>935</v>
      </c>
      <c r="G818" s="196" t="s">
        <v>170</v>
      </c>
      <c r="H818" s="196" t="s">
        <v>479</v>
      </c>
      <c r="I818" s="66"/>
      <c r="J818" s="239"/>
      <c r="K818" s="234"/>
      <c r="L818" s="239"/>
      <c r="M818" s="239"/>
      <c r="N818" s="239"/>
      <c r="O818" s="239"/>
      <c r="P818" s="239"/>
      <c r="Q818" s="239"/>
      <c r="R818" s="239"/>
      <c r="S818" s="239"/>
    </row>
    <row r="819" spans="3:21" x14ac:dyDescent="0.25">
      <c r="F819" s="196" t="s">
        <v>936</v>
      </c>
      <c r="G819" s="196" t="s">
        <v>170</v>
      </c>
      <c r="H819" s="196" t="s">
        <v>479</v>
      </c>
      <c r="I819" s="66"/>
      <c r="J819" s="233">
        <f t="shared" ref="J819" si="75">CHOOSE(year_selection, L819,M819,N819,O819,P819,Q819,R819,S819)</f>
        <v>0</v>
      </c>
      <c r="K819" s="234"/>
      <c r="L819" s="330"/>
      <c r="M819" s="330"/>
      <c r="N819" s="330"/>
      <c r="O819" s="330"/>
      <c r="P819" s="330"/>
      <c r="Q819" s="330"/>
      <c r="R819" s="330"/>
      <c r="S819" s="330"/>
    </row>
    <row r="820" spans="3:21" x14ac:dyDescent="0.25">
      <c r="F820" s="196" t="s">
        <v>937</v>
      </c>
      <c r="G820" s="196" t="s">
        <v>170</v>
      </c>
      <c r="H820" s="196" t="s">
        <v>479</v>
      </c>
      <c r="I820" s="66"/>
      <c r="J820" s="239"/>
      <c r="K820" s="234"/>
      <c r="L820" s="239"/>
      <c r="M820" s="239"/>
      <c r="N820" s="239"/>
      <c r="O820" s="239"/>
      <c r="P820" s="239"/>
      <c r="Q820" s="239"/>
      <c r="R820" s="239"/>
      <c r="S820" s="239"/>
    </row>
    <row r="821" spans="3:21" x14ac:dyDescent="0.25">
      <c r="F821" s="196" t="s">
        <v>938</v>
      </c>
      <c r="G821" s="196" t="s">
        <v>170</v>
      </c>
      <c r="H821" s="196" t="s">
        <v>479</v>
      </c>
      <c r="I821" s="66"/>
      <c r="J821" s="239"/>
      <c r="K821" s="234"/>
      <c r="L821" s="239"/>
      <c r="M821" s="239"/>
      <c r="N821" s="239"/>
      <c r="O821" s="239"/>
      <c r="P821" s="239"/>
      <c r="Q821" s="239"/>
      <c r="R821" s="239"/>
      <c r="S821" s="239"/>
    </row>
    <row r="822" spans="3:21" x14ac:dyDescent="0.25">
      <c r="F822" s="196" t="s">
        <v>939</v>
      </c>
      <c r="G822" s="196" t="s">
        <v>170</v>
      </c>
      <c r="H822" s="196" t="s">
        <v>479</v>
      </c>
      <c r="I822" s="66"/>
      <c r="J822" s="239"/>
      <c r="K822" s="234"/>
      <c r="L822" s="239"/>
      <c r="M822" s="239"/>
      <c r="N822" s="239"/>
      <c r="O822" s="239"/>
      <c r="P822" s="239"/>
      <c r="Q822" s="239"/>
      <c r="R822" s="239"/>
      <c r="S822" s="239"/>
    </row>
    <row r="823" spans="3:21" x14ac:dyDescent="0.25">
      <c r="F823" s="196" t="s">
        <v>940</v>
      </c>
      <c r="G823" s="196" t="s">
        <v>170</v>
      </c>
      <c r="H823" s="196" t="s">
        <v>479</v>
      </c>
      <c r="I823" s="66"/>
      <c r="J823" s="239"/>
      <c r="K823" s="234"/>
      <c r="L823" s="239"/>
      <c r="M823" s="239"/>
      <c r="N823" s="239"/>
      <c r="O823" s="239"/>
      <c r="P823" s="239"/>
      <c r="Q823" s="239"/>
      <c r="R823" s="239"/>
      <c r="S823" s="239"/>
    </row>
    <row r="824" spans="3:21" x14ac:dyDescent="0.25">
      <c r="F824" s="93" t="s">
        <v>941</v>
      </c>
      <c r="G824" s="93" t="s">
        <v>170</v>
      </c>
      <c r="H824" s="93" t="s">
        <v>479</v>
      </c>
      <c r="I824" s="145"/>
      <c r="J824" s="240"/>
      <c r="K824" s="236"/>
      <c r="L824" s="240"/>
      <c r="M824" s="240"/>
      <c r="N824" s="240"/>
      <c r="O824" s="240"/>
      <c r="P824" s="240"/>
      <c r="Q824" s="240"/>
      <c r="R824" s="240"/>
      <c r="S824" s="240"/>
    </row>
    <row r="825" spans="3:21" x14ac:dyDescent="0.25">
      <c r="J825" s="237"/>
      <c r="K825" s="237"/>
      <c r="L825" s="237"/>
      <c r="M825" s="237"/>
      <c r="N825" s="237"/>
      <c r="O825" s="237"/>
      <c r="P825" s="237"/>
      <c r="Q825" s="237"/>
      <c r="R825" s="237"/>
      <c r="S825" s="237"/>
    </row>
    <row r="826" spans="3:21" s="293" customFormat="1" x14ac:dyDescent="0.25">
      <c r="C826" s="7" t="str">
        <f ca="1">INDEX('Version control'!$H$35:$H$61,MATCH($A$1,'Version control'!$F$35:$F$61,0),1)&amp;"-I: LDNO LV volumes - Residual band 1"</f>
        <v>Input 501-I: LDNO LV volumes - Residual band 1</v>
      </c>
      <c r="D826" s="7"/>
      <c r="E826" s="7"/>
      <c r="F826" s="7"/>
      <c r="G826" s="7"/>
      <c r="H826" s="7"/>
      <c r="I826" s="171"/>
      <c r="J826" s="7"/>
      <c r="K826" s="7"/>
      <c r="L826" s="7"/>
      <c r="M826" s="7"/>
      <c r="N826" s="7"/>
      <c r="O826" s="7"/>
      <c r="P826" s="7"/>
      <c r="Q826" s="7"/>
      <c r="R826" s="7"/>
      <c r="S826" s="7"/>
      <c r="T826" s="7"/>
      <c r="U826" s="7"/>
    </row>
    <row r="827" spans="3:21" s="293" customFormat="1" x14ac:dyDescent="0.25">
      <c r="D827" s="96"/>
      <c r="I827" s="111"/>
    </row>
    <row r="828" spans="3:21" s="293" customFormat="1" x14ac:dyDescent="0.25">
      <c r="E828" s="144" t="s">
        <v>199</v>
      </c>
      <c r="I828" s="111" t="s">
        <v>359</v>
      </c>
      <c r="U828" s="293" t="s">
        <v>692</v>
      </c>
    </row>
    <row r="829" spans="3:21" s="293" customFormat="1" x14ac:dyDescent="0.25">
      <c r="F829" s="91" t="s">
        <v>926</v>
      </c>
      <c r="G829" s="91" t="s">
        <v>120</v>
      </c>
      <c r="H829" s="91" t="s">
        <v>479</v>
      </c>
      <c r="I829" s="112"/>
      <c r="J829" s="231">
        <f t="shared" ref="J829" si="76">CHOOSE(year_selection, L829,M829,N829,O829,P829,Q829,R829,S829)</f>
        <v>12427.22138594751</v>
      </c>
      <c r="K829" s="232"/>
      <c r="L829" s="329"/>
      <c r="M829" s="329"/>
      <c r="N829" s="329"/>
      <c r="O829" s="329">
        <v>12427.22138594751</v>
      </c>
      <c r="P829" s="329">
        <v>13179.098636898112</v>
      </c>
      <c r="Q829" s="329">
        <v>14652.463192006866</v>
      </c>
      <c r="R829" s="329">
        <v>15977.850991588348</v>
      </c>
      <c r="S829" s="329">
        <v>17303.238791169828</v>
      </c>
    </row>
    <row r="830" spans="3:21" s="293" customFormat="1" x14ac:dyDescent="0.25">
      <c r="F830" s="196" t="s">
        <v>927</v>
      </c>
      <c r="G830" s="196" t="s">
        <v>120</v>
      </c>
      <c r="H830" s="196" t="s">
        <v>479</v>
      </c>
      <c r="I830" s="66"/>
      <c r="J830" s="239"/>
      <c r="K830" s="234"/>
      <c r="L830" s="239"/>
      <c r="M830" s="239"/>
      <c r="N830" s="239"/>
      <c r="O830" s="239"/>
      <c r="P830" s="239"/>
      <c r="Q830" s="239"/>
      <c r="R830" s="239"/>
      <c r="S830" s="239"/>
    </row>
    <row r="831" spans="3:21" s="293" customFormat="1" x14ac:dyDescent="0.25">
      <c r="F831" s="196" t="s">
        <v>928</v>
      </c>
      <c r="G831" s="196" t="s">
        <v>120</v>
      </c>
      <c r="H831" s="196" t="s">
        <v>479</v>
      </c>
      <c r="I831" s="66"/>
      <c r="J831" s="233">
        <f t="shared" ref="J831" si="77">CHOOSE(year_selection, L831,M831,N831,O831,P831,Q831,R831,S831)</f>
        <v>37.872262004414956</v>
      </c>
      <c r="K831" s="234"/>
      <c r="L831" s="330"/>
      <c r="M831" s="330"/>
      <c r="N831" s="330"/>
      <c r="O831" s="330">
        <v>37.872262004414956</v>
      </c>
      <c r="P831" s="330">
        <v>40.578632413367302</v>
      </c>
      <c r="Q831" s="330">
        <v>42.235753076767125</v>
      </c>
      <c r="R831" s="330">
        <v>43.502640419344281</v>
      </c>
      <c r="S831" s="330">
        <v>44.769527761921431</v>
      </c>
    </row>
    <row r="832" spans="3:21" s="293" customFormat="1" x14ac:dyDescent="0.25">
      <c r="F832" s="196" t="s">
        <v>929</v>
      </c>
      <c r="G832" s="196" t="s">
        <v>120</v>
      </c>
      <c r="H832" s="196" t="s">
        <v>479</v>
      </c>
      <c r="I832" s="66"/>
      <c r="J832" s="239"/>
      <c r="K832" s="234"/>
      <c r="L832" s="239"/>
      <c r="M832" s="239"/>
      <c r="N832" s="239"/>
      <c r="O832" s="239"/>
      <c r="P832" s="239"/>
      <c r="Q832" s="239"/>
      <c r="R832" s="239"/>
      <c r="S832" s="239"/>
    </row>
    <row r="833" spans="5:19" s="293" customFormat="1" x14ac:dyDescent="0.25">
      <c r="F833" s="196" t="s">
        <v>930</v>
      </c>
      <c r="G833" s="196" t="s">
        <v>120</v>
      </c>
      <c r="H833" s="196" t="s">
        <v>479</v>
      </c>
      <c r="I833" s="66"/>
      <c r="J833" s="233">
        <f t="shared" ref="J833" si="78">CHOOSE(year_selection, L833,M833,N833,O833,P833,Q833,R833,S833)</f>
        <v>310.12514089933438</v>
      </c>
      <c r="K833" s="234"/>
      <c r="L833" s="330"/>
      <c r="M833" s="330"/>
      <c r="N833" s="330"/>
      <c r="O833" s="330">
        <v>310.12514089933438</v>
      </c>
      <c r="P833" s="330">
        <v>317.24499203715214</v>
      </c>
      <c r="Q833" s="330">
        <v>342.31931456585892</v>
      </c>
      <c r="R833" s="330">
        <v>367.39363709456569</v>
      </c>
      <c r="S833" s="330">
        <v>392.46795962327252</v>
      </c>
    </row>
    <row r="834" spans="5:19" s="293" customFormat="1" x14ac:dyDescent="0.25">
      <c r="F834" s="196" t="s">
        <v>931</v>
      </c>
      <c r="G834" s="196" t="s">
        <v>120</v>
      </c>
      <c r="H834" s="196" t="s">
        <v>479</v>
      </c>
      <c r="I834" s="66"/>
      <c r="J834" s="239"/>
      <c r="K834" s="234"/>
      <c r="L834" s="239"/>
      <c r="M834" s="239"/>
      <c r="N834" s="239"/>
      <c r="O834" s="239"/>
      <c r="P834" s="239"/>
      <c r="Q834" s="239"/>
      <c r="R834" s="239"/>
      <c r="S834" s="239"/>
    </row>
    <row r="835" spans="5:19" s="293" customFormat="1" x14ac:dyDescent="0.25">
      <c r="F835" s="196" t="s">
        <v>932</v>
      </c>
      <c r="G835" s="196" t="s">
        <v>120</v>
      </c>
      <c r="H835" s="196" t="s">
        <v>479</v>
      </c>
      <c r="I835" s="66"/>
      <c r="J835" s="239"/>
      <c r="K835" s="234"/>
      <c r="L835" s="239"/>
      <c r="M835" s="239"/>
      <c r="N835" s="239"/>
      <c r="O835" s="239"/>
      <c r="P835" s="239"/>
      <c r="Q835" s="239"/>
      <c r="R835" s="239"/>
      <c r="S835" s="239"/>
    </row>
    <row r="836" spans="5:19" s="293" customFormat="1" x14ac:dyDescent="0.25">
      <c r="F836" s="196" t="s">
        <v>933</v>
      </c>
      <c r="G836" s="196" t="s">
        <v>120</v>
      </c>
      <c r="H836" s="196" t="s">
        <v>479</v>
      </c>
      <c r="I836" s="66"/>
      <c r="J836" s="233">
        <f t="shared" ref="J836" si="79">CHOOSE(year_selection, L836,M836,N836,O836,P836,Q836,R836,S836)</f>
        <v>8.385521972809924</v>
      </c>
      <c r="K836" s="234"/>
      <c r="L836" s="330"/>
      <c r="M836" s="330"/>
      <c r="N836" s="330"/>
      <c r="O836" s="330">
        <v>8.385521972809924</v>
      </c>
      <c r="P836" s="330">
        <v>8.385521972809924</v>
      </c>
      <c r="Q836" s="330">
        <v>8.385521972809924</v>
      </c>
      <c r="R836" s="330">
        <v>8.385521972809924</v>
      </c>
      <c r="S836" s="330">
        <v>8.385521972809924</v>
      </c>
    </row>
    <row r="837" spans="5:19" s="293" customFormat="1" x14ac:dyDescent="0.25">
      <c r="F837" s="196" t="s">
        <v>934</v>
      </c>
      <c r="G837" s="196" t="s">
        <v>120</v>
      </c>
      <c r="H837" s="196" t="s">
        <v>479</v>
      </c>
      <c r="I837" s="66"/>
      <c r="J837" s="239"/>
      <c r="K837" s="234"/>
      <c r="L837" s="239"/>
      <c r="M837" s="239"/>
      <c r="N837" s="239"/>
      <c r="O837" s="239"/>
      <c r="P837" s="239"/>
      <c r="Q837" s="239"/>
      <c r="R837" s="239"/>
      <c r="S837" s="239"/>
    </row>
    <row r="838" spans="5:19" s="293" customFormat="1" x14ac:dyDescent="0.25">
      <c r="F838" s="196" t="s">
        <v>935</v>
      </c>
      <c r="G838" s="196" t="s">
        <v>120</v>
      </c>
      <c r="H838" s="196" t="s">
        <v>479</v>
      </c>
      <c r="I838" s="66"/>
      <c r="J838" s="239"/>
      <c r="K838" s="234"/>
      <c r="L838" s="239"/>
      <c r="M838" s="239"/>
      <c r="N838" s="239"/>
      <c r="O838" s="239"/>
      <c r="P838" s="239"/>
      <c r="Q838" s="239"/>
      <c r="R838" s="239"/>
      <c r="S838" s="239"/>
    </row>
    <row r="839" spans="5:19" s="293" customFormat="1" x14ac:dyDescent="0.25">
      <c r="F839" s="196" t="s">
        <v>936</v>
      </c>
      <c r="G839" s="196" t="s">
        <v>120</v>
      </c>
      <c r="H839" s="196" t="s">
        <v>479</v>
      </c>
      <c r="I839" s="66"/>
      <c r="J839" s="239"/>
      <c r="K839" s="234"/>
      <c r="L839" s="239"/>
      <c r="M839" s="239"/>
      <c r="N839" s="239"/>
      <c r="O839" s="239"/>
      <c r="P839" s="239"/>
      <c r="Q839" s="239"/>
      <c r="R839" s="239"/>
      <c r="S839" s="239"/>
    </row>
    <row r="840" spans="5:19" s="293" customFormat="1" x14ac:dyDescent="0.25">
      <c r="F840" s="196" t="s">
        <v>937</v>
      </c>
      <c r="G840" s="196" t="s">
        <v>120</v>
      </c>
      <c r="H840" s="196" t="s">
        <v>479</v>
      </c>
      <c r="I840" s="66"/>
      <c r="J840" s="239"/>
      <c r="K840" s="234"/>
      <c r="L840" s="239"/>
      <c r="M840" s="239"/>
      <c r="N840" s="239"/>
      <c r="O840" s="239"/>
      <c r="P840" s="239"/>
      <c r="Q840" s="239"/>
      <c r="R840" s="239"/>
      <c r="S840" s="239"/>
    </row>
    <row r="841" spans="5:19" s="293" customFormat="1" x14ac:dyDescent="0.25">
      <c r="F841" s="196" t="s">
        <v>938</v>
      </c>
      <c r="G841" s="196" t="s">
        <v>120</v>
      </c>
      <c r="H841" s="196" t="s">
        <v>479</v>
      </c>
      <c r="I841" s="66"/>
      <c r="J841" s="239"/>
      <c r="K841" s="234"/>
      <c r="L841" s="239"/>
      <c r="M841" s="239"/>
      <c r="N841" s="239"/>
      <c r="O841" s="239"/>
      <c r="P841" s="239"/>
      <c r="Q841" s="239"/>
      <c r="R841" s="239"/>
      <c r="S841" s="239"/>
    </row>
    <row r="842" spans="5:19" s="293" customFormat="1" x14ac:dyDescent="0.25">
      <c r="F842" s="196" t="s">
        <v>939</v>
      </c>
      <c r="G842" s="196" t="s">
        <v>120</v>
      </c>
      <c r="H842" s="196" t="s">
        <v>479</v>
      </c>
      <c r="I842" s="66"/>
      <c r="J842" s="239"/>
      <c r="K842" s="234"/>
      <c r="L842" s="239"/>
      <c r="M842" s="239"/>
      <c r="N842" s="239"/>
      <c r="O842" s="239"/>
      <c r="P842" s="239"/>
      <c r="Q842" s="239"/>
      <c r="R842" s="239"/>
      <c r="S842" s="239"/>
    </row>
    <row r="843" spans="5:19" s="293" customFormat="1" x14ac:dyDescent="0.25">
      <c r="F843" s="196" t="s">
        <v>940</v>
      </c>
      <c r="G843" s="196" t="s">
        <v>120</v>
      </c>
      <c r="H843" s="196" t="s">
        <v>479</v>
      </c>
      <c r="I843" s="66"/>
      <c r="J843" s="239"/>
      <c r="K843" s="234"/>
      <c r="L843" s="239"/>
      <c r="M843" s="239"/>
      <c r="N843" s="239"/>
      <c r="O843" s="239"/>
      <c r="P843" s="239"/>
      <c r="Q843" s="239"/>
      <c r="R843" s="239"/>
      <c r="S843" s="239"/>
    </row>
    <row r="844" spans="5:19" s="293" customFormat="1" x14ac:dyDescent="0.25">
      <c r="F844" s="93" t="s">
        <v>941</v>
      </c>
      <c r="G844" s="93" t="s">
        <v>120</v>
      </c>
      <c r="H844" s="93" t="s">
        <v>479</v>
      </c>
      <c r="I844" s="145"/>
      <c r="J844" s="240"/>
      <c r="K844" s="236"/>
      <c r="L844" s="240"/>
      <c r="M844" s="240"/>
      <c r="N844" s="240"/>
      <c r="O844" s="240"/>
      <c r="P844" s="240"/>
      <c r="Q844" s="240"/>
      <c r="R844" s="240"/>
      <c r="S844" s="240"/>
    </row>
    <row r="845" spans="5:19" s="293" customFormat="1" x14ac:dyDescent="0.25">
      <c r="I845" s="111"/>
      <c r="J845" s="237"/>
      <c r="K845" s="237"/>
      <c r="L845" s="237"/>
      <c r="M845" s="237"/>
      <c r="N845" s="237"/>
      <c r="O845" s="237"/>
      <c r="P845" s="237"/>
      <c r="Q845" s="237"/>
      <c r="R845" s="237"/>
      <c r="S845" s="237"/>
    </row>
    <row r="846" spans="5:19" s="293" customFormat="1" x14ac:dyDescent="0.25">
      <c r="E846" s="144" t="s">
        <v>200</v>
      </c>
      <c r="I846" s="111"/>
      <c r="J846" s="237"/>
      <c r="K846" s="237"/>
      <c r="L846" s="237"/>
      <c r="M846" s="237"/>
      <c r="N846" s="237"/>
      <c r="O846" s="237"/>
      <c r="P846" s="237"/>
      <c r="Q846" s="237"/>
      <c r="R846" s="237"/>
      <c r="S846" s="237"/>
    </row>
    <row r="847" spans="5:19" s="293" customFormat="1" x14ac:dyDescent="0.25">
      <c r="F847" s="91" t="s">
        <v>926</v>
      </c>
      <c r="G847" s="91" t="s">
        <v>120</v>
      </c>
      <c r="H847" s="91" t="s">
        <v>479</v>
      </c>
      <c r="I847" s="112"/>
      <c r="J847" s="231">
        <f t="shared" ref="J847" si="80">CHOOSE(year_selection, L847,M847,N847,O847,P847,Q847,R847,S847)</f>
        <v>51168.232381723828</v>
      </c>
      <c r="K847" s="232"/>
      <c r="L847" s="329"/>
      <c r="M847" s="329"/>
      <c r="N847" s="329"/>
      <c r="O847" s="329">
        <v>51168.232381723828</v>
      </c>
      <c r="P847" s="329">
        <v>53294.185256864519</v>
      </c>
      <c r="Q847" s="329">
        <v>58468.560410807368</v>
      </c>
      <c r="R847" s="329">
        <v>63714.615569788388</v>
      </c>
      <c r="S847" s="329">
        <v>68960.670728769401</v>
      </c>
    </row>
    <row r="848" spans="5:19" s="293" customFormat="1" x14ac:dyDescent="0.25">
      <c r="F848" s="196" t="s">
        <v>927</v>
      </c>
      <c r="G848" s="196" t="s">
        <v>120</v>
      </c>
      <c r="H848" s="196" t="s">
        <v>479</v>
      </c>
      <c r="I848" s="66"/>
      <c r="J848" s="239"/>
      <c r="K848" s="234"/>
      <c r="L848" s="239"/>
      <c r="M848" s="239"/>
      <c r="N848" s="239"/>
      <c r="O848" s="239"/>
      <c r="P848" s="239"/>
      <c r="Q848" s="239"/>
      <c r="R848" s="239"/>
      <c r="S848" s="239"/>
    </row>
    <row r="849" spans="5:19" s="293" customFormat="1" x14ac:dyDescent="0.25">
      <c r="F849" s="196" t="s">
        <v>928</v>
      </c>
      <c r="G849" s="196" t="s">
        <v>120</v>
      </c>
      <c r="H849" s="196" t="s">
        <v>479</v>
      </c>
      <c r="I849" s="66"/>
      <c r="J849" s="233">
        <f t="shared" ref="J849" si="81">CHOOSE(year_selection, L849,M849,N849,O849,P849,Q849,R849,S849)</f>
        <v>240.50908241556351</v>
      </c>
      <c r="K849" s="234"/>
      <c r="L849" s="330"/>
      <c r="M849" s="330"/>
      <c r="N849" s="330"/>
      <c r="O849" s="330">
        <v>240.50908241556351</v>
      </c>
      <c r="P849" s="330">
        <v>258.28937069167506</v>
      </c>
      <c r="Q849" s="330">
        <v>269.07540805527867</v>
      </c>
      <c r="R849" s="330">
        <v>277.21108479150644</v>
      </c>
      <c r="S849" s="330">
        <v>285.34676152773415</v>
      </c>
    </row>
    <row r="850" spans="5:19" s="293" customFormat="1" x14ac:dyDescent="0.25">
      <c r="F850" s="196" t="s">
        <v>929</v>
      </c>
      <c r="G850" s="196" t="s">
        <v>120</v>
      </c>
      <c r="H850" s="196" t="s">
        <v>479</v>
      </c>
      <c r="I850" s="66"/>
      <c r="J850" s="239"/>
      <c r="K850" s="234"/>
      <c r="L850" s="239"/>
      <c r="M850" s="239"/>
      <c r="N850" s="239"/>
      <c r="O850" s="239"/>
      <c r="P850" s="239"/>
      <c r="Q850" s="239"/>
      <c r="R850" s="239"/>
      <c r="S850" s="239"/>
    </row>
    <row r="851" spans="5:19" s="293" customFormat="1" x14ac:dyDescent="0.25">
      <c r="F851" s="196" t="s">
        <v>930</v>
      </c>
      <c r="G851" s="196" t="s">
        <v>120</v>
      </c>
      <c r="H851" s="196" t="s">
        <v>479</v>
      </c>
      <c r="I851" s="66"/>
      <c r="J851" s="233">
        <f t="shared" ref="J851" si="82">CHOOSE(year_selection, L851,M851,N851,O851,P851,Q851,R851,S851)</f>
        <v>1817.0940405316005</v>
      </c>
      <c r="K851" s="234"/>
      <c r="L851" s="330"/>
      <c r="M851" s="330"/>
      <c r="N851" s="330"/>
      <c r="O851" s="330">
        <v>1817.0940405316005</v>
      </c>
      <c r="P851" s="330">
        <v>1858.8177099527984</v>
      </c>
      <c r="Q851" s="330">
        <v>2005.7407284840699</v>
      </c>
      <c r="R851" s="330">
        <v>2152.6637470153405</v>
      </c>
      <c r="S851" s="330">
        <v>2299.5867655466109</v>
      </c>
    </row>
    <row r="852" spans="5:19" s="293" customFormat="1" x14ac:dyDescent="0.25">
      <c r="F852" s="196" t="s">
        <v>931</v>
      </c>
      <c r="G852" s="196" t="s">
        <v>120</v>
      </c>
      <c r="H852" s="196" t="s">
        <v>479</v>
      </c>
      <c r="I852" s="66"/>
      <c r="J852" s="239"/>
      <c r="K852" s="234"/>
      <c r="L852" s="239"/>
      <c r="M852" s="239"/>
      <c r="N852" s="239"/>
      <c r="O852" s="239"/>
      <c r="P852" s="239"/>
      <c r="Q852" s="239"/>
      <c r="R852" s="239"/>
      <c r="S852" s="239"/>
    </row>
    <row r="853" spans="5:19" s="293" customFormat="1" x14ac:dyDescent="0.25">
      <c r="F853" s="196" t="s">
        <v>932</v>
      </c>
      <c r="G853" s="196" t="s">
        <v>120</v>
      </c>
      <c r="H853" s="196" t="s">
        <v>479</v>
      </c>
      <c r="I853" s="66"/>
      <c r="J853" s="239"/>
      <c r="K853" s="234"/>
      <c r="L853" s="239"/>
      <c r="M853" s="239"/>
      <c r="N853" s="239"/>
      <c r="O853" s="239"/>
      <c r="P853" s="239"/>
      <c r="Q853" s="239"/>
      <c r="R853" s="239"/>
      <c r="S853" s="239"/>
    </row>
    <row r="854" spans="5:19" s="293" customFormat="1" x14ac:dyDescent="0.25">
      <c r="F854" s="196" t="s">
        <v>933</v>
      </c>
      <c r="G854" s="196" t="s">
        <v>120</v>
      </c>
      <c r="H854" s="196" t="s">
        <v>479</v>
      </c>
      <c r="I854" s="66"/>
      <c r="J854" s="233">
        <f t="shared" ref="J854" si="83">CHOOSE(year_selection, L854,M854,N854,O854,P854,Q854,R854,S854)</f>
        <v>52.712365653495674</v>
      </c>
      <c r="K854" s="234"/>
      <c r="L854" s="330"/>
      <c r="M854" s="330"/>
      <c r="N854" s="330"/>
      <c r="O854" s="330">
        <v>52.712365653495674</v>
      </c>
      <c r="P854" s="330">
        <v>52.712365653495674</v>
      </c>
      <c r="Q854" s="330">
        <v>52.712365653495674</v>
      </c>
      <c r="R854" s="330">
        <v>52.712365653495674</v>
      </c>
      <c r="S854" s="330">
        <v>52.712365653495674</v>
      </c>
    </row>
    <row r="855" spans="5:19" s="293" customFormat="1" x14ac:dyDescent="0.25">
      <c r="F855" s="196" t="s">
        <v>934</v>
      </c>
      <c r="G855" s="196" t="s">
        <v>120</v>
      </c>
      <c r="H855" s="196" t="s">
        <v>479</v>
      </c>
      <c r="I855" s="66"/>
      <c r="J855" s="239"/>
      <c r="K855" s="234"/>
      <c r="L855" s="239"/>
      <c r="M855" s="239"/>
      <c r="N855" s="239"/>
      <c r="O855" s="239"/>
      <c r="P855" s="239"/>
      <c r="Q855" s="239"/>
      <c r="R855" s="239"/>
      <c r="S855" s="239"/>
    </row>
    <row r="856" spans="5:19" s="293" customFormat="1" x14ac:dyDescent="0.25">
      <c r="F856" s="196" t="s">
        <v>935</v>
      </c>
      <c r="G856" s="196" t="s">
        <v>120</v>
      </c>
      <c r="H856" s="196" t="s">
        <v>479</v>
      </c>
      <c r="I856" s="66"/>
      <c r="J856" s="239"/>
      <c r="K856" s="234"/>
      <c r="L856" s="239"/>
      <c r="M856" s="239"/>
      <c r="N856" s="239"/>
      <c r="O856" s="239"/>
      <c r="P856" s="239"/>
      <c r="Q856" s="239"/>
      <c r="R856" s="239"/>
      <c r="S856" s="239"/>
    </row>
    <row r="857" spans="5:19" s="293" customFormat="1" x14ac:dyDescent="0.25">
      <c r="F857" s="196" t="s">
        <v>936</v>
      </c>
      <c r="G857" s="196" t="s">
        <v>120</v>
      </c>
      <c r="H857" s="196" t="s">
        <v>479</v>
      </c>
      <c r="I857" s="66"/>
      <c r="J857" s="239"/>
      <c r="K857" s="234"/>
      <c r="L857" s="239"/>
      <c r="M857" s="239"/>
      <c r="N857" s="239"/>
      <c r="O857" s="239"/>
      <c r="P857" s="239"/>
      <c r="Q857" s="239"/>
      <c r="R857" s="239"/>
      <c r="S857" s="239"/>
    </row>
    <row r="858" spans="5:19" s="293" customFormat="1" x14ac:dyDescent="0.25">
      <c r="F858" s="196" t="s">
        <v>937</v>
      </c>
      <c r="G858" s="196" t="s">
        <v>120</v>
      </c>
      <c r="H858" s="196" t="s">
        <v>479</v>
      </c>
      <c r="I858" s="66"/>
      <c r="J858" s="239"/>
      <c r="K858" s="234"/>
      <c r="L858" s="239"/>
      <c r="M858" s="239"/>
      <c r="N858" s="239"/>
      <c r="O858" s="239"/>
      <c r="P858" s="239"/>
      <c r="Q858" s="239"/>
      <c r="R858" s="239"/>
      <c r="S858" s="239"/>
    </row>
    <row r="859" spans="5:19" s="293" customFormat="1" x14ac:dyDescent="0.25">
      <c r="F859" s="196" t="s">
        <v>938</v>
      </c>
      <c r="G859" s="196" t="s">
        <v>120</v>
      </c>
      <c r="H859" s="196" t="s">
        <v>479</v>
      </c>
      <c r="I859" s="66"/>
      <c r="J859" s="239"/>
      <c r="K859" s="234"/>
      <c r="L859" s="239"/>
      <c r="M859" s="239"/>
      <c r="N859" s="239"/>
      <c r="O859" s="239"/>
      <c r="P859" s="239"/>
      <c r="Q859" s="239"/>
      <c r="R859" s="239"/>
      <c r="S859" s="239"/>
    </row>
    <row r="860" spans="5:19" s="293" customFormat="1" x14ac:dyDescent="0.25">
      <c r="F860" s="196" t="s">
        <v>939</v>
      </c>
      <c r="G860" s="196" t="s">
        <v>120</v>
      </c>
      <c r="H860" s="196" t="s">
        <v>479</v>
      </c>
      <c r="I860" s="66"/>
      <c r="J860" s="239"/>
      <c r="K860" s="234"/>
      <c r="L860" s="239"/>
      <c r="M860" s="239"/>
      <c r="N860" s="239"/>
      <c r="O860" s="239"/>
      <c r="P860" s="239"/>
      <c r="Q860" s="239"/>
      <c r="R860" s="239"/>
      <c r="S860" s="239"/>
    </row>
    <row r="861" spans="5:19" s="293" customFormat="1" x14ac:dyDescent="0.25">
      <c r="F861" s="196" t="s">
        <v>940</v>
      </c>
      <c r="G861" s="196" t="s">
        <v>120</v>
      </c>
      <c r="H861" s="196" t="s">
        <v>479</v>
      </c>
      <c r="I861" s="66"/>
      <c r="J861" s="239"/>
      <c r="K861" s="234"/>
      <c r="L861" s="239"/>
      <c r="M861" s="239"/>
      <c r="N861" s="239"/>
      <c r="O861" s="239"/>
      <c r="P861" s="239"/>
      <c r="Q861" s="239"/>
      <c r="R861" s="239"/>
      <c r="S861" s="239"/>
    </row>
    <row r="862" spans="5:19" s="293" customFormat="1" x14ac:dyDescent="0.25">
      <c r="F862" s="93" t="s">
        <v>941</v>
      </c>
      <c r="G862" s="93" t="s">
        <v>120</v>
      </c>
      <c r="H862" s="93" t="s">
        <v>479</v>
      </c>
      <c r="I862" s="145"/>
      <c r="J862" s="240"/>
      <c r="K862" s="236"/>
      <c r="L862" s="240"/>
      <c r="M862" s="240"/>
      <c r="N862" s="240"/>
      <c r="O862" s="240"/>
      <c r="P862" s="240"/>
      <c r="Q862" s="240"/>
      <c r="R862" s="240"/>
      <c r="S862" s="240"/>
    </row>
    <row r="863" spans="5:19" s="293" customFormat="1" x14ac:dyDescent="0.25">
      <c r="I863" s="111"/>
      <c r="J863" s="237"/>
      <c r="K863" s="237"/>
      <c r="L863" s="237"/>
      <c r="M863" s="237"/>
      <c r="N863" s="237"/>
      <c r="O863" s="237"/>
      <c r="P863" s="237"/>
      <c r="Q863" s="237"/>
      <c r="R863" s="237"/>
      <c r="S863" s="237"/>
    </row>
    <row r="864" spans="5:19" s="293" customFormat="1" x14ac:dyDescent="0.25">
      <c r="E864" s="144" t="s">
        <v>201</v>
      </c>
      <c r="I864" s="111"/>
      <c r="J864" s="237"/>
      <c r="K864" s="237"/>
      <c r="L864" s="237"/>
      <c r="M864" s="237"/>
      <c r="N864" s="237"/>
      <c r="O864" s="237"/>
      <c r="P864" s="237"/>
      <c r="Q864" s="237"/>
      <c r="R864" s="237"/>
      <c r="S864" s="237"/>
    </row>
    <row r="865" spans="6:19" s="293" customFormat="1" x14ac:dyDescent="0.25">
      <c r="F865" s="91" t="s">
        <v>926</v>
      </c>
      <c r="G865" s="91" t="s">
        <v>120</v>
      </c>
      <c r="H865" s="91" t="s">
        <v>479</v>
      </c>
      <c r="I865" s="112"/>
      <c r="J865" s="231">
        <f t="shared" ref="J865" si="84">CHOOSE(year_selection, L865,M865,N865,O865,P865,Q865,R865,S865)</f>
        <v>24902.513907975921</v>
      </c>
      <c r="K865" s="232"/>
      <c r="L865" s="329"/>
      <c r="M865" s="329"/>
      <c r="N865" s="329"/>
      <c r="O865" s="329">
        <v>24902.513907975921</v>
      </c>
      <c r="P865" s="329">
        <v>25760.584913107759</v>
      </c>
      <c r="Q865" s="329">
        <v>28084.5525530864</v>
      </c>
      <c r="R865" s="329">
        <v>30421.688425063534</v>
      </c>
      <c r="S865" s="329">
        <v>32758.824297040661</v>
      </c>
    </row>
    <row r="866" spans="6:19" s="293" customFormat="1" x14ac:dyDescent="0.25">
      <c r="F866" s="196" t="s">
        <v>927</v>
      </c>
      <c r="G866" s="196" t="s">
        <v>120</v>
      </c>
      <c r="H866" s="196" t="s">
        <v>479</v>
      </c>
      <c r="I866" s="66"/>
      <c r="J866" s="239"/>
      <c r="K866" s="234"/>
      <c r="L866" s="239"/>
      <c r="M866" s="239"/>
      <c r="N866" s="239"/>
      <c r="O866" s="239"/>
      <c r="P866" s="239"/>
      <c r="Q866" s="239"/>
      <c r="R866" s="239"/>
      <c r="S866" s="239"/>
    </row>
    <row r="867" spans="6:19" s="293" customFormat="1" x14ac:dyDescent="0.25">
      <c r="F867" s="196" t="s">
        <v>928</v>
      </c>
      <c r="G867" s="196" t="s">
        <v>120</v>
      </c>
      <c r="H867" s="196" t="s">
        <v>479</v>
      </c>
      <c r="I867" s="66"/>
      <c r="J867" s="233">
        <f t="shared" ref="J867" si="85">CHOOSE(year_selection, L867,M867,N867,O867,P867,Q867,R867,S867)</f>
        <v>108.20598499104474</v>
      </c>
      <c r="K867" s="234"/>
      <c r="L867" s="330"/>
      <c r="M867" s="330"/>
      <c r="N867" s="330"/>
      <c r="O867" s="330">
        <v>108.20598499104474</v>
      </c>
      <c r="P867" s="330">
        <v>116.17698797426493</v>
      </c>
      <c r="Q867" s="330">
        <v>121.01816272478389</v>
      </c>
      <c r="R867" s="330">
        <v>124.67799120775838</v>
      </c>
      <c r="S867" s="330">
        <v>128.33781969073289</v>
      </c>
    </row>
    <row r="868" spans="6:19" s="293" customFormat="1" x14ac:dyDescent="0.25">
      <c r="F868" s="196" t="s">
        <v>929</v>
      </c>
      <c r="G868" s="196" t="s">
        <v>120</v>
      </c>
      <c r="H868" s="196" t="s">
        <v>479</v>
      </c>
      <c r="I868" s="66"/>
      <c r="J868" s="239"/>
      <c r="K868" s="234"/>
      <c r="L868" s="239"/>
      <c r="M868" s="239"/>
      <c r="N868" s="239"/>
      <c r="O868" s="239"/>
      <c r="P868" s="239"/>
      <c r="Q868" s="239"/>
      <c r="R868" s="239"/>
      <c r="S868" s="239"/>
    </row>
    <row r="869" spans="6:19" s="293" customFormat="1" x14ac:dyDescent="0.25">
      <c r="F869" s="196" t="s">
        <v>930</v>
      </c>
      <c r="G869" s="196" t="s">
        <v>120</v>
      </c>
      <c r="H869" s="196" t="s">
        <v>479</v>
      </c>
      <c r="I869" s="66"/>
      <c r="J869" s="233">
        <f t="shared" ref="J869" si="86">CHOOSE(year_selection, L869,M869,N869,O869,P869,Q869,R869,S869)</f>
        <v>1077.4014848405757</v>
      </c>
      <c r="K869" s="234"/>
      <c r="L869" s="330"/>
      <c r="M869" s="330"/>
      <c r="N869" s="330"/>
      <c r="O869" s="330">
        <v>1077.4014848405757</v>
      </c>
      <c r="P869" s="330">
        <v>1102.1536101168413</v>
      </c>
      <c r="Q869" s="330">
        <v>1189.2811174081714</v>
      </c>
      <c r="R869" s="330">
        <v>1276.4086246995014</v>
      </c>
      <c r="S869" s="330">
        <v>1363.5361319908313</v>
      </c>
    </row>
    <row r="870" spans="6:19" s="293" customFormat="1" x14ac:dyDescent="0.25">
      <c r="F870" s="196" t="s">
        <v>931</v>
      </c>
      <c r="G870" s="196" t="s">
        <v>120</v>
      </c>
      <c r="H870" s="196" t="s">
        <v>479</v>
      </c>
      <c r="I870" s="66"/>
      <c r="J870" s="239"/>
      <c r="K870" s="234"/>
      <c r="L870" s="239"/>
      <c r="M870" s="239"/>
      <c r="N870" s="239"/>
      <c r="O870" s="239"/>
      <c r="P870" s="239"/>
      <c r="Q870" s="239"/>
      <c r="R870" s="239"/>
      <c r="S870" s="239"/>
    </row>
    <row r="871" spans="6:19" s="293" customFormat="1" x14ac:dyDescent="0.25">
      <c r="F871" s="196" t="s">
        <v>932</v>
      </c>
      <c r="G871" s="196" t="s">
        <v>120</v>
      </c>
      <c r="H871" s="196" t="s">
        <v>479</v>
      </c>
      <c r="I871" s="66"/>
      <c r="J871" s="239"/>
      <c r="K871" s="234"/>
      <c r="L871" s="239"/>
      <c r="M871" s="239"/>
      <c r="N871" s="239"/>
      <c r="O871" s="239"/>
      <c r="P871" s="239"/>
      <c r="Q871" s="239"/>
      <c r="R871" s="239"/>
      <c r="S871" s="239"/>
    </row>
    <row r="872" spans="6:19" s="293" customFormat="1" x14ac:dyDescent="0.25">
      <c r="F872" s="196" t="s">
        <v>933</v>
      </c>
      <c r="G872" s="196" t="s">
        <v>120</v>
      </c>
      <c r="H872" s="196" t="s">
        <v>479</v>
      </c>
      <c r="I872" s="66"/>
      <c r="J872" s="233">
        <f t="shared" ref="J872" si="87">CHOOSE(year_selection, L872,M872,N872,O872,P872,Q872,R872,S872)</f>
        <v>45.853087148916899</v>
      </c>
      <c r="K872" s="234"/>
      <c r="L872" s="330"/>
      <c r="M872" s="330"/>
      <c r="N872" s="330"/>
      <c r="O872" s="330">
        <v>45.853087148916899</v>
      </c>
      <c r="P872" s="330">
        <v>45.853087148916899</v>
      </c>
      <c r="Q872" s="330">
        <v>45.853087148916899</v>
      </c>
      <c r="R872" s="330">
        <v>45.853087148916899</v>
      </c>
      <c r="S872" s="330">
        <v>45.853087148916899</v>
      </c>
    </row>
    <row r="873" spans="6:19" s="293" customFormat="1" x14ac:dyDescent="0.25">
      <c r="F873" s="196" t="s">
        <v>934</v>
      </c>
      <c r="G873" s="196" t="s">
        <v>120</v>
      </c>
      <c r="H873" s="196" t="s">
        <v>479</v>
      </c>
      <c r="I873" s="66"/>
      <c r="J873" s="239"/>
      <c r="K873" s="234"/>
      <c r="L873" s="239"/>
      <c r="M873" s="239"/>
      <c r="N873" s="239"/>
      <c r="O873" s="239"/>
      <c r="P873" s="239"/>
      <c r="Q873" s="239"/>
      <c r="R873" s="239"/>
      <c r="S873" s="239"/>
    </row>
    <row r="874" spans="6:19" s="293" customFormat="1" x14ac:dyDescent="0.25">
      <c r="F874" s="196" t="s">
        <v>935</v>
      </c>
      <c r="G874" s="196" t="s">
        <v>120</v>
      </c>
      <c r="H874" s="196" t="s">
        <v>479</v>
      </c>
      <c r="I874" s="66"/>
      <c r="J874" s="239"/>
      <c r="K874" s="234"/>
      <c r="L874" s="239"/>
      <c r="M874" s="239"/>
      <c r="N874" s="239"/>
      <c r="O874" s="239"/>
      <c r="P874" s="239"/>
      <c r="Q874" s="239"/>
      <c r="R874" s="239"/>
      <c r="S874" s="239"/>
    </row>
    <row r="875" spans="6:19" s="293" customFormat="1" x14ac:dyDescent="0.25">
      <c r="F875" s="196" t="s">
        <v>936</v>
      </c>
      <c r="G875" s="196" t="s">
        <v>120</v>
      </c>
      <c r="H875" s="196" t="s">
        <v>479</v>
      </c>
      <c r="I875" s="66"/>
      <c r="J875" s="239"/>
      <c r="K875" s="234"/>
      <c r="L875" s="239"/>
      <c r="M875" s="239"/>
      <c r="N875" s="239"/>
      <c r="O875" s="239"/>
      <c r="P875" s="239"/>
      <c r="Q875" s="239"/>
      <c r="R875" s="239"/>
      <c r="S875" s="239"/>
    </row>
    <row r="876" spans="6:19" s="293" customFormat="1" x14ac:dyDescent="0.25">
      <c r="F876" s="196" t="s">
        <v>937</v>
      </c>
      <c r="G876" s="196" t="s">
        <v>120</v>
      </c>
      <c r="H876" s="196" t="s">
        <v>479</v>
      </c>
      <c r="I876" s="66"/>
      <c r="J876" s="239"/>
      <c r="K876" s="234"/>
      <c r="L876" s="239"/>
      <c r="M876" s="239"/>
      <c r="N876" s="239"/>
      <c r="O876" s="239"/>
      <c r="P876" s="239"/>
      <c r="Q876" s="239"/>
      <c r="R876" s="239"/>
      <c r="S876" s="239"/>
    </row>
    <row r="877" spans="6:19" s="293" customFormat="1" x14ac:dyDescent="0.25">
      <c r="F877" s="196" t="s">
        <v>938</v>
      </c>
      <c r="G877" s="196" t="s">
        <v>120</v>
      </c>
      <c r="H877" s="196" t="s">
        <v>479</v>
      </c>
      <c r="I877" s="66"/>
      <c r="J877" s="239"/>
      <c r="K877" s="234"/>
      <c r="L877" s="239"/>
      <c r="M877" s="239"/>
      <c r="N877" s="239"/>
      <c r="O877" s="239"/>
      <c r="P877" s="239"/>
      <c r="Q877" s="239"/>
      <c r="R877" s="239"/>
      <c r="S877" s="239"/>
    </row>
    <row r="878" spans="6:19" s="293" customFormat="1" x14ac:dyDescent="0.25">
      <c r="F878" s="196" t="s">
        <v>939</v>
      </c>
      <c r="G878" s="196" t="s">
        <v>120</v>
      </c>
      <c r="H878" s="196" t="s">
        <v>479</v>
      </c>
      <c r="I878" s="66"/>
      <c r="J878" s="239"/>
      <c r="K878" s="234"/>
      <c r="L878" s="239"/>
      <c r="M878" s="239"/>
      <c r="N878" s="239"/>
      <c r="O878" s="239"/>
      <c r="P878" s="239"/>
      <c r="Q878" s="239"/>
      <c r="R878" s="239"/>
      <c r="S878" s="239"/>
    </row>
    <row r="879" spans="6:19" s="293" customFormat="1" x14ac:dyDescent="0.25">
      <c r="F879" s="196" t="s">
        <v>940</v>
      </c>
      <c r="G879" s="196" t="s">
        <v>120</v>
      </c>
      <c r="H879" s="196" t="s">
        <v>479</v>
      </c>
      <c r="I879" s="66"/>
      <c r="J879" s="239"/>
      <c r="K879" s="234"/>
      <c r="L879" s="239"/>
      <c r="M879" s="239"/>
      <c r="N879" s="239"/>
      <c r="O879" s="239"/>
      <c r="P879" s="239"/>
      <c r="Q879" s="239"/>
      <c r="R879" s="239"/>
      <c r="S879" s="239"/>
    </row>
    <row r="880" spans="6:19" s="293" customFormat="1" x14ac:dyDescent="0.25">
      <c r="F880" s="93" t="s">
        <v>941</v>
      </c>
      <c r="G880" s="93" t="s">
        <v>120</v>
      </c>
      <c r="H880" s="93" t="s">
        <v>479</v>
      </c>
      <c r="I880" s="145"/>
      <c r="J880" s="240"/>
      <c r="K880" s="236"/>
      <c r="L880" s="240"/>
      <c r="M880" s="240"/>
      <c r="N880" s="240"/>
      <c r="O880" s="240"/>
      <c r="P880" s="240"/>
      <c r="Q880" s="240"/>
      <c r="R880" s="240"/>
      <c r="S880" s="240"/>
    </row>
    <row r="881" spans="5:19" s="293" customFormat="1" x14ac:dyDescent="0.25">
      <c r="I881" s="111"/>
      <c r="J881" s="237"/>
      <c r="K881" s="237"/>
      <c r="L881" s="237"/>
      <c r="M881" s="237"/>
      <c r="N881" s="237"/>
      <c r="O881" s="237"/>
      <c r="P881" s="237"/>
      <c r="Q881" s="237"/>
      <c r="R881" s="237"/>
      <c r="S881" s="237"/>
    </row>
    <row r="882" spans="5:19" s="293" customFormat="1" x14ac:dyDescent="0.25">
      <c r="E882" s="144" t="s">
        <v>74</v>
      </c>
      <c r="I882" s="111"/>
      <c r="J882" s="237"/>
      <c r="K882" s="237"/>
      <c r="L882" s="237"/>
      <c r="M882" s="237"/>
      <c r="N882" s="237"/>
      <c r="O882" s="237"/>
      <c r="P882" s="237"/>
      <c r="Q882" s="237"/>
      <c r="R882" s="237"/>
      <c r="S882" s="237"/>
    </row>
    <row r="883" spans="5:19" s="293" customFormat="1" x14ac:dyDescent="0.25">
      <c r="F883" s="91" t="s">
        <v>926</v>
      </c>
      <c r="G883" s="91" t="s">
        <v>74</v>
      </c>
      <c r="H883" s="91" t="s">
        <v>479</v>
      </c>
      <c r="I883" s="112"/>
      <c r="J883" s="231">
        <f t="shared" ref="J883" si="88">CHOOSE(year_selection, L883,M883,N883,O883,P883,Q883,R883,S883)</f>
        <v>30423.599820316216</v>
      </c>
      <c r="K883" s="232"/>
      <c r="L883" s="329"/>
      <c r="M883" s="329"/>
      <c r="N883" s="329"/>
      <c r="O883" s="329">
        <v>30423.599820316216</v>
      </c>
      <c r="P883" s="329">
        <v>33693.97612732261</v>
      </c>
      <c r="Q883" s="329">
        <v>36798.170458646498</v>
      </c>
      <c r="R883" s="329">
        <v>39835.183667005862</v>
      </c>
      <c r="S883" s="329">
        <v>42872.196875365225</v>
      </c>
    </row>
    <row r="884" spans="5:19" s="293" customFormat="1" x14ac:dyDescent="0.25">
      <c r="F884" s="196" t="s">
        <v>927</v>
      </c>
      <c r="G884" s="196" t="s">
        <v>74</v>
      </c>
      <c r="H884" s="196" t="s">
        <v>479</v>
      </c>
      <c r="I884" s="66"/>
      <c r="J884" s="239"/>
      <c r="K884" s="234"/>
      <c r="L884" s="239"/>
      <c r="M884" s="239"/>
      <c r="N884" s="239"/>
      <c r="O884" s="239"/>
      <c r="P884" s="239"/>
      <c r="Q884" s="239"/>
      <c r="R884" s="239"/>
      <c r="S884" s="239"/>
    </row>
    <row r="885" spans="5:19" s="293" customFormat="1" x14ac:dyDescent="0.25">
      <c r="F885" s="196" t="s">
        <v>928</v>
      </c>
      <c r="G885" s="196" t="s">
        <v>74</v>
      </c>
      <c r="H885" s="196" t="s">
        <v>479</v>
      </c>
      <c r="I885" s="66"/>
      <c r="J885" s="233">
        <f t="shared" ref="J885" si="89">CHOOSE(year_selection, L885,M885,N885,O885,P885,Q885,R885,S885)</f>
        <v>171.23464721002364</v>
      </c>
      <c r="K885" s="234"/>
      <c r="L885" s="330"/>
      <c r="M885" s="330"/>
      <c r="N885" s="330"/>
      <c r="O885" s="330">
        <v>171.23464721002364</v>
      </c>
      <c r="P885" s="330">
        <v>183.5539250585054</v>
      </c>
      <c r="Q885" s="330">
        <v>191.08034300896082</v>
      </c>
      <c r="R885" s="330">
        <v>196.8275797651379</v>
      </c>
      <c r="S885" s="330">
        <v>202.57481652131494</v>
      </c>
    </row>
    <row r="886" spans="5:19" s="293" customFormat="1" x14ac:dyDescent="0.25">
      <c r="F886" s="196" t="s">
        <v>929</v>
      </c>
      <c r="G886" s="196" t="s">
        <v>74</v>
      </c>
      <c r="H886" s="196" t="s">
        <v>479</v>
      </c>
      <c r="I886" s="66"/>
      <c r="J886" s="239"/>
      <c r="K886" s="234"/>
      <c r="L886" s="239"/>
      <c r="M886" s="239"/>
      <c r="N886" s="239"/>
      <c r="O886" s="239"/>
      <c r="P886" s="239"/>
      <c r="Q886" s="239"/>
      <c r="R886" s="239"/>
      <c r="S886" s="239"/>
    </row>
    <row r="887" spans="5:19" s="293" customFormat="1" x14ac:dyDescent="0.25">
      <c r="F887" s="196" t="s">
        <v>930</v>
      </c>
      <c r="G887" s="196" t="s">
        <v>74</v>
      </c>
      <c r="H887" s="196" t="s">
        <v>479</v>
      </c>
      <c r="I887" s="66"/>
      <c r="J887" s="233">
        <f t="shared" ref="J887" si="90">CHOOSE(year_selection, L887,M887,N887,O887,P887,Q887,R887,S887)</f>
        <v>64.342214775982271</v>
      </c>
      <c r="K887" s="234"/>
      <c r="L887" s="330"/>
      <c r="M887" s="330"/>
      <c r="N887" s="330"/>
      <c r="O887" s="330">
        <v>64.342214775982271</v>
      </c>
      <c r="P887" s="330">
        <v>69.877028950260311</v>
      </c>
      <c r="Q887" s="330">
        <v>75.41184312453835</v>
      </c>
      <c r="R887" s="330">
        <v>80.946657298816405</v>
      </c>
      <c r="S887" s="330">
        <v>86.481471473094444</v>
      </c>
    </row>
    <row r="888" spans="5:19" s="293" customFormat="1" x14ac:dyDescent="0.25">
      <c r="F888" s="196" t="s">
        <v>931</v>
      </c>
      <c r="G888" s="196" t="s">
        <v>74</v>
      </c>
      <c r="H888" s="196" t="s">
        <v>479</v>
      </c>
      <c r="I888" s="66"/>
      <c r="J888" s="239"/>
      <c r="K888" s="234"/>
      <c r="L888" s="239"/>
      <c r="M888" s="239"/>
      <c r="N888" s="239"/>
      <c r="O888" s="239"/>
      <c r="P888" s="239"/>
      <c r="Q888" s="239"/>
      <c r="R888" s="239"/>
      <c r="S888" s="239"/>
    </row>
    <row r="889" spans="5:19" s="293" customFormat="1" x14ac:dyDescent="0.25">
      <c r="F889" s="196" t="s">
        <v>932</v>
      </c>
      <c r="G889" s="196" t="s">
        <v>74</v>
      </c>
      <c r="H889" s="196" t="s">
        <v>479</v>
      </c>
      <c r="I889" s="66"/>
      <c r="J889" s="239"/>
      <c r="K889" s="234"/>
      <c r="L889" s="239"/>
      <c r="M889" s="239"/>
      <c r="N889" s="239"/>
      <c r="O889" s="239"/>
      <c r="P889" s="239"/>
      <c r="Q889" s="239"/>
      <c r="R889" s="239"/>
      <c r="S889" s="239"/>
    </row>
    <row r="890" spans="5:19" s="293" customFormat="1" x14ac:dyDescent="0.25">
      <c r="F890" s="196" t="s">
        <v>933</v>
      </c>
      <c r="G890" s="196" t="s">
        <v>74</v>
      </c>
      <c r="H890" s="196" t="s">
        <v>479</v>
      </c>
      <c r="I890" s="66"/>
      <c r="J890" s="233">
        <f t="shared" ref="J890" si="91">CHOOSE(year_selection, L890,M890,N890,O890,P890,Q890,R890,S890)</f>
        <v>122</v>
      </c>
      <c r="K890" s="234"/>
      <c r="L890" s="330"/>
      <c r="M890" s="330"/>
      <c r="N890" s="330"/>
      <c r="O890" s="330">
        <v>122</v>
      </c>
      <c r="P890" s="330">
        <v>122</v>
      </c>
      <c r="Q890" s="330">
        <v>122</v>
      </c>
      <c r="R890" s="330">
        <v>122</v>
      </c>
      <c r="S890" s="330">
        <v>122</v>
      </c>
    </row>
    <row r="891" spans="5:19" s="293" customFormat="1" x14ac:dyDescent="0.25">
      <c r="F891" s="196" t="s">
        <v>934</v>
      </c>
      <c r="G891" s="196" t="s">
        <v>74</v>
      </c>
      <c r="H891" s="196" t="s">
        <v>479</v>
      </c>
      <c r="I891" s="66"/>
      <c r="J891" s="239"/>
      <c r="K891" s="234"/>
      <c r="L891" s="239"/>
      <c r="M891" s="239"/>
      <c r="N891" s="239"/>
      <c r="O891" s="239"/>
      <c r="P891" s="239"/>
      <c r="Q891" s="239"/>
      <c r="R891" s="239"/>
      <c r="S891" s="239"/>
    </row>
    <row r="892" spans="5:19" s="293" customFormat="1" x14ac:dyDescent="0.25">
      <c r="F892" s="196" t="s">
        <v>935</v>
      </c>
      <c r="G892" s="196" t="s">
        <v>74</v>
      </c>
      <c r="H892" s="196" t="s">
        <v>479</v>
      </c>
      <c r="I892" s="66"/>
      <c r="J892" s="239"/>
      <c r="K892" s="234"/>
      <c r="L892" s="239"/>
      <c r="M892" s="239"/>
      <c r="N892" s="239"/>
      <c r="O892" s="239"/>
      <c r="P892" s="239"/>
      <c r="Q892" s="239"/>
      <c r="R892" s="239"/>
      <c r="S892" s="239"/>
    </row>
    <row r="893" spans="5:19" s="293" customFormat="1" x14ac:dyDescent="0.25">
      <c r="F893" s="196" t="s">
        <v>936</v>
      </c>
      <c r="G893" s="196" t="s">
        <v>74</v>
      </c>
      <c r="H893" s="196" t="s">
        <v>479</v>
      </c>
      <c r="I893" s="66"/>
      <c r="J893" s="239"/>
      <c r="K893" s="234"/>
      <c r="L893" s="239"/>
      <c r="M893" s="239"/>
      <c r="N893" s="239"/>
      <c r="O893" s="239"/>
      <c r="P893" s="239"/>
      <c r="Q893" s="239"/>
      <c r="R893" s="239"/>
      <c r="S893" s="239"/>
    </row>
    <row r="894" spans="5:19" s="293" customFormat="1" x14ac:dyDescent="0.25">
      <c r="F894" s="196" t="s">
        <v>937</v>
      </c>
      <c r="G894" s="196" t="s">
        <v>74</v>
      </c>
      <c r="H894" s="196" t="s">
        <v>479</v>
      </c>
      <c r="I894" s="66"/>
      <c r="J894" s="239"/>
      <c r="K894" s="234"/>
      <c r="L894" s="239"/>
      <c r="M894" s="239"/>
      <c r="N894" s="239"/>
      <c r="O894" s="239"/>
      <c r="P894" s="239"/>
      <c r="Q894" s="239"/>
      <c r="R894" s="239"/>
      <c r="S894" s="239"/>
    </row>
    <row r="895" spans="5:19" s="293" customFormat="1" x14ac:dyDescent="0.25">
      <c r="F895" s="196" t="s">
        <v>938</v>
      </c>
      <c r="G895" s="196" t="s">
        <v>74</v>
      </c>
      <c r="H895" s="196" t="s">
        <v>479</v>
      </c>
      <c r="I895" s="66"/>
      <c r="J895" s="239"/>
      <c r="K895" s="234"/>
      <c r="L895" s="239"/>
      <c r="M895" s="239"/>
      <c r="N895" s="239"/>
      <c r="O895" s="239"/>
      <c r="P895" s="239"/>
      <c r="Q895" s="239"/>
      <c r="R895" s="239"/>
      <c r="S895" s="239"/>
    </row>
    <row r="896" spans="5:19" s="293" customFormat="1" x14ac:dyDescent="0.25">
      <c r="F896" s="196" t="s">
        <v>939</v>
      </c>
      <c r="G896" s="196" t="s">
        <v>74</v>
      </c>
      <c r="H896" s="196" t="s">
        <v>479</v>
      </c>
      <c r="I896" s="66"/>
      <c r="J896" s="239"/>
      <c r="K896" s="234"/>
      <c r="L896" s="239"/>
      <c r="M896" s="239"/>
      <c r="N896" s="239"/>
      <c r="O896" s="239"/>
      <c r="P896" s="239"/>
      <c r="Q896" s="239"/>
      <c r="R896" s="239"/>
      <c r="S896" s="239"/>
    </row>
    <row r="897" spans="5:19" s="293" customFormat="1" x14ac:dyDescent="0.25">
      <c r="F897" s="196" t="s">
        <v>940</v>
      </c>
      <c r="G897" s="196" t="s">
        <v>74</v>
      </c>
      <c r="H897" s="196" t="s">
        <v>479</v>
      </c>
      <c r="I897" s="66"/>
      <c r="J897" s="239"/>
      <c r="K897" s="234"/>
      <c r="L897" s="239"/>
      <c r="M897" s="239"/>
      <c r="N897" s="239"/>
      <c r="O897" s="239"/>
      <c r="P897" s="239"/>
      <c r="Q897" s="239"/>
      <c r="R897" s="239"/>
      <c r="S897" s="239"/>
    </row>
    <row r="898" spans="5:19" s="293" customFormat="1" x14ac:dyDescent="0.25">
      <c r="F898" s="93" t="s">
        <v>941</v>
      </c>
      <c r="G898" s="93" t="s">
        <v>74</v>
      </c>
      <c r="H898" s="93" t="s">
        <v>479</v>
      </c>
      <c r="I898" s="145"/>
      <c r="J898" s="240"/>
      <c r="K898" s="236"/>
      <c r="L898" s="240"/>
      <c r="M898" s="240"/>
      <c r="N898" s="240"/>
      <c r="O898" s="240"/>
      <c r="P898" s="240"/>
      <c r="Q898" s="240"/>
      <c r="R898" s="240"/>
      <c r="S898" s="240"/>
    </row>
    <row r="899" spans="5:19" s="293" customFormat="1" x14ac:dyDescent="0.25">
      <c r="I899" s="111"/>
      <c r="J899" s="237"/>
      <c r="K899" s="237"/>
      <c r="L899" s="237"/>
      <c r="M899" s="237"/>
      <c r="N899" s="237"/>
      <c r="O899" s="237"/>
      <c r="P899" s="237"/>
      <c r="Q899" s="237"/>
      <c r="R899" s="237"/>
      <c r="S899" s="237"/>
    </row>
    <row r="900" spans="5:19" s="293" customFormat="1" x14ac:dyDescent="0.25">
      <c r="E900" s="144" t="s">
        <v>202</v>
      </c>
      <c r="I900" s="111"/>
      <c r="J900" s="237"/>
      <c r="K900" s="237"/>
      <c r="L900" s="237"/>
      <c r="M900" s="237"/>
      <c r="N900" s="237"/>
      <c r="O900" s="237"/>
      <c r="P900" s="237"/>
      <c r="Q900" s="237"/>
      <c r="R900" s="237"/>
      <c r="S900" s="237"/>
    </row>
    <row r="901" spans="5:19" s="293" customFormat="1" x14ac:dyDescent="0.25">
      <c r="F901" s="91" t="s">
        <v>926</v>
      </c>
      <c r="G901" s="91" t="s">
        <v>169</v>
      </c>
      <c r="H901" s="91" t="s">
        <v>479</v>
      </c>
      <c r="I901" s="112"/>
      <c r="J901" s="238"/>
      <c r="K901" s="232"/>
      <c r="L901" s="238"/>
      <c r="M901" s="238"/>
      <c r="N901" s="238"/>
      <c r="O901" s="238"/>
      <c r="P901" s="238"/>
      <c r="Q901" s="238"/>
      <c r="R901" s="238"/>
      <c r="S901" s="238"/>
    </row>
    <row r="902" spans="5:19" s="293" customFormat="1" x14ac:dyDescent="0.25">
      <c r="F902" s="196" t="s">
        <v>927</v>
      </c>
      <c r="G902" s="196" t="s">
        <v>169</v>
      </c>
      <c r="H902" s="196" t="s">
        <v>479</v>
      </c>
      <c r="I902" s="66"/>
      <c r="J902" s="239"/>
      <c r="K902" s="234"/>
      <c r="L902" s="239"/>
      <c r="M902" s="239"/>
      <c r="N902" s="239"/>
      <c r="O902" s="239"/>
      <c r="P902" s="239"/>
      <c r="Q902" s="239"/>
      <c r="R902" s="239"/>
      <c r="S902" s="239"/>
    </row>
    <row r="903" spans="5:19" s="293" customFormat="1" x14ac:dyDescent="0.25">
      <c r="F903" s="196" t="s">
        <v>928</v>
      </c>
      <c r="G903" s="196" t="s">
        <v>169</v>
      </c>
      <c r="H903" s="196" t="s">
        <v>479</v>
      </c>
      <c r="I903" s="66"/>
      <c r="J903" s="239"/>
      <c r="K903" s="234"/>
      <c r="L903" s="239"/>
      <c r="M903" s="239"/>
      <c r="N903" s="239"/>
      <c r="O903" s="239"/>
      <c r="P903" s="239"/>
      <c r="Q903" s="239"/>
      <c r="R903" s="239"/>
      <c r="S903" s="239"/>
    </row>
    <row r="904" spans="5:19" s="293" customFormat="1" x14ac:dyDescent="0.25">
      <c r="F904" s="196" t="s">
        <v>929</v>
      </c>
      <c r="G904" s="196" t="s">
        <v>169</v>
      </c>
      <c r="H904" s="196" t="s">
        <v>479</v>
      </c>
      <c r="I904" s="66"/>
      <c r="J904" s="239"/>
      <c r="K904" s="234"/>
      <c r="L904" s="239"/>
      <c r="M904" s="239"/>
      <c r="N904" s="239"/>
      <c r="O904" s="239"/>
      <c r="P904" s="239"/>
      <c r="Q904" s="239"/>
      <c r="R904" s="239"/>
      <c r="S904" s="239"/>
    </row>
    <row r="905" spans="5:19" s="293" customFormat="1" x14ac:dyDescent="0.25">
      <c r="F905" s="196" t="s">
        <v>930</v>
      </c>
      <c r="G905" s="196" t="s">
        <v>169</v>
      </c>
      <c r="H905" s="196" t="s">
        <v>479</v>
      </c>
      <c r="I905" s="66"/>
      <c r="J905" s="233">
        <f t="shared" ref="J905" si="92">CHOOSE(year_selection, L905,M905,N905,O905,P905,Q905,R905,S905)</f>
        <v>3894.2144121503607</v>
      </c>
      <c r="K905" s="234"/>
      <c r="L905" s="330"/>
      <c r="M905" s="330"/>
      <c r="N905" s="330"/>
      <c r="O905" s="330">
        <v>3894.2144121503607</v>
      </c>
      <c r="P905" s="330">
        <v>4564.1867841332178</v>
      </c>
      <c r="Q905" s="330">
        <v>4564.1867841332178</v>
      </c>
      <c r="R905" s="330">
        <v>4899.1729701246477</v>
      </c>
      <c r="S905" s="330">
        <v>5234.1591561160767</v>
      </c>
    </row>
    <row r="906" spans="5:19" s="293" customFormat="1" x14ac:dyDescent="0.25">
      <c r="F906" s="196" t="s">
        <v>931</v>
      </c>
      <c r="G906" s="196" t="s">
        <v>169</v>
      </c>
      <c r="H906" s="196" t="s">
        <v>479</v>
      </c>
      <c r="I906" s="66"/>
      <c r="J906" s="239"/>
      <c r="K906" s="234"/>
      <c r="L906" s="239"/>
      <c r="M906" s="239"/>
      <c r="N906" s="239"/>
      <c r="O906" s="239"/>
      <c r="P906" s="239"/>
      <c r="Q906" s="239"/>
      <c r="R906" s="239"/>
      <c r="S906" s="239"/>
    </row>
    <row r="907" spans="5:19" s="293" customFormat="1" x14ac:dyDescent="0.25">
      <c r="F907" s="196" t="s">
        <v>932</v>
      </c>
      <c r="G907" s="196" t="s">
        <v>169</v>
      </c>
      <c r="H907" s="196" t="s">
        <v>479</v>
      </c>
      <c r="I907" s="66"/>
      <c r="J907" s="239"/>
      <c r="K907" s="234"/>
      <c r="L907" s="239"/>
      <c r="M907" s="239"/>
      <c r="N907" s="239"/>
      <c r="O907" s="239"/>
      <c r="P907" s="239"/>
      <c r="Q907" s="239"/>
      <c r="R907" s="239"/>
      <c r="S907" s="239"/>
    </row>
    <row r="908" spans="5:19" s="293" customFormat="1" x14ac:dyDescent="0.25">
      <c r="F908" s="196" t="s">
        <v>933</v>
      </c>
      <c r="G908" s="196" t="s">
        <v>169</v>
      </c>
      <c r="H908" s="196" t="s">
        <v>479</v>
      </c>
      <c r="I908" s="66"/>
      <c r="J908" s="239"/>
      <c r="K908" s="234"/>
      <c r="L908" s="239"/>
      <c r="M908" s="239"/>
      <c r="N908" s="239"/>
      <c r="O908" s="239"/>
      <c r="P908" s="239"/>
      <c r="Q908" s="239"/>
      <c r="R908" s="239"/>
      <c r="S908" s="239"/>
    </row>
    <row r="909" spans="5:19" s="293" customFormat="1" x14ac:dyDescent="0.25">
      <c r="F909" s="196" t="s">
        <v>934</v>
      </c>
      <c r="G909" s="196" t="s">
        <v>169</v>
      </c>
      <c r="H909" s="196" t="s">
        <v>479</v>
      </c>
      <c r="I909" s="66"/>
      <c r="J909" s="239"/>
      <c r="K909" s="234"/>
      <c r="L909" s="239"/>
      <c r="M909" s="239"/>
      <c r="N909" s="239"/>
      <c r="O909" s="239"/>
      <c r="P909" s="239"/>
      <c r="Q909" s="239"/>
      <c r="R909" s="239"/>
      <c r="S909" s="239"/>
    </row>
    <row r="910" spans="5:19" s="293" customFormat="1" x14ac:dyDescent="0.25">
      <c r="F910" s="196" t="s">
        <v>935</v>
      </c>
      <c r="G910" s="196" t="s">
        <v>169</v>
      </c>
      <c r="H910" s="196" t="s">
        <v>479</v>
      </c>
      <c r="I910" s="66"/>
      <c r="J910" s="239"/>
      <c r="K910" s="234"/>
      <c r="L910" s="239"/>
      <c r="M910" s="239"/>
      <c r="N910" s="239"/>
      <c r="O910" s="239"/>
      <c r="P910" s="239"/>
      <c r="Q910" s="239"/>
      <c r="R910" s="239"/>
      <c r="S910" s="239"/>
    </row>
    <row r="911" spans="5:19" s="293" customFormat="1" x14ac:dyDescent="0.25">
      <c r="F911" s="196" t="s">
        <v>936</v>
      </c>
      <c r="G911" s="196" t="s">
        <v>169</v>
      </c>
      <c r="H911" s="196" t="s">
        <v>479</v>
      </c>
      <c r="I911" s="66"/>
      <c r="J911" s="239"/>
      <c r="K911" s="234"/>
      <c r="L911" s="239"/>
      <c r="M911" s="239"/>
      <c r="N911" s="239"/>
      <c r="O911" s="239"/>
      <c r="P911" s="239"/>
      <c r="Q911" s="239"/>
      <c r="R911" s="239"/>
      <c r="S911" s="239"/>
    </row>
    <row r="912" spans="5:19" s="293" customFormat="1" x14ac:dyDescent="0.25">
      <c r="F912" s="196" t="s">
        <v>937</v>
      </c>
      <c r="G912" s="196" t="s">
        <v>169</v>
      </c>
      <c r="H912" s="196" t="s">
        <v>479</v>
      </c>
      <c r="I912" s="66"/>
      <c r="J912" s="239"/>
      <c r="K912" s="234"/>
      <c r="L912" s="239"/>
      <c r="M912" s="239"/>
      <c r="N912" s="239"/>
      <c r="O912" s="239"/>
      <c r="P912" s="239"/>
      <c r="Q912" s="239"/>
      <c r="R912" s="239"/>
      <c r="S912" s="239"/>
    </row>
    <row r="913" spans="5:19" s="293" customFormat="1" x14ac:dyDescent="0.25">
      <c r="F913" s="196" t="s">
        <v>938</v>
      </c>
      <c r="G913" s="196" t="s">
        <v>169</v>
      </c>
      <c r="H913" s="196" t="s">
        <v>479</v>
      </c>
      <c r="I913" s="66"/>
      <c r="J913" s="239"/>
      <c r="K913" s="234"/>
      <c r="L913" s="239"/>
      <c r="M913" s="239"/>
      <c r="N913" s="239"/>
      <c r="O913" s="239"/>
      <c r="P913" s="239"/>
      <c r="Q913" s="239"/>
      <c r="R913" s="239"/>
      <c r="S913" s="239"/>
    </row>
    <row r="914" spans="5:19" s="293" customFormat="1" x14ac:dyDescent="0.25">
      <c r="F914" s="196" t="s">
        <v>939</v>
      </c>
      <c r="G914" s="196" t="s">
        <v>169</v>
      </c>
      <c r="H914" s="196" t="s">
        <v>479</v>
      </c>
      <c r="I914" s="66"/>
      <c r="J914" s="239"/>
      <c r="K914" s="234"/>
      <c r="L914" s="239"/>
      <c r="M914" s="239"/>
      <c r="N914" s="239"/>
      <c r="O914" s="239"/>
      <c r="P914" s="239"/>
      <c r="Q914" s="239"/>
      <c r="R914" s="239"/>
      <c r="S914" s="239"/>
    </row>
    <row r="915" spans="5:19" s="293" customFormat="1" x14ac:dyDescent="0.25">
      <c r="F915" s="196" t="s">
        <v>940</v>
      </c>
      <c r="G915" s="196" t="s">
        <v>169</v>
      </c>
      <c r="H915" s="196" t="s">
        <v>479</v>
      </c>
      <c r="I915" s="66"/>
      <c r="J915" s="239"/>
      <c r="K915" s="234"/>
      <c r="L915" s="239"/>
      <c r="M915" s="239"/>
      <c r="N915" s="239"/>
      <c r="O915" s="239"/>
      <c r="P915" s="239"/>
      <c r="Q915" s="239"/>
      <c r="R915" s="239"/>
      <c r="S915" s="239"/>
    </row>
    <row r="916" spans="5:19" s="293" customFormat="1" x14ac:dyDescent="0.25">
      <c r="F916" s="93" t="s">
        <v>941</v>
      </c>
      <c r="G916" s="93" t="s">
        <v>169</v>
      </c>
      <c r="H916" s="93" t="s">
        <v>479</v>
      </c>
      <c r="I916" s="145"/>
      <c r="J916" s="240"/>
      <c r="K916" s="236"/>
      <c r="L916" s="240"/>
      <c r="M916" s="240"/>
      <c r="N916" s="240"/>
      <c r="O916" s="240"/>
      <c r="P916" s="240"/>
      <c r="Q916" s="240"/>
      <c r="R916" s="240"/>
      <c r="S916" s="240"/>
    </row>
    <row r="917" spans="5:19" s="293" customFormat="1" x14ac:dyDescent="0.25">
      <c r="I917" s="111"/>
      <c r="J917" s="237"/>
      <c r="K917" s="237"/>
      <c r="L917" s="237"/>
      <c r="M917" s="237"/>
      <c r="N917" s="237"/>
      <c r="O917" s="237"/>
      <c r="P917" s="237"/>
      <c r="Q917" s="237"/>
      <c r="R917" s="237"/>
      <c r="S917" s="237"/>
    </row>
    <row r="918" spans="5:19" s="293" customFormat="1" x14ac:dyDescent="0.25">
      <c r="E918" s="144" t="s">
        <v>203</v>
      </c>
      <c r="I918" s="111"/>
      <c r="J918" s="237"/>
      <c r="K918" s="237"/>
      <c r="L918" s="237"/>
      <c r="M918" s="237"/>
      <c r="N918" s="237"/>
      <c r="O918" s="237"/>
      <c r="P918" s="237"/>
      <c r="Q918" s="237"/>
      <c r="R918" s="237"/>
      <c r="S918" s="237"/>
    </row>
    <row r="919" spans="5:19" s="293" customFormat="1" x14ac:dyDescent="0.25">
      <c r="F919" s="91" t="s">
        <v>926</v>
      </c>
      <c r="G919" s="91" t="s">
        <v>169</v>
      </c>
      <c r="H919" s="91" t="s">
        <v>479</v>
      </c>
      <c r="I919" s="112"/>
      <c r="J919" s="238"/>
      <c r="K919" s="232"/>
      <c r="L919" s="238"/>
      <c r="M919" s="238"/>
      <c r="N919" s="238"/>
      <c r="O919" s="238"/>
      <c r="P919" s="238"/>
      <c r="Q919" s="238"/>
      <c r="R919" s="238"/>
      <c r="S919" s="238"/>
    </row>
    <row r="920" spans="5:19" s="293" customFormat="1" x14ac:dyDescent="0.25">
      <c r="F920" s="196" t="s">
        <v>927</v>
      </c>
      <c r="G920" s="196" t="s">
        <v>169</v>
      </c>
      <c r="H920" s="196" t="s">
        <v>479</v>
      </c>
      <c r="I920" s="66"/>
      <c r="J920" s="239"/>
      <c r="K920" s="234"/>
      <c r="L920" s="239"/>
      <c r="M920" s="239"/>
      <c r="N920" s="239"/>
      <c r="O920" s="239"/>
      <c r="P920" s="239"/>
      <c r="Q920" s="239"/>
      <c r="R920" s="239"/>
      <c r="S920" s="239"/>
    </row>
    <row r="921" spans="5:19" s="293" customFormat="1" x14ac:dyDescent="0.25">
      <c r="F921" s="196" t="s">
        <v>928</v>
      </c>
      <c r="G921" s="196" t="s">
        <v>169</v>
      </c>
      <c r="H921" s="196" t="s">
        <v>479</v>
      </c>
      <c r="I921" s="66"/>
      <c r="J921" s="239"/>
      <c r="K921" s="234"/>
      <c r="L921" s="239"/>
      <c r="M921" s="239"/>
      <c r="N921" s="239"/>
      <c r="O921" s="239"/>
      <c r="P921" s="239"/>
      <c r="Q921" s="239"/>
      <c r="R921" s="239"/>
      <c r="S921" s="239"/>
    </row>
    <row r="922" spans="5:19" s="293" customFormat="1" x14ac:dyDescent="0.25">
      <c r="F922" s="196" t="s">
        <v>929</v>
      </c>
      <c r="G922" s="196" t="s">
        <v>169</v>
      </c>
      <c r="H922" s="196" t="s">
        <v>479</v>
      </c>
      <c r="I922" s="66"/>
      <c r="J922" s="239"/>
      <c r="K922" s="234"/>
      <c r="L922" s="239"/>
      <c r="M922" s="239"/>
      <c r="N922" s="239"/>
      <c r="O922" s="239"/>
      <c r="P922" s="239"/>
      <c r="Q922" s="239"/>
      <c r="R922" s="239"/>
      <c r="S922" s="239"/>
    </row>
    <row r="923" spans="5:19" s="293" customFormat="1" x14ac:dyDescent="0.25">
      <c r="F923" s="196" t="s">
        <v>930</v>
      </c>
      <c r="G923" s="196" t="s">
        <v>169</v>
      </c>
      <c r="H923" s="196" t="s">
        <v>479</v>
      </c>
      <c r="I923" s="66"/>
      <c r="J923" s="233">
        <f t="shared" ref="J923" si="93">CHOOSE(year_selection, L923,M923,N923,O923,P923,Q923,R923,S923)</f>
        <v>3.5197165691886818</v>
      </c>
      <c r="K923" s="234"/>
      <c r="L923" s="330"/>
      <c r="M923" s="330"/>
      <c r="N923" s="330"/>
      <c r="O923" s="330">
        <v>3.5197165691886818</v>
      </c>
      <c r="P923" s="330">
        <v>4.1252592047480237</v>
      </c>
      <c r="Q923" s="330">
        <v>4.1252592047480237</v>
      </c>
      <c r="R923" s="330">
        <v>4.4280305225276946</v>
      </c>
      <c r="S923" s="330">
        <v>4.7308018403073655</v>
      </c>
    </row>
    <row r="924" spans="5:19" s="293" customFormat="1" x14ac:dyDescent="0.25">
      <c r="F924" s="196" t="s">
        <v>931</v>
      </c>
      <c r="G924" s="196" t="s">
        <v>169</v>
      </c>
      <c r="H924" s="196" t="s">
        <v>479</v>
      </c>
      <c r="I924" s="66"/>
      <c r="J924" s="239"/>
      <c r="K924" s="234"/>
      <c r="L924" s="239"/>
      <c r="M924" s="239"/>
      <c r="N924" s="239"/>
      <c r="O924" s="239"/>
      <c r="P924" s="239"/>
      <c r="Q924" s="239"/>
      <c r="R924" s="239"/>
      <c r="S924" s="239"/>
    </row>
    <row r="925" spans="5:19" s="293" customFormat="1" x14ac:dyDescent="0.25">
      <c r="F925" s="196" t="s">
        <v>932</v>
      </c>
      <c r="G925" s="196" t="s">
        <v>169</v>
      </c>
      <c r="H925" s="196" t="s">
        <v>479</v>
      </c>
      <c r="I925" s="66"/>
      <c r="J925" s="239"/>
      <c r="K925" s="234"/>
      <c r="L925" s="239"/>
      <c r="M925" s="239"/>
      <c r="N925" s="239"/>
      <c r="O925" s="239"/>
      <c r="P925" s="239"/>
      <c r="Q925" s="239"/>
      <c r="R925" s="239"/>
      <c r="S925" s="239"/>
    </row>
    <row r="926" spans="5:19" s="293" customFormat="1" x14ac:dyDescent="0.25">
      <c r="F926" s="196" t="s">
        <v>933</v>
      </c>
      <c r="G926" s="196" t="s">
        <v>169</v>
      </c>
      <c r="H926" s="196" t="s">
        <v>479</v>
      </c>
      <c r="I926" s="66"/>
      <c r="J926" s="239"/>
      <c r="K926" s="234"/>
      <c r="L926" s="239"/>
      <c r="M926" s="239"/>
      <c r="N926" s="239"/>
      <c r="O926" s="239"/>
      <c r="P926" s="239"/>
      <c r="Q926" s="239"/>
      <c r="R926" s="239"/>
      <c r="S926" s="239"/>
    </row>
    <row r="927" spans="5:19" s="293" customFormat="1" x14ac:dyDescent="0.25">
      <c r="F927" s="196" t="s">
        <v>934</v>
      </c>
      <c r="G927" s="196" t="s">
        <v>169</v>
      </c>
      <c r="H927" s="196" t="s">
        <v>479</v>
      </c>
      <c r="I927" s="66"/>
      <c r="J927" s="239"/>
      <c r="K927" s="234"/>
      <c r="L927" s="239"/>
      <c r="M927" s="239"/>
      <c r="N927" s="239"/>
      <c r="O927" s="239"/>
      <c r="P927" s="239"/>
      <c r="Q927" s="239"/>
      <c r="R927" s="239"/>
      <c r="S927" s="239"/>
    </row>
    <row r="928" spans="5:19" s="293" customFormat="1" x14ac:dyDescent="0.25">
      <c r="F928" s="196" t="s">
        <v>935</v>
      </c>
      <c r="G928" s="196" t="s">
        <v>169</v>
      </c>
      <c r="H928" s="196" t="s">
        <v>479</v>
      </c>
      <c r="I928" s="66"/>
      <c r="J928" s="239"/>
      <c r="K928" s="234"/>
      <c r="L928" s="239"/>
      <c r="M928" s="239"/>
      <c r="N928" s="239"/>
      <c r="O928" s="239"/>
      <c r="P928" s="239"/>
      <c r="Q928" s="239"/>
      <c r="R928" s="239"/>
      <c r="S928" s="239"/>
    </row>
    <row r="929" spans="5:19" s="293" customFormat="1" x14ac:dyDescent="0.25">
      <c r="F929" s="196" t="s">
        <v>936</v>
      </c>
      <c r="G929" s="196" t="s">
        <v>169</v>
      </c>
      <c r="H929" s="196" t="s">
        <v>479</v>
      </c>
      <c r="I929" s="66"/>
      <c r="J929" s="239"/>
      <c r="K929" s="234"/>
      <c r="L929" s="239"/>
      <c r="M929" s="239"/>
      <c r="N929" s="239"/>
      <c r="O929" s="239"/>
      <c r="P929" s="239"/>
      <c r="Q929" s="239"/>
      <c r="R929" s="239"/>
      <c r="S929" s="239"/>
    </row>
    <row r="930" spans="5:19" s="293" customFormat="1" x14ac:dyDescent="0.25">
      <c r="F930" s="196" t="s">
        <v>937</v>
      </c>
      <c r="G930" s="196" t="s">
        <v>169</v>
      </c>
      <c r="H930" s="196" t="s">
        <v>479</v>
      </c>
      <c r="I930" s="66"/>
      <c r="J930" s="239"/>
      <c r="K930" s="234"/>
      <c r="L930" s="239"/>
      <c r="M930" s="239"/>
      <c r="N930" s="239"/>
      <c r="O930" s="239"/>
      <c r="P930" s="239"/>
      <c r="Q930" s="239"/>
      <c r="R930" s="239"/>
      <c r="S930" s="239"/>
    </row>
    <row r="931" spans="5:19" s="293" customFormat="1" x14ac:dyDescent="0.25">
      <c r="F931" s="196" t="s">
        <v>938</v>
      </c>
      <c r="G931" s="196" t="s">
        <v>169</v>
      </c>
      <c r="H931" s="196" t="s">
        <v>479</v>
      </c>
      <c r="I931" s="66"/>
      <c r="J931" s="239"/>
      <c r="K931" s="234"/>
      <c r="L931" s="239"/>
      <c r="M931" s="239"/>
      <c r="N931" s="239"/>
      <c r="O931" s="239"/>
      <c r="P931" s="239"/>
      <c r="Q931" s="239"/>
      <c r="R931" s="239"/>
      <c r="S931" s="239"/>
    </row>
    <row r="932" spans="5:19" s="293" customFormat="1" x14ac:dyDescent="0.25">
      <c r="F932" s="196" t="s">
        <v>939</v>
      </c>
      <c r="G932" s="196" t="s">
        <v>169</v>
      </c>
      <c r="H932" s="196" t="s">
        <v>479</v>
      </c>
      <c r="I932" s="66"/>
      <c r="J932" s="239"/>
      <c r="K932" s="234"/>
      <c r="L932" s="239"/>
      <c r="M932" s="239"/>
      <c r="N932" s="239"/>
      <c r="O932" s="239"/>
      <c r="P932" s="239"/>
      <c r="Q932" s="239"/>
      <c r="R932" s="239"/>
      <c r="S932" s="239"/>
    </row>
    <row r="933" spans="5:19" s="293" customFormat="1" x14ac:dyDescent="0.25">
      <c r="F933" s="196" t="s">
        <v>940</v>
      </c>
      <c r="G933" s="196" t="s">
        <v>169</v>
      </c>
      <c r="H933" s="196" t="s">
        <v>479</v>
      </c>
      <c r="I933" s="66"/>
      <c r="J933" s="239"/>
      <c r="K933" s="234"/>
      <c r="L933" s="239"/>
      <c r="M933" s="239"/>
      <c r="N933" s="239"/>
      <c r="O933" s="239"/>
      <c r="P933" s="239"/>
      <c r="Q933" s="239"/>
      <c r="R933" s="239"/>
      <c r="S933" s="239"/>
    </row>
    <row r="934" spans="5:19" s="293" customFormat="1" x14ac:dyDescent="0.25">
      <c r="F934" s="93" t="s">
        <v>941</v>
      </c>
      <c r="G934" s="93" t="s">
        <v>169</v>
      </c>
      <c r="H934" s="93" t="s">
        <v>479</v>
      </c>
      <c r="I934" s="145"/>
      <c r="J934" s="240"/>
      <c r="K934" s="236"/>
      <c r="L934" s="240"/>
      <c r="M934" s="240"/>
      <c r="N934" s="240"/>
      <c r="O934" s="240"/>
      <c r="P934" s="240"/>
      <c r="Q934" s="240"/>
      <c r="R934" s="240"/>
      <c r="S934" s="240"/>
    </row>
    <row r="935" spans="5:19" s="293" customFormat="1" x14ac:dyDescent="0.25">
      <c r="I935" s="111"/>
      <c r="J935" s="237"/>
      <c r="K935" s="237"/>
      <c r="L935" s="237"/>
      <c r="M935" s="237"/>
      <c r="N935" s="237"/>
      <c r="O935" s="237"/>
      <c r="P935" s="237"/>
      <c r="Q935" s="237"/>
      <c r="R935" s="237"/>
      <c r="S935" s="237"/>
    </row>
    <row r="936" spans="5:19" s="293" customFormat="1" x14ac:dyDescent="0.25">
      <c r="E936" s="144" t="s">
        <v>204</v>
      </c>
      <c r="I936" s="111"/>
      <c r="J936" s="237"/>
      <c r="K936" s="237"/>
      <c r="L936" s="237"/>
      <c r="M936" s="237"/>
      <c r="N936" s="237"/>
      <c r="O936" s="237"/>
      <c r="P936" s="237"/>
      <c r="Q936" s="237"/>
      <c r="R936" s="237"/>
      <c r="S936" s="237"/>
    </row>
    <row r="937" spans="5:19" s="293" customFormat="1" x14ac:dyDescent="0.25">
      <c r="F937" s="91" t="s">
        <v>926</v>
      </c>
      <c r="G937" s="91" t="s">
        <v>170</v>
      </c>
      <c r="H937" s="91" t="s">
        <v>479</v>
      </c>
      <c r="I937" s="112"/>
      <c r="J937" s="238"/>
      <c r="K937" s="232"/>
      <c r="L937" s="238"/>
      <c r="M937" s="238"/>
      <c r="N937" s="238"/>
      <c r="O937" s="238"/>
      <c r="P937" s="238"/>
      <c r="Q937" s="238"/>
      <c r="R937" s="238"/>
      <c r="S937" s="238"/>
    </row>
    <row r="938" spans="5:19" s="293" customFormat="1" x14ac:dyDescent="0.25">
      <c r="F938" s="196" t="s">
        <v>927</v>
      </c>
      <c r="G938" s="196" t="s">
        <v>170</v>
      </c>
      <c r="H938" s="196" t="s">
        <v>479</v>
      </c>
      <c r="I938" s="66"/>
      <c r="J938" s="239"/>
      <c r="K938" s="234"/>
      <c r="L938" s="239"/>
      <c r="M938" s="239"/>
      <c r="N938" s="239"/>
      <c r="O938" s="239"/>
      <c r="P938" s="239"/>
      <c r="Q938" s="239"/>
      <c r="R938" s="239"/>
      <c r="S938" s="239"/>
    </row>
    <row r="939" spans="5:19" s="293" customFormat="1" x14ac:dyDescent="0.25">
      <c r="F939" s="196" t="s">
        <v>928</v>
      </c>
      <c r="G939" s="196" t="s">
        <v>170</v>
      </c>
      <c r="H939" s="196" t="s">
        <v>479</v>
      </c>
      <c r="I939" s="66"/>
      <c r="J939" s="239"/>
      <c r="K939" s="234"/>
      <c r="L939" s="239"/>
      <c r="M939" s="239"/>
      <c r="N939" s="239"/>
      <c r="O939" s="239"/>
      <c r="P939" s="239"/>
      <c r="Q939" s="239"/>
      <c r="R939" s="239"/>
      <c r="S939" s="239"/>
    </row>
    <row r="940" spans="5:19" s="293" customFormat="1" x14ac:dyDescent="0.25">
      <c r="F940" s="196" t="s">
        <v>929</v>
      </c>
      <c r="G940" s="196" t="s">
        <v>170</v>
      </c>
      <c r="H940" s="196" t="s">
        <v>479</v>
      </c>
      <c r="I940" s="66"/>
      <c r="J940" s="239"/>
      <c r="K940" s="234"/>
      <c r="L940" s="239"/>
      <c r="M940" s="239"/>
      <c r="N940" s="239"/>
      <c r="O940" s="239"/>
      <c r="P940" s="239"/>
      <c r="Q940" s="239"/>
      <c r="R940" s="239"/>
      <c r="S940" s="239"/>
    </row>
    <row r="941" spans="5:19" s="293" customFormat="1" x14ac:dyDescent="0.25">
      <c r="F941" s="196" t="s">
        <v>930</v>
      </c>
      <c r="G941" s="196" t="s">
        <v>170</v>
      </c>
      <c r="H941" s="196" t="s">
        <v>479</v>
      </c>
      <c r="I941" s="66"/>
      <c r="J941" s="233">
        <f t="shared" ref="J941" si="94">CHOOSE(year_selection, L941,M941,N941,O941,P941,Q941,R941,S941)</f>
        <v>373.35796976523585</v>
      </c>
      <c r="K941" s="234"/>
      <c r="L941" s="330"/>
      <c r="M941" s="330"/>
      <c r="N941" s="330"/>
      <c r="O941" s="330">
        <v>373.35796976523585</v>
      </c>
      <c r="P941" s="330">
        <v>405.4028178454015</v>
      </c>
      <c r="Q941" s="330">
        <v>405.4028178454015</v>
      </c>
      <c r="R941" s="330">
        <v>437.44766592556721</v>
      </c>
      <c r="S941" s="330">
        <v>469.49251400573291</v>
      </c>
    </row>
    <row r="942" spans="5:19" s="293" customFormat="1" x14ac:dyDescent="0.25">
      <c r="F942" s="196" t="s">
        <v>931</v>
      </c>
      <c r="G942" s="196" t="s">
        <v>170</v>
      </c>
      <c r="H942" s="196" t="s">
        <v>479</v>
      </c>
      <c r="I942" s="66"/>
      <c r="J942" s="239"/>
      <c r="K942" s="234"/>
      <c r="L942" s="239"/>
      <c r="M942" s="239"/>
      <c r="N942" s="239"/>
      <c r="O942" s="239"/>
      <c r="P942" s="239"/>
      <c r="Q942" s="239"/>
      <c r="R942" s="239"/>
      <c r="S942" s="239"/>
    </row>
    <row r="943" spans="5:19" s="293" customFormat="1" x14ac:dyDescent="0.25">
      <c r="F943" s="196" t="s">
        <v>932</v>
      </c>
      <c r="G943" s="196" t="s">
        <v>170</v>
      </c>
      <c r="H943" s="196" t="s">
        <v>479</v>
      </c>
      <c r="I943" s="66"/>
      <c r="J943" s="239"/>
      <c r="K943" s="234"/>
      <c r="L943" s="239"/>
      <c r="M943" s="239"/>
      <c r="N943" s="239"/>
      <c r="O943" s="239"/>
      <c r="P943" s="239"/>
      <c r="Q943" s="239"/>
      <c r="R943" s="239"/>
      <c r="S943" s="239"/>
    </row>
    <row r="944" spans="5:19" s="293" customFormat="1" x14ac:dyDescent="0.25">
      <c r="F944" s="196" t="s">
        <v>933</v>
      </c>
      <c r="G944" s="196" t="s">
        <v>170</v>
      </c>
      <c r="H944" s="196" t="s">
        <v>479</v>
      </c>
      <c r="I944" s="66"/>
      <c r="J944" s="239"/>
      <c r="K944" s="234"/>
      <c r="L944" s="239"/>
      <c r="M944" s="239"/>
      <c r="N944" s="239"/>
      <c r="O944" s="239"/>
      <c r="P944" s="239"/>
      <c r="Q944" s="239"/>
      <c r="R944" s="239"/>
      <c r="S944" s="239"/>
    </row>
    <row r="945" spans="3:21" s="293" customFormat="1" x14ac:dyDescent="0.25">
      <c r="F945" s="196" t="s">
        <v>934</v>
      </c>
      <c r="G945" s="196" t="s">
        <v>170</v>
      </c>
      <c r="H945" s="196" t="s">
        <v>479</v>
      </c>
      <c r="I945" s="66"/>
      <c r="J945" s="239"/>
      <c r="K945" s="234"/>
      <c r="L945" s="239"/>
      <c r="M945" s="239"/>
      <c r="N945" s="239"/>
      <c r="O945" s="239"/>
      <c r="P945" s="239"/>
      <c r="Q945" s="239"/>
      <c r="R945" s="239"/>
      <c r="S945" s="239"/>
    </row>
    <row r="946" spans="3:21" s="293" customFormat="1" x14ac:dyDescent="0.25">
      <c r="F946" s="196" t="s">
        <v>935</v>
      </c>
      <c r="G946" s="196" t="s">
        <v>170</v>
      </c>
      <c r="H946" s="196" t="s">
        <v>479</v>
      </c>
      <c r="I946" s="66"/>
      <c r="J946" s="239"/>
      <c r="K946" s="234"/>
      <c r="L946" s="239"/>
      <c r="M946" s="239"/>
      <c r="N946" s="239"/>
      <c r="O946" s="239"/>
      <c r="P946" s="239"/>
      <c r="Q946" s="239"/>
      <c r="R946" s="239"/>
      <c r="S946" s="239"/>
    </row>
    <row r="947" spans="3:21" s="293" customFormat="1" x14ac:dyDescent="0.25">
      <c r="F947" s="196" t="s">
        <v>936</v>
      </c>
      <c r="G947" s="196" t="s">
        <v>170</v>
      </c>
      <c r="H947" s="196" t="s">
        <v>479</v>
      </c>
      <c r="I947" s="66"/>
      <c r="J947" s="239"/>
      <c r="K947" s="234"/>
      <c r="L947" s="239"/>
      <c r="M947" s="239"/>
      <c r="N947" s="239"/>
      <c r="O947" s="239"/>
      <c r="P947" s="239"/>
      <c r="Q947" s="239"/>
      <c r="R947" s="239"/>
      <c r="S947" s="239"/>
    </row>
    <row r="948" spans="3:21" s="293" customFormat="1" x14ac:dyDescent="0.25">
      <c r="F948" s="196" t="s">
        <v>937</v>
      </c>
      <c r="G948" s="196" t="s">
        <v>170</v>
      </c>
      <c r="H948" s="196" t="s">
        <v>479</v>
      </c>
      <c r="I948" s="66"/>
      <c r="J948" s="239"/>
      <c r="K948" s="234"/>
      <c r="L948" s="239"/>
      <c r="M948" s="239"/>
      <c r="N948" s="239"/>
      <c r="O948" s="239"/>
      <c r="P948" s="239"/>
      <c r="Q948" s="239"/>
      <c r="R948" s="239"/>
      <c r="S948" s="239"/>
    </row>
    <row r="949" spans="3:21" s="293" customFormat="1" x14ac:dyDescent="0.25">
      <c r="F949" s="196" t="s">
        <v>938</v>
      </c>
      <c r="G949" s="196" t="s">
        <v>170</v>
      </c>
      <c r="H949" s="196" t="s">
        <v>479</v>
      </c>
      <c r="I949" s="66"/>
      <c r="J949" s="239"/>
      <c r="K949" s="234"/>
      <c r="L949" s="239"/>
      <c r="M949" s="239"/>
      <c r="N949" s="239"/>
      <c r="O949" s="239"/>
      <c r="P949" s="239"/>
      <c r="Q949" s="239"/>
      <c r="R949" s="239"/>
      <c r="S949" s="239"/>
    </row>
    <row r="950" spans="3:21" s="293" customFormat="1" x14ac:dyDescent="0.25">
      <c r="F950" s="196" t="s">
        <v>939</v>
      </c>
      <c r="G950" s="196" t="s">
        <v>170</v>
      </c>
      <c r="H950" s="196" t="s">
        <v>479</v>
      </c>
      <c r="I950" s="66"/>
      <c r="J950" s="239"/>
      <c r="K950" s="234"/>
      <c r="L950" s="239"/>
      <c r="M950" s="239"/>
      <c r="N950" s="239"/>
      <c r="O950" s="239"/>
      <c r="P950" s="239"/>
      <c r="Q950" s="239"/>
      <c r="R950" s="239"/>
      <c r="S950" s="239"/>
    </row>
    <row r="951" spans="3:21" s="293" customFormat="1" x14ac:dyDescent="0.25">
      <c r="F951" s="196" t="s">
        <v>940</v>
      </c>
      <c r="G951" s="196" t="s">
        <v>170</v>
      </c>
      <c r="H951" s="196" t="s">
        <v>479</v>
      </c>
      <c r="I951" s="66"/>
      <c r="J951" s="239"/>
      <c r="K951" s="234"/>
      <c r="L951" s="239"/>
      <c r="M951" s="239"/>
      <c r="N951" s="239"/>
      <c r="O951" s="239"/>
      <c r="P951" s="239"/>
      <c r="Q951" s="239"/>
      <c r="R951" s="239"/>
      <c r="S951" s="239"/>
    </row>
    <row r="952" spans="3:21" s="293" customFormat="1" x14ac:dyDescent="0.25">
      <c r="F952" s="93" t="s">
        <v>941</v>
      </c>
      <c r="G952" s="93" t="s">
        <v>170</v>
      </c>
      <c r="H952" s="93" t="s">
        <v>479</v>
      </c>
      <c r="I952" s="145"/>
      <c r="J952" s="240"/>
      <c r="K952" s="236"/>
      <c r="L952" s="240"/>
      <c r="M952" s="240"/>
      <c r="N952" s="240"/>
      <c r="O952" s="240"/>
      <c r="P952" s="240"/>
      <c r="Q952" s="240"/>
      <c r="R952" s="240"/>
      <c r="S952" s="240"/>
    </row>
    <row r="953" spans="3:21" s="293" customFormat="1" x14ac:dyDescent="0.25">
      <c r="I953" s="111"/>
      <c r="J953" s="237"/>
      <c r="K953" s="237"/>
      <c r="L953" s="237"/>
      <c r="M953" s="237"/>
      <c r="N953" s="237"/>
      <c r="O953" s="237"/>
      <c r="P953" s="237"/>
      <c r="Q953" s="237"/>
      <c r="R953" s="237"/>
      <c r="S953" s="237"/>
    </row>
    <row r="954" spans="3:21" s="293" customFormat="1" x14ac:dyDescent="0.25">
      <c r="C954" s="7" t="str">
        <f ca="1">INDEX('Version control'!$H$35:$H$61,MATCH($A$1,'Version control'!$F$35:$F$61,0),1)&amp;"-J: LDNO LV volumes - Residual band 2"</f>
        <v>Input 501-J: LDNO LV volumes - Residual band 2</v>
      </c>
      <c r="D954" s="7"/>
      <c r="E954" s="7"/>
      <c r="F954" s="7"/>
      <c r="G954" s="7"/>
      <c r="H954" s="7"/>
      <c r="I954" s="171"/>
      <c r="J954" s="7"/>
      <c r="K954" s="7"/>
      <c r="L954" s="7"/>
      <c r="M954" s="7"/>
      <c r="N954" s="7"/>
      <c r="O954" s="7"/>
      <c r="P954" s="7"/>
      <c r="Q954" s="7"/>
      <c r="R954" s="7"/>
      <c r="S954" s="7"/>
      <c r="T954" s="7"/>
      <c r="U954" s="7"/>
    </row>
    <row r="955" spans="3:21" s="293" customFormat="1" x14ac:dyDescent="0.25">
      <c r="D955" s="96"/>
      <c r="I955" s="111"/>
    </row>
    <row r="956" spans="3:21" s="293" customFormat="1" x14ac:dyDescent="0.25">
      <c r="E956" s="144" t="s">
        <v>199</v>
      </c>
      <c r="I956" s="111" t="s">
        <v>359</v>
      </c>
      <c r="U956" s="293" t="s">
        <v>692</v>
      </c>
    </row>
    <row r="957" spans="3:21" s="293" customFormat="1" x14ac:dyDescent="0.25">
      <c r="F957" s="91" t="s">
        <v>926</v>
      </c>
      <c r="G957" s="91" t="s">
        <v>120</v>
      </c>
      <c r="H957" s="91" t="s">
        <v>479</v>
      </c>
      <c r="I957" s="112"/>
      <c r="J957" s="238"/>
      <c r="K957" s="232"/>
      <c r="L957" s="238"/>
      <c r="M957" s="238"/>
      <c r="N957" s="238"/>
      <c r="O957" s="238"/>
      <c r="P957" s="238"/>
      <c r="Q957" s="238"/>
      <c r="R957" s="238"/>
      <c r="S957" s="238"/>
    </row>
    <row r="958" spans="3:21" s="293" customFormat="1" x14ac:dyDescent="0.25">
      <c r="F958" s="196" t="s">
        <v>927</v>
      </c>
      <c r="G958" s="196" t="s">
        <v>120</v>
      </c>
      <c r="H958" s="196" t="s">
        <v>479</v>
      </c>
      <c r="I958" s="66"/>
      <c r="J958" s="239"/>
      <c r="K958" s="234"/>
      <c r="L958" s="239"/>
      <c r="M958" s="239"/>
      <c r="N958" s="239"/>
      <c r="O958" s="239"/>
      <c r="P958" s="239"/>
      <c r="Q958" s="239"/>
      <c r="R958" s="239"/>
      <c r="S958" s="239"/>
    </row>
    <row r="959" spans="3:21" s="293" customFormat="1" x14ac:dyDescent="0.25">
      <c r="F959" s="196" t="s">
        <v>928</v>
      </c>
      <c r="G959" s="196" t="s">
        <v>120</v>
      </c>
      <c r="H959" s="196" t="s">
        <v>479</v>
      </c>
      <c r="I959" s="66"/>
      <c r="J959" s="233">
        <f t="shared" ref="J959" si="95">CHOOSE(year_selection, L959,M959,N959,O959,P959,Q959,R959,S959)</f>
        <v>93.482105172584014</v>
      </c>
      <c r="K959" s="234"/>
      <c r="L959" s="330"/>
      <c r="M959" s="330"/>
      <c r="N959" s="330"/>
      <c r="O959" s="330">
        <v>93.482105172584014</v>
      </c>
      <c r="P959" s="330">
        <v>100.16238223594397</v>
      </c>
      <c r="Q959" s="330">
        <v>104.25274071840128</v>
      </c>
      <c r="R959" s="330">
        <v>107.37986567826788</v>
      </c>
      <c r="S959" s="330">
        <v>110.50699063813445</v>
      </c>
    </row>
    <row r="960" spans="3:21" s="293" customFormat="1" x14ac:dyDescent="0.25">
      <c r="F960" s="196" t="s">
        <v>929</v>
      </c>
      <c r="G960" s="196" t="s">
        <v>120</v>
      </c>
      <c r="H960" s="196" t="s">
        <v>479</v>
      </c>
      <c r="I960" s="66"/>
      <c r="J960" s="239"/>
      <c r="K960" s="234"/>
      <c r="L960" s="239"/>
      <c r="M960" s="239"/>
      <c r="N960" s="239"/>
      <c r="O960" s="239"/>
      <c r="P960" s="239"/>
      <c r="Q960" s="239"/>
      <c r="R960" s="239"/>
      <c r="S960" s="239"/>
    </row>
    <row r="961" spans="5:19" s="293" customFormat="1" x14ac:dyDescent="0.25">
      <c r="F961" s="196" t="s">
        <v>930</v>
      </c>
      <c r="G961" s="196" t="s">
        <v>120</v>
      </c>
      <c r="H961" s="196" t="s">
        <v>479</v>
      </c>
      <c r="I961" s="66"/>
      <c r="J961" s="233">
        <f t="shared" ref="J961" si="96">CHOOSE(year_selection, L961,M961,N961,O961,P961,Q961,R961,S961)</f>
        <v>294.58408343574632</v>
      </c>
      <c r="K961" s="234"/>
      <c r="L961" s="330"/>
      <c r="M961" s="330"/>
      <c r="N961" s="330"/>
      <c r="O961" s="330">
        <v>294.58408343574632</v>
      </c>
      <c r="P961" s="330">
        <v>301.34714306886974</v>
      </c>
      <c r="Q961" s="330">
        <v>325.16493577819739</v>
      </c>
      <c r="R961" s="330">
        <v>348.98272848752504</v>
      </c>
      <c r="S961" s="330">
        <v>372.80052119685274</v>
      </c>
    </row>
    <row r="962" spans="5:19" s="293" customFormat="1" x14ac:dyDescent="0.25">
      <c r="F962" s="196" t="s">
        <v>931</v>
      </c>
      <c r="G962" s="196" t="s">
        <v>120</v>
      </c>
      <c r="H962" s="196" t="s">
        <v>479</v>
      </c>
      <c r="I962" s="66"/>
      <c r="J962" s="239"/>
      <c r="K962" s="234"/>
      <c r="L962" s="239"/>
      <c r="M962" s="239"/>
      <c r="N962" s="239"/>
      <c r="O962" s="239"/>
      <c r="P962" s="239"/>
      <c r="Q962" s="239"/>
      <c r="R962" s="239"/>
      <c r="S962" s="239"/>
    </row>
    <row r="963" spans="5:19" s="293" customFormat="1" x14ac:dyDescent="0.25">
      <c r="F963" s="196" t="s">
        <v>932</v>
      </c>
      <c r="G963" s="196" t="s">
        <v>120</v>
      </c>
      <c r="H963" s="196" t="s">
        <v>479</v>
      </c>
      <c r="I963" s="66"/>
      <c r="J963" s="239"/>
      <c r="K963" s="234"/>
      <c r="L963" s="239"/>
      <c r="M963" s="239"/>
      <c r="N963" s="239"/>
      <c r="O963" s="239"/>
      <c r="P963" s="239"/>
      <c r="Q963" s="239"/>
      <c r="R963" s="239"/>
      <c r="S963" s="239"/>
    </row>
    <row r="964" spans="5:19" s="293" customFormat="1" x14ac:dyDescent="0.25">
      <c r="F964" s="196" t="s">
        <v>933</v>
      </c>
      <c r="G964" s="196" t="s">
        <v>120</v>
      </c>
      <c r="H964" s="196" t="s">
        <v>479</v>
      </c>
      <c r="I964" s="66"/>
      <c r="J964" s="239"/>
      <c r="K964" s="234"/>
      <c r="L964" s="239"/>
      <c r="M964" s="239"/>
      <c r="N964" s="239"/>
      <c r="O964" s="239"/>
      <c r="P964" s="239"/>
      <c r="Q964" s="239"/>
      <c r="R964" s="239"/>
      <c r="S964" s="239"/>
    </row>
    <row r="965" spans="5:19" s="293" customFormat="1" x14ac:dyDescent="0.25">
      <c r="F965" s="196" t="s">
        <v>934</v>
      </c>
      <c r="G965" s="196" t="s">
        <v>120</v>
      </c>
      <c r="H965" s="196" t="s">
        <v>479</v>
      </c>
      <c r="I965" s="66"/>
      <c r="J965" s="239"/>
      <c r="K965" s="234"/>
      <c r="L965" s="239"/>
      <c r="M965" s="239"/>
      <c r="N965" s="239"/>
      <c r="O965" s="239"/>
      <c r="P965" s="239"/>
      <c r="Q965" s="239"/>
      <c r="R965" s="239"/>
      <c r="S965" s="239"/>
    </row>
    <row r="966" spans="5:19" s="293" customFormat="1" x14ac:dyDescent="0.25">
      <c r="F966" s="196" t="s">
        <v>935</v>
      </c>
      <c r="G966" s="196" t="s">
        <v>120</v>
      </c>
      <c r="H966" s="196" t="s">
        <v>479</v>
      </c>
      <c r="I966" s="66"/>
      <c r="J966" s="239"/>
      <c r="K966" s="234"/>
      <c r="L966" s="239"/>
      <c r="M966" s="239"/>
      <c r="N966" s="239"/>
      <c r="O966" s="239"/>
      <c r="P966" s="239"/>
      <c r="Q966" s="239"/>
      <c r="R966" s="239"/>
      <c r="S966" s="239"/>
    </row>
    <row r="967" spans="5:19" s="293" customFormat="1" x14ac:dyDescent="0.25">
      <c r="F967" s="196" t="s">
        <v>936</v>
      </c>
      <c r="G967" s="196" t="s">
        <v>120</v>
      </c>
      <c r="H967" s="196" t="s">
        <v>479</v>
      </c>
      <c r="I967" s="66"/>
      <c r="J967" s="239"/>
      <c r="K967" s="234"/>
      <c r="L967" s="239"/>
      <c r="M967" s="239"/>
      <c r="N967" s="239"/>
      <c r="O967" s="239"/>
      <c r="P967" s="239"/>
      <c r="Q967" s="239"/>
      <c r="R967" s="239"/>
      <c r="S967" s="239"/>
    </row>
    <row r="968" spans="5:19" s="293" customFormat="1" x14ac:dyDescent="0.25">
      <c r="F968" s="196" t="s">
        <v>937</v>
      </c>
      <c r="G968" s="196" t="s">
        <v>120</v>
      </c>
      <c r="H968" s="196" t="s">
        <v>479</v>
      </c>
      <c r="I968" s="66"/>
      <c r="J968" s="239"/>
      <c r="K968" s="234"/>
      <c r="L968" s="239"/>
      <c r="M968" s="239"/>
      <c r="N968" s="239"/>
      <c r="O968" s="239"/>
      <c r="P968" s="239"/>
      <c r="Q968" s="239"/>
      <c r="R968" s="239"/>
      <c r="S968" s="239"/>
    </row>
    <row r="969" spans="5:19" s="293" customFormat="1" x14ac:dyDescent="0.25">
      <c r="F969" s="196" t="s">
        <v>938</v>
      </c>
      <c r="G969" s="196" t="s">
        <v>120</v>
      </c>
      <c r="H969" s="196" t="s">
        <v>479</v>
      </c>
      <c r="I969" s="66"/>
      <c r="J969" s="239"/>
      <c r="K969" s="234"/>
      <c r="L969" s="239"/>
      <c r="M969" s="239"/>
      <c r="N969" s="239"/>
      <c r="O969" s="239"/>
      <c r="P969" s="239"/>
      <c r="Q969" s="239"/>
      <c r="R969" s="239"/>
      <c r="S969" s="239"/>
    </row>
    <row r="970" spans="5:19" s="293" customFormat="1" x14ac:dyDescent="0.25">
      <c r="F970" s="196" t="s">
        <v>939</v>
      </c>
      <c r="G970" s="196" t="s">
        <v>120</v>
      </c>
      <c r="H970" s="196" t="s">
        <v>479</v>
      </c>
      <c r="I970" s="66"/>
      <c r="J970" s="239"/>
      <c r="K970" s="234"/>
      <c r="L970" s="239"/>
      <c r="M970" s="239"/>
      <c r="N970" s="239"/>
      <c r="O970" s="239"/>
      <c r="P970" s="239"/>
      <c r="Q970" s="239"/>
      <c r="R970" s="239"/>
      <c r="S970" s="239"/>
    </row>
    <row r="971" spans="5:19" s="293" customFormat="1" x14ac:dyDescent="0.25">
      <c r="F971" s="196" t="s">
        <v>940</v>
      </c>
      <c r="G971" s="196" t="s">
        <v>120</v>
      </c>
      <c r="H971" s="196" t="s">
        <v>479</v>
      </c>
      <c r="I971" s="66"/>
      <c r="J971" s="239"/>
      <c r="K971" s="234"/>
      <c r="L971" s="239"/>
      <c r="M971" s="239"/>
      <c r="N971" s="239"/>
      <c r="O971" s="239"/>
      <c r="P971" s="239"/>
      <c r="Q971" s="239"/>
      <c r="R971" s="239"/>
      <c r="S971" s="239"/>
    </row>
    <row r="972" spans="5:19" s="293" customFormat="1" x14ac:dyDescent="0.25">
      <c r="F972" s="93" t="s">
        <v>941</v>
      </c>
      <c r="G972" s="93" t="s">
        <v>120</v>
      </c>
      <c r="H972" s="93" t="s">
        <v>479</v>
      </c>
      <c r="I972" s="145"/>
      <c r="J972" s="240"/>
      <c r="K972" s="236"/>
      <c r="L972" s="240"/>
      <c r="M972" s="240"/>
      <c r="N972" s="240"/>
      <c r="O972" s="240"/>
      <c r="P972" s="240"/>
      <c r="Q972" s="240"/>
      <c r="R972" s="240"/>
      <c r="S972" s="240"/>
    </row>
    <row r="973" spans="5:19" s="293" customFormat="1" x14ac:dyDescent="0.25">
      <c r="I973" s="111"/>
      <c r="J973" s="237"/>
      <c r="K973" s="237"/>
      <c r="L973" s="237"/>
      <c r="M973" s="237"/>
      <c r="N973" s="237"/>
      <c r="O973" s="237"/>
      <c r="P973" s="237"/>
      <c r="Q973" s="237"/>
      <c r="R973" s="237"/>
      <c r="S973" s="237"/>
    </row>
    <row r="974" spans="5:19" s="293" customFormat="1" x14ac:dyDescent="0.25">
      <c r="E974" s="144" t="s">
        <v>200</v>
      </c>
      <c r="I974" s="111"/>
      <c r="J974" s="237"/>
      <c r="K974" s="237"/>
      <c r="L974" s="237"/>
      <c r="M974" s="237"/>
      <c r="N974" s="237"/>
      <c r="O974" s="237"/>
      <c r="P974" s="237"/>
      <c r="Q974" s="237"/>
      <c r="R974" s="237"/>
      <c r="S974" s="237"/>
    </row>
    <row r="975" spans="5:19" s="293" customFormat="1" x14ac:dyDescent="0.25">
      <c r="F975" s="91" t="s">
        <v>926</v>
      </c>
      <c r="G975" s="91" t="s">
        <v>120</v>
      </c>
      <c r="H975" s="91" t="s">
        <v>479</v>
      </c>
      <c r="I975" s="112"/>
      <c r="J975" s="238"/>
      <c r="K975" s="232"/>
      <c r="L975" s="238"/>
      <c r="M975" s="238"/>
      <c r="N975" s="238"/>
      <c r="O975" s="238"/>
      <c r="P975" s="238"/>
      <c r="Q975" s="238"/>
      <c r="R975" s="238"/>
      <c r="S975" s="238"/>
    </row>
    <row r="976" spans="5:19" s="293" customFormat="1" x14ac:dyDescent="0.25">
      <c r="F976" s="196" t="s">
        <v>927</v>
      </c>
      <c r="G976" s="196" t="s">
        <v>120</v>
      </c>
      <c r="H976" s="196" t="s">
        <v>479</v>
      </c>
      <c r="I976" s="66"/>
      <c r="J976" s="239"/>
      <c r="K976" s="234"/>
      <c r="L976" s="239"/>
      <c r="M976" s="239"/>
      <c r="N976" s="239"/>
      <c r="O976" s="239"/>
      <c r="P976" s="239"/>
      <c r="Q976" s="239"/>
      <c r="R976" s="239"/>
      <c r="S976" s="239"/>
    </row>
    <row r="977" spans="5:19" s="293" customFormat="1" x14ac:dyDescent="0.25">
      <c r="F977" s="196" t="s">
        <v>928</v>
      </c>
      <c r="G977" s="196" t="s">
        <v>120</v>
      </c>
      <c r="H977" s="196" t="s">
        <v>479</v>
      </c>
      <c r="I977" s="66"/>
      <c r="J977" s="233">
        <f t="shared" ref="J977" si="97">CHOOSE(year_selection, L977,M977,N977,O977,P977,Q977,R977,S977)</f>
        <v>593.66127470052868</v>
      </c>
      <c r="K977" s="234"/>
      <c r="L977" s="330"/>
      <c r="M977" s="330"/>
      <c r="N977" s="330"/>
      <c r="O977" s="330">
        <v>593.66127470052868</v>
      </c>
      <c r="P977" s="330">
        <v>637.54929962052313</v>
      </c>
      <c r="Q977" s="330">
        <v>664.17304549295807</v>
      </c>
      <c r="R977" s="330">
        <v>684.25476620500649</v>
      </c>
      <c r="S977" s="330">
        <v>704.33648691705491</v>
      </c>
    </row>
    <row r="978" spans="5:19" s="293" customFormat="1" x14ac:dyDescent="0.25">
      <c r="F978" s="196" t="s">
        <v>929</v>
      </c>
      <c r="G978" s="196" t="s">
        <v>120</v>
      </c>
      <c r="H978" s="196" t="s">
        <v>479</v>
      </c>
      <c r="I978" s="66"/>
      <c r="J978" s="239"/>
      <c r="K978" s="234"/>
      <c r="L978" s="239"/>
      <c r="M978" s="239"/>
      <c r="N978" s="239"/>
      <c r="O978" s="239"/>
      <c r="P978" s="239"/>
      <c r="Q978" s="239"/>
      <c r="R978" s="239"/>
      <c r="S978" s="239"/>
    </row>
    <row r="979" spans="5:19" s="293" customFormat="1" x14ac:dyDescent="0.25">
      <c r="F979" s="196" t="s">
        <v>930</v>
      </c>
      <c r="G979" s="196" t="s">
        <v>120</v>
      </c>
      <c r="H979" s="196" t="s">
        <v>479</v>
      </c>
      <c r="I979" s="66"/>
      <c r="J979" s="233">
        <f t="shared" ref="J979" si="98">CHOOSE(year_selection, L979,M979,N979,O979,P979,Q979,R979,S979)</f>
        <v>1726.0354349030699</v>
      </c>
      <c r="K979" s="234"/>
      <c r="L979" s="330"/>
      <c r="M979" s="330"/>
      <c r="N979" s="330"/>
      <c r="O979" s="330">
        <v>1726.0354349030699</v>
      </c>
      <c r="P979" s="330">
        <v>1765.668238868516</v>
      </c>
      <c r="Q979" s="330">
        <v>1905.2286196365385</v>
      </c>
      <c r="R979" s="330">
        <v>2044.7890004045605</v>
      </c>
      <c r="S979" s="330">
        <v>2184.3493811725821</v>
      </c>
    </row>
    <row r="980" spans="5:19" s="293" customFormat="1" x14ac:dyDescent="0.25">
      <c r="F980" s="196" t="s">
        <v>931</v>
      </c>
      <c r="G980" s="196" t="s">
        <v>120</v>
      </c>
      <c r="H980" s="196" t="s">
        <v>479</v>
      </c>
      <c r="I980" s="66"/>
      <c r="J980" s="239"/>
      <c r="K980" s="234"/>
      <c r="L980" s="239"/>
      <c r="M980" s="239"/>
      <c r="N980" s="239"/>
      <c r="O980" s="239"/>
      <c r="P980" s="239"/>
      <c r="Q980" s="239"/>
      <c r="R980" s="239"/>
      <c r="S980" s="239"/>
    </row>
    <row r="981" spans="5:19" s="293" customFormat="1" x14ac:dyDescent="0.25">
      <c r="F981" s="196" t="s">
        <v>932</v>
      </c>
      <c r="G981" s="196" t="s">
        <v>120</v>
      </c>
      <c r="H981" s="196" t="s">
        <v>479</v>
      </c>
      <c r="I981" s="66"/>
      <c r="J981" s="239"/>
      <c r="K981" s="234"/>
      <c r="L981" s="239"/>
      <c r="M981" s="239"/>
      <c r="N981" s="239"/>
      <c r="O981" s="239"/>
      <c r="P981" s="239"/>
      <c r="Q981" s="239"/>
      <c r="R981" s="239"/>
      <c r="S981" s="239"/>
    </row>
    <row r="982" spans="5:19" s="293" customFormat="1" x14ac:dyDescent="0.25">
      <c r="F982" s="196" t="s">
        <v>933</v>
      </c>
      <c r="G982" s="196" t="s">
        <v>120</v>
      </c>
      <c r="H982" s="196" t="s">
        <v>479</v>
      </c>
      <c r="I982" s="66"/>
      <c r="J982" s="239"/>
      <c r="K982" s="234"/>
      <c r="L982" s="239"/>
      <c r="M982" s="239"/>
      <c r="N982" s="239"/>
      <c r="O982" s="239"/>
      <c r="P982" s="239"/>
      <c r="Q982" s="239"/>
      <c r="R982" s="239"/>
      <c r="S982" s="239"/>
    </row>
    <row r="983" spans="5:19" s="293" customFormat="1" x14ac:dyDescent="0.25">
      <c r="F983" s="196" t="s">
        <v>934</v>
      </c>
      <c r="G983" s="196" t="s">
        <v>120</v>
      </c>
      <c r="H983" s="196" t="s">
        <v>479</v>
      </c>
      <c r="I983" s="66"/>
      <c r="J983" s="239"/>
      <c r="K983" s="234"/>
      <c r="L983" s="239"/>
      <c r="M983" s="239"/>
      <c r="N983" s="239"/>
      <c r="O983" s="239"/>
      <c r="P983" s="239"/>
      <c r="Q983" s="239"/>
      <c r="R983" s="239"/>
      <c r="S983" s="239"/>
    </row>
    <row r="984" spans="5:19" s="293" customFormat="1" x14ac:dyDescent="0.25">
      <c r="F984" s="196" t="s">
        <v>935</v>
      </c>
      <c r="G984" s="196" t="s">
        <v>120</v>
      </c>
      <c r="H984" s="196" t="s">
        <v>479</v>
      </c>
      <c r="I984" s="66"/>
      <c r="J984" s="239"/>
      <c r="K984" s="234"/>
      <c r="L984" s="239"/>
      <c r="M984" s="239"/>
      <c r="N984" s="239"/>
      <c r="O984" s="239"/>
      <c r="P984" s="239"/>
      <c r="Q984" s="239"/>
      <c r="R984" s="239"/>
      <c r="S984" s="239"/>
    </row>
    <row r="985" spans="5:19" s="293" customFormat="1" x14ac:dyDescent="0.25">
      <c r="F985" s="196" t="s">
        <v>936</v>
      </c>
      <c r="G985" s="196" t="s">
        <v>120</v>
      </c>
      <c r="H985" s="196" t="s">
        <v>479</v>
      </c>
      <c r="I985" s="66"/>
      <c r="J985" s="239"/>
      <c r="K985" s="234"/>
      <c r="L985" s="239"/>
      <c r="M985" s="239"/>
      <c r="N985" s="239"/>
      <c r="O985" s="239"/>
      <c r="P985" s="239"/>
      <c r="Q985" s="239"/>
      <c r="R985" s="239"/>
      <c r="S985" s="239"/>
    </row>
    <row r="986" spans="5:19" s="293" customFormat="1" x14ac:dyDescent="0.25">
      <c r="F986" s="196" t="s">
        <v>937</v>
      </c>
      <c r="G986" s="196" t="s">
        <v>120</v>
      </c>
      <c r="H986" s="196" t="s">
        <v>479</v>
      </c>
      <c r="I986" s="66"/>
      <c r="J986" s="239"/>
      <c r="K986" s="234"/>
      <c r="L986" s="239"/>
      <c r="M986" s="239"/>
      <c r="N986" s="239"/>
      <c r="O986" s="239"/>
      <c r="P986" s="239"/>
      <c r="Q986" s="239"/>
      <c r="R986" s="239"/>
      <c r="S986" s="239"/>
    </row>
    <row r="987" spans="5:19" s="293" customFormat="1" x14ac:dyDescent="0.25">
      <c r="F987" s="196" t="s">
        <v>938</v>
      </c>
      <c r="G987" s="196" t="s">
        <v>120</v>
      </c>
      <c r="H987" s="196" t="s">
        <v>479</v>
      </c>
      <c r="I987" s="66"/>
      <c r="J987" s="239"/>
      <c r="K987" s="234"/>
      <c r="L987" s="239"/>
      <c r="M987" s="239"/>
      <c r="N987" s="239"/>
      <c r="O987" s="239"/>
      <c r="P987" s="239"/>
      <c r="Q987" s="239"/>
      <c r="R987" s="239"/>
      <c r="S987" s="239"/>
    </row>
    <row r="988" spans="5:19" s="293" customFormat="1" x14ac:dyDescent="0.25">
      <c r="F988" s="196" t="s">
        <v>939</v>
      </c>
      <c r="G988" s="196" t="s">
        <v>120</v>
      </c>
      <c r="H988" s="196" t="s">
        <v>479</v>
      </c>
      <c r="I988" s="66"/>
      <c r="J988" s="239"/>
      <c r="K988" s="234"/>
      <c r="L988" s="239"/>
      <c r="M988" s="239"/>
      <c r="N988" s="239"/>
      <c r="O988" s="239"/>
      <c r="P988" s="239"/>
      <c r="Q988" s="239"/>
      <c r="R988" s="239"/>
      <c r="S988" s="239"/>
    </row>
    <row r="989" spans="5:19" s="293" customFormat="1" x14ac:dyDescent="0.25">
      <c r="F989" s="196" t="s">
        <v>940</v>
      </c>
      <c r="G989" s="196" t="s">
        <v>120</v>
      </c>
      <c r="H989" s="196" t="s">
        <v>479</v>
      </c>
      <c r="I989" s="66"/>
      <c r="J989" s="239"/>
      <c r="K989" s="234"/>
      <c r="L989" s="239"/>
      <c r="M989" s="239"/>
      <c r="N989" s="239"/>
      <c r="O989" s="239"/>
      <c r="P989" s="239"/>
      <c r="Q989" s="239"/>
      <c r="R989" s="239"/>
      <c r="S989" s="239"/>
    </row>
    <row r="990" spans="5:19" s="293" customFormat="1" x14ac:dyDescent="0.25">
      <c r="F990" s="93" t="s">
        <v>941</v>
      </c>
      <c r="G990" s="93" t="s">
        <v>120</v>
      </c>
      <c r="H990" s="93" t="s">
        <v>479</v>
      </c>
      <c r="I990" s="145"/>
      <c r="J990" s="240"/>
      <c r="K990" s="236"/>
      <c r="L990" s="240"/>
      <c r="M990" s="240"/>
      <c r="N990" s="240"/>
      <c r="O990" s="240"/>
      <c r="P990" s="240"/>
      <c r="Q990" s="240"/>
      <c r="R990" s="240"/>
      <c r="S990" s="240"/>
    </row>
    <row r="991" spans="5:19" s="293" customFormat="1" x14ac:dyDescent="0.25">
      <c r="I991" s="111"/>
      <c r="J991" s="237"/>
      <c r="K991" s="237"/>
      <c r="L991" s="237"/>
      <c r="M991" s="237"/>
      <c r="N991" s="237"/>
      <c r="O991" s="237"/>
      <c r="P991" s="237"/>
      <c r="Q991" s="237"/>
      <c r="R991" s="237"/>
      <c r="S991" s="237"/>
    </row>
    <row r="992" spans="5:19" s="293" customFormat="1" x14ac:dyDescent="0.25">
      <c r="E992" s="144" t="s">
        <v>201</v>
      </c>
      <c r="I992" s="111"/>
      <c r="J992" s="237"/>
      <c r="K992" s="237"/>
      <c r="L992" s="237"/>
      <c r="M992" s="237"/>
      <c r="N992" s="237"/>
      <c r="O992" s="237"/>
      <c r="P992" s="237"/>
      <c r="Q992" s="237"/>
      <c r="R992" s="237"/>
      <c r="S992" s="237"/>
    </row>
    <row r="993" spans="6:19" s="293" customFormat="1" x14ac:dyDescent="0.25">
      <c r="F993" s="91" t="s">
        <v>926</v>
      </c>
      <c r="G993" s="91" t="s">
        <v>120</v>
      </c>
      <c r="H993" s="91" t="s">
        <v>479</v>
      </c>
      <c r="I993" s="112"/>
      <c r="J993" s="238"/>
      <c r="K993" s="232"/>
      <c r="L993" s="238"/>
      <c r="M993" s="238"/>
      <c r="N993" s="238"/>
      <c r="O993" s="238"/>
      <c r="P993" s="238"/>
      <c r="Q993" s="238"/>
      <c r="R993" s="238"/>
      <c r="S993" s="238"/>
    </row>
    <row r="994" spans="6:19" s="293" customFormat="1" x14ac:dyDescent="0.25">
      <c r="F994" s="196" t="s">
        <v>927</v>
      </c>
      <c r="G994" s="196" t="s">
        <v>120</v>
      </c>
      <c r="H994" s="196" t="s">
        <v>479</v>
      </c>
      <c r="I994" s="66"/>
      <c r="J994" s="239"/>
      <c r="K994" s="234"/>
      <c r="L994" s="239"/>
      <c r="M994" s="239"/>
      <c r="N994" s="239"/>
      <c r="O994" s="239"/>
      <c r="P994" s="239"/>
      <c r="Q994" s="239"/>
      <c r="R994" s="239"/>
      <c r="S994" s="239"/>
    </row>
    <row r="995" spans="6:19" s="293" customFormat="1" x14ac:dyDescent="0.25">
      <c r="F995" s="196" t="s">
        <v>928</v>
      </c>
      <c r="G995" s="196" t="s">
        <v>120</v>
      </c>
      <c r="H995" s="196" t="s">
        <v>479</v>
      </c>
      <c r="I995" s="66"/>
      <c r="J995" s="233">
        <f t="shared" ref="J995" si="99">CHOOSE(year_selection, L995,M995,N995,O995,P995,Q995,R995,S995)</f>
        <v>267.09054949125294</v>
      </c>
      <c r="K995" s="234"/>
      <c r="L995" s="330"/>
      <c r="M995" s="330"/>
      <c r="N995" s="330"/>
      <c r="O995" s="330">
        <v>267.09054949125294</v>
      </c>
      <c r="P995" s="330">
        <v>286.76579727871029</v>
      </c>
      <c r="Q995" s="330">
        <v>298.71552468432748</v>
      </c>
      <c r="R995" s="330">
        <v>307.74927268488676</v>
      </c>
      <c r="S995" s="330">
        <v>316.78302068544605</v>
      </c>
    </row>
    <row r="996" spans="6:19" s="293" customFormat="1" x14ac:dyDescent="0.25">
      <c r="F996" s="196" t="s">
        <v>929</v>
      </c>
      <c r="G996" s="196" t="s">
        <v>120</v>
      </c>
      <c r="H996" s="196" t="s">
        <v>479</v>
      </c>
      <c r="I996" s="66"/>
      <c r="J996" s="239"/>
      <c r="K996" s="234"/>
      <c r="L996" s="239"/>
      <c r="M996" s="239"/>
      <c r="N996" s="239"/>
      <c r="O996" s="239"/>
      <c r="P996" s="239"/>
      <c r="Q996" s="239"/>
      <c r="R996" s="239"/>
      <c r="S996" s="239"/>
    </row>
    <row r="997" spans="6:19" s="293" customFormat="1" x14ac:dyDescent="0.25">
      <c r="F997" s="196" t="s">
        <v>930</v>
      </c>
      <c r="G997" s="196" t="s">
        <v>120</v>
      </c>
      <c r="H997" s="196" t="s">
        <v>479</v>
      </c>
      <c r="I997" s="66"/>
      <c r="J997" s="233">
        <f t="shared" ref="J997" si="100">CHOOSE(year_selection, L997,M997,N997,O997,P997,Q997,R997,S997)</f>
        <v>1023.4105109430498</v>
      </c>
      <c r="K997" s="234"/>
      <c r="L997" s="330"/>
      <c r="M997" s="330"/>
      <c r="N997" s="330"/>
      <c r="O997" s="330">
        <v>1023.4105109430498</v>
      </c>
      <c r="P997" s="330">
        <v>1046.9222524176382</v>
      </c>
      <c r="Q997" s="330">
        <v>1129.683607408168</v>
      </c>
      <c r="R997" s="330">
        <v>1212.4449623986973</v>
      </c>
      <c r="S997" s="330">
        <v>1295.2063173892266</v>
      </c>
    </row>
    <row r="998" spans="6:19" s="293" customFormat="1" x14ac:dyDescent="0.25">
      <c r="F998" s="196" t="s">
        <v>931</v>
      </c>
      <c r="G998" s="196" t="s">
        <v>120</v>
      </c>
      <c r="H998" s="196" t="s">
        <v>479</v>
      </c>
      <c r="I998" s="66"/>
      <c r="J998" s="239"/>
      <c r="K998" s="234"/>
      <c r="L998" s="239"/>
      <c r="M998" s="239"/>
      <c r="N998" s="239"/>
      <c r="O998" s="239"/>
      <c r="P998" s="239"/>
      <c r="Q998" s="239"/>
      <c r="R998" s="239"/>
      <c r="S998" s="239"/>
    </row>
    <row r="999" spans="6:19" s="293" customFormat="1" x14ac:dyDescent="0.25">
      <c r="F999" s="196" t="s">
        <v>932</v>
      </c>
      <c r="G999" s="196" t="s">
        <v>120</v>
      </c>
      <c r="H999" s="196" t="s">
        <v>479</v>
      </c>
      <c r="I999" s="66"/>
      <c r="J999" s="239"/>
      <c r="K999" s="234"/>
      <c r="L999" s="239"/>
      <c r="M999" s="239"/>
      <c r="N999" s="239"/>
      <c r="O999" s="239"/>
      <c r="P999" s="239"/>
      <c r="Q999" s="239"/>
      <c r="R999" s="239"/>
      <c r="S999" s="239"/>
    </row>
    <row r="1000" spans="6:19" s="293" customFormat="1" x14ac:dyDescent="0.25">
      <c r="F1000" s="196" t="s">
        <v>933</v>
      </c>
      <c r="G1000" s="196" t="s">
        <v>120</v>
      </c>
      <c r="H1000" s="196" t="s">
        <v>479</v>
      </c>
      <c r="I1000" s="66"/>
      <c r="J1000" s="239"/>
      <c r="K1000" s="234"/>
      <c r="L1000" s="239"/>
      <c r="M1000" s="239"/>
      <c r="N1000" s="239"/>
      <c r="O1000" s="239"/>
      <c r="P1000" s="239"/>
      <c r="Q1000" s="239"/>
      <c r="R1000" s="239"/>
      <c r="S1000" s="239"/>
    </row>
    <row r="1001" spans="6:19" s="293" customFormat="1" x14ac:dyDescent="0.25">
      <c r="F1001" s="196" t="s">
        <v>934</v>
      </c>
      <c r="G1001" s="196" t="s">
        <v>120</v>
      </c>
      <c r="H1001" s="196" t="s">
        <v>479</v>
      </c>
      <c r="I1001" s="66"/>
      <c r="J1001" s="239"/>
      <c r="K1001" s="234"/>
      <c r="L1001" s="239"/>
      <c r="M1001" s="239"/>
      <c r="N1001" s="239"/>
      <c r="O1001" s="239"/>
      <c r="P1001" s="239"/>
      <c r="Q1001" s="239"/>
      <c r="R1001" s="239"/>
      <c r="S1001" s="239"/>
    </row>
    <row r="1002" spans="6:19" s="293" customFormat="1" x14ac:dyDescent="0.25">
      <c r="F1002" s="196" t="s">
        <v>935</v>
      </c>
      <c r="G1002" s="196" t="s">
        <v>120</v>
      </c>
      <c r="H1002" s="196" t="s">
        <v>479</v>
      </c>
      <c r="I1002" s="66"/>
      <c r="J1002" s="239"/>
      <c r="K1002" s="234"/>
      <c r="L1002" s="239"/>
      <c r="M1002" s="239"/>
      <c r="N1002" s="239"/>
      <c r="O1002" s="239"/>
      <c r="P1002" s="239"/>
      <c r="Q1002" s="239"/>
      <c r="R1002" s="239"/>
      <c r="S1002" s="239"/>
    </row>
    <row r="1003" spans="6:19" s="293" customFormat="1" x14ac:dyDescent="0.25">
      <c r="F1003" s="196" t="s">
        <v>936</v>
      </c>
      <c r="G1003" s="196" t="s">
        <v>120</v>
      </c>
      <c r="H1003" s="196" t="s">
        <v>479</v>
      </c>
      <c r="I1003" s="66"/>
      <c r="J1003" s="239"/>
      <c r="K1003" s="234"/>
      <c r="L1003" s="239"/>
      <c r="M1003" s="239"/>
      <c r="N1003" s="239"/>
      <c r="O1003" s="239"/>
      <c r="P1003" s="239"/>
      <c r="Q1003" s="239"/>
      <c r="R1003" s="239"/>
      <c r="S1003" s="239"/>
    </row>
    <row r="1004" spans="6:19" s="293" customFormat="1" x14ac:dyDescent="0.25">
      <c r="F1004" s="196" t="s">
        <v>937</v>
      </c>
      <c r="G1004" s="196" t="s">
        <v>120</v>
      </c>
      <c r="H1004" s="196" t="s">
        <v>479</v>
      </c>
      <c r="I1004" s="66"/>
      <c r="J1004" s="239"/>
      <c r="K1004" s="234"/>
      <c r="L1004" s="239"/>
      <c r="M1004" s="239"/>
      <c r="N1004" s="239"/>
      <c r="O1004" s="239"/>
      <c r="P1004" s="239"/>
      <c r="Q1004" s="239"/>
      <c r="R1004" s="239"/>
      <c r="S1004" s="239"/>
    </row>
    <row r="1005" spans="6:19" s="293" customFormat="1" x14ac:dyDescent="0.25">
      <c r="F1005" s="196" t="s">
        <v>938</v>
      </c>
      <c r="G1005" s="196" t="s">
        <v>120</v>
      </c>
      <c r="H1005" s="196" t="s">
        <v>479</v>
      </c>
      <c r="I1005" s="66"/>
      <c r="J1005" s="239"/>
      <c r="K1005" s="234"/>
      <c r="L1005" s="239"/>
      <c r="M1005" s="239"/>
      <c r="N1005" s="239"/>
      <c r="O1005" s="239"/>
      <c r="P1005" s="239"/>
      <c r="Q1005" s="239"/>
      <c r="R1005" s="239"/>
      <c r="S1005" s="239"/>
    </row>
    <row r="1006" spans="6:19" s="293" customFormat="1" x14ac:dyDescent="0.25">
      <c r="F1006" s="196" t="s">
        <v>939</v>
      </c>
      <c r="G1006" s="196" t="s">
        <v>120</v>
      </c>
      <c r="H1006" s="196" t="s">
        <v>479</v>
      </c>
      <c r="I1006" s="66"/>
      <c r="J1006" s="239"/>
      <c r="K1006" s="234"/>
      <c r="L1006" s="239"/>
      <c r="M1006" s="239"/>
      <c r="N1006" s="239"/>
      <c r="O1006" s="239"/>
      <c r="P1006" s="239"/>
      <c r="Q1006" s="239"/>
      <c r="R1006" s="239"/>
      <c r="S1006" s="239"/>
    </row>
    <row r="1007" spans="6:19" s="293" customFormat="1" x14ac:dyDescent="0.25">
      <c r="F1007" s="196" t="s">
        <v>940</v>
      </c>
      <c r="G1007" s="196" t="s">
        <v>120</v>
      </c>
      <c r="H1007" s="196" t="s">
        <v>479</v>
      </c>
      <c r="I1007" s="66"/>
      <c r="J1007" s="239"/>
      <c r="K1007" s="234"/>
      <c r="L1007" s="239"/>
      <c r="M1007" s="239"/>
      <c r="N1007" s="239"/>
      <c r="O1007" s="239"/>
      <c r="P1007" s="239"/>
      <c r="Q1007" s="239"/>
      <c r="R1007" s="239"/>
      <c r="S1007" s="239"/>
    </row>
    <row r="1008" spans="6:19" s="293" customFormat="1" x14ac:dyDescent="0.25">
      <c r="F1008" s="93" t="s">
        <v>941</v>
      </c>
      <c r="G1008" s="93" t="s">
        <v>120</v>
      </c>
      <c r="H1008" s="93" t="s">
        <v>479</v>
      </c>
      <c r="I1008" s="145"/>
      <c r="J1008" s="240"/>
      <c r="K1008" s="236"/>
      <c r="L1008" s="240"/>
      <c r="M1008" s="240"/>
      <c r="N1008" s="240"/>
      <c r="O1008" s="240"/>
      <c r="P1008" s="240"/>
      <c r="Q1008" s="240"/>
      <c r="R1008" s="240"/>
      <c r="S1008" s="240"/>
    </row>
    <row r="1009" spans="5:19" s="293" customFormat="1" x14ac:dyDescent="0.25">
      <c r="I1009" s="111"/>
      <c r="J1009" s="237"/>
      <c r="K1009" s="237"/>
      <c r="L1009" s="237"/>
      <c r="M1009" s="237"/>
      <c r="N1009" s="237"/>
      <c r="O1009" s="237"/>
      <c r="P1009" s="237"/>
      <c r="Q1009" s="237"/>
      <c r="R1009" s="237"/>
      <c r="S1009" s="237"/>
    </row>
    <row r="1010" spans="5:19" s="293" customFormat="1" x14ac:dyDescent="0.25">
      <c r="E1010" s="144" t="s">
        <v>74</v>
      </c>
      <c r="I1010" s="111"/>
      <c r="J1010" s="237"/>
      <c r="K1010" s="237"/>
      <c r="L1010" s="237"/>
      <c r="M1010" s="237"/>
      <c r="N1010" s="237"/>
      <c r="O1010" s="237"/>
      <c r="P1010" s="237"/>
      <c r="Q1010" s="237"/>
      <c r="R1010" s="237"/>
      <c r="S1010" s="237"/>
    </row>
    <row r="1011" spans="5:19" s="293" customFormat="1" x14ac:dyDescent="0.25">
      <c r="F1011" s="91" t="s">
        <v>926</v>
      </c>
      <c r="G1011" s="91" t="s">
        <v>74</v>
      </c>
      <c r="H1011" s="91" t="s">
        <v>479</v>
      </c>
      <c r="I1011" s="112"/>
      <c r="J1011" s="238"/>
      <c r="K1011" s="232"/>
      <c r="L1011" s="238"/>
      <c r="M1011" s="238"/>
      <c r="N1011" s="238"/>
      <c r="O1011" s="238"/>
      <c r="P1011" s="238"/>
      <c r="Q1011" s="238"/>
      <c r="R1011" s="238"/>
      <c r="S1011" s="238"/>
    </row>
    <row r="1012" spans="5:19" s="293" customFormat="1" x14ac:dyDescent="0.25">
      <c r="F1012" s="196" t="s">
        <v>927</v>
      </c>
      <c r="G1012" s="196" t="s">
        <v>74</v>
      </c>
      <c r="H1012" s="196" t="s">
        <v>479</v>
      </c>
      <c r="I1012" s="66"/>
      <c r="J1012" s="239"/>
      <c r="K1012" s="234"/>
      <c r="L1012" s="239"/>
      <c r="M1012" s="239"/>
      <c r="N1012" s="239"/>
      <c r="O1012" s="239"/>
      <c r="P1012" s="239"/>
      <c r="Q1012" s="239"/>
      <c r="R1012" s="239"/>
      <c r="S1012" s="239"/>
    </row>
    <row r="1013" spans="5:19" s="293" customFormat="1" x14ac:dyDescent="0.25">
      <c r="F1013" s="196" t="s">
        <v>928</v>
      </c>
      <c r="G1013" s="196" t="s">
        <v>74</v>
      </c>
      <c r="H1013" s="196" t="s">
        <v>479</v>
      </c>
      <c r="I1013" s="66"/>
      <c r="J1013" s="233">
        <f t="shared" ref="J1013" si="101">CHOOSE(year_selection, L1013,M1013,N1013,O1013,P1013,Q1013,R1013,S1013)</f>
        <v>128.67108086138472</v>
      </c>
      <c r="K1013" s="234"/>
      <c r="L1013" s="330"/>
      <c r="M1013" s="330"/>
      <c r="N1013" s="330"/>
      <c r="O1013" s="330">
        <v>128.67108086138472</v>
      </c>
      <c r="P1013" s="330">
        <v>137.9281723555591</v>
      </c>
      <c r="Q1013" s="330">
        <v>143.5837587014218</v>
      </c>
      <c r="R1013" s="330">
        <v>147.90241253364866</v>
      </c>
      <c r="S1013" s="330">
        <v>152.22106636587552</v>
      </c>
    </row>
    <row r="1014" spans="5:19" s="293" customFormat="1" x14ac:dyDescent="0.25">
      <c r="F1014" s="196" t="s">
        <v>929</v>
      </c>
      <c r="G1014" s="196" t="s">
        <v>74</v>
      </c>
      <c r="H1014" s="196" t="s">
        <v>479</v>
      </c>
      <c r="I1014" s="66"/>
      <c r="J1014" s="239"/>
      <c r="K1014" s="234"/>
      <c r="L1014" s="239"/>
      <c r="M1014" s="239"/>
      <c r="N1014" s="239"/>
      <c r="O1014" s="239"/>
      <c r="P1014" s="239"/>
      <c r="Q1014" s="239"/>
      <c r="R1014" s="239"/>
      <c r="S1014" s="239"/>
    </row>
    <row r="1015" spans="5:19" s="293" customFormat="1" x14ac:dyDescent="0.25">
      <c r="F1015" s="196" t="s">
        <v>930</v>
      </c>
      <c r="G1015" s="196" t="s">
        <v>74</v>
      </c>
      <c r="H1015" s="196" t="s">
        <v>479</v>
      </c>
      <c r="I1015" s="66"/>
      <c r="J1015" s="233">
        <f t="shared" ref="J1015" si="102">CHOOSE(year_selection, L1015,M1015,N1015,O1015,P1015,Q1015,R1015,S1015)</f>
        <v>33.259701129546549</v>
      </c>
      <c r="K1015" s="234"/>
      <c r="L1015" s="330"/>
      <c r="M1015" s="330"/>
      <c r="N1015" s="330"/>
      <c r="O1015" s="330">
        <v>33.259701129546549</v>
      </c>
      <c r="P1015" s="330">
        <v>36.120750689077447</v>
      </c>
      <c r="Q1015" s="330">
        <v>38.98180024860833</v>
      </c>
      <c r="R1015" s="330">
        <v>41.842849808139221</v>
      </c>
      <c r="S1015" s="330">
        <v>44.703899367670104</v>
      </c>
    </row>
    <row r="1016" spans="5:19" s="293" customFormat="1" x14ac:dyDescent="0.25">
      <c r="F1016" s="196" t="s">
        <v>931</v>
      </c>
      <c r="G1016" s="196" t="s">
        <v>74</v>
      </c>
      <c r="H1016" s="196" t="s">
        <v>479</v>
      </c>
      <c r="I1016" s="66"/>
      <c r="J1016" s="239"/>
      <c r="K1016" s="234"/>
      <c r="L1016" s="239"/>
      <c r="M1016" s="239"/>
      <c r="N1016" s="239"/>
      <c r="O1016" s="239"/>
      <c r="P1016" s="239"/>
      <c r="Q1016" s="239"/>
      <c r="R1016" s="239"/>
      <c r="S1016" s="239"/>
    </row>
    <row r="1017" spans="5:19" s="293" customFormat="1" x14ac:dyDescent="0.25">
      <c r="F1017" s="196" t="s">
        <v>932</v>
      </c>
      <c r="G1017" s="196" t="s">
        <v>74</v>
      </c>
      <c r="H1017" s="196" t="s">
        <v>479</v>
      </c>
      <c r="I1017" s="66"/>
      <c r="J1017" s="239"/>
      <c r="K1017" s="234"/>
      <c r="L1017" s="239"/>
      <c r="M1017" s="239"/>
      <c r="N1017" s="239"/>
      <c r="O1017" s="239"/>
      <c r="P1017" s="239"/>
      <c r="Q1017" s="239"/>
      <c r="R1017" s="239"/>
      <c r="S1017" s="239"/>
    </row>
    <row r="1018" spans="5:19" s="293" customFormat="1" x14ac:dyDescent="0.25">
      <c r="F1018" s="196" t="s">
        <v>933</v>
      </c>
      <c r="G1018" s="196" t="s">
        <v>74</v>
      </c>
      <c r="H1018" s="196" t="s">
        <v>479</v>
      </c>
      <c r="I1018" s="66"/>
      <c r="J1018" s="239"/>
      <c r="K1018" s="234"/>
      <c r="L1018" s="239"/>
      <c r="M1018" s="239"/>
      <c r="N1018" s="239"/>
      <c r="O1018" s="239"/>
      <c r="P1018" s="239"/>
      <c r="Q1018" s="239"/>
      <c r="R1018" s="239"/>
      <c r="S1018" s="239"/>
    </row>
    <row r="1019" spans="5:19" s="293" customFormat="1" x14ac:dyDescent="0.25">
      <c r="F1019" s="196" t="s">
        <v>934</v>
      </c>
      <c r="G1019" s="196" t="s">
        <v>74</v>
      </c>
      <c r="H1019" s="196" t="s">
        <v>479</v>
      </c>
      <c r="I1019" s="66"/>
      <c r="J1019" s="239"/>
      <c r="K1019" s="234"/>
      <c r="L1019" s="239"/>
      <c r="M1019" s="239"/>
      <c r="N1019" s="239"/>
      <c r="O1019" s="239"/>
      <c r="P1019" s="239"/>
      <c r="Q1019" s="239"/>
      <c r="R1019" s="239"/>
      <c r="S1019" s="239"/>
    </row>
    <row r="1020" spans="5:19" s="293" customFormat="1" x14ac:dyDescent="0.25">
      <c r="F1020" s="196" t="s">
        <v>935</v>
      </c>
      <c r="G1020" s="196" t="s">
        <v>74</v>
      </c>
      <c r="H1020" s="196" t="s">
        <v>479</v>
      </c>
      <c r="I1020" s="66"/>
      <c r="J1020" s="239"/>
      <c r="K1020" s="234"/>
      <c r="L1020" s="239"/>
      <c r="M1020" s="239"/>
      <c r="N1020" s="239"/>
      <c r="O1020" s="239"/>
      <c r="P1020" s="239"/>
      <c r="Q1020" s="239"/>
      <c r="R1020" s="239"/>
      <c r="S1020" s="239"/>
    </row>
    <row r="1021" spans="5:19" s="293" customFormat="1" x14ac:dyDescent="0.25">
      <c r="F1021" s="196" t="s">
        <v>936</v>
      </c>
      <c r="G1021" s="196" t="s">
        <v>74</v>
      </c>
      <c r="H1021" s="196" t="s">
        <v>479</v>
      </c>
      <c r="I1021" s="66"/>
      <c r="J1021" s="239"/>
      <c r="K1021" s="234"/>
      <c r="L1021" s="239"/>
      <c r="M1021" s="239"/>
      <c r="N1021" s="239"/>
      <c r="O1021" s="239"/>
      <c r="P1021" s="239"/>
      <c r="Q1021" s="239"/>
      <c r="R1021" s="239"/>
      <c r="S1021" s="239"/>
    </row>
    <row r="1022" spans="5:19" s="293" customFormat="1" x14ac:dyDescent="0.25">
      <c r="F1022" s="196" t="s">
        <v>937</v>
      </c>
      <c r="G1022" s="196" t="s">
        <v>74</v>
      </c>
      <c r="H1022" s="196" t="s">
        <v>479</v>
      </c>
      <c r="I1022" s="66"/>
      <c r="J1022" s="239"/>
      <c r="K1022" s="234"/>
      <c r="L1022" s="239"/>
      <c r="M1022" s="239"/>
      <c r="N1022" s="239"/>
      <c r="O1022" s="239"/>
      <c r="P1022" s="239"/>
      <c r="Q1022" s="239"/>
      <c r="R1022" s="239"/>
      <c r="S1022" s="239"/>
    </row>
    <row r="1023" spans="5:19" s="293" customFormat="1" x14ac:dyDescent="0.25">
      <c r="F1023" s="196" t="s">
        <v>938</v>
      </c>
      <c r="G1023" s="196" t="s">
        <v>74</v>
      </c>
      <c r="H1023" s="196" t="s">
        <v>479</v>
      </c>
      <c r="I1023" s="66"/>
      <c r="J1023" s="239"/>
      <c r="K1023" s="234"/>
      <c r="L1023" s="239"/>
      <c r="M1023" s="239"/>
      <c r="N1023" s="239"/>
      <c r="O1023" s="239"/>
      <c r="P1023" s="239"/>
      <c r="Q1023" s="239"/>
      <c r="R1023" s="239"/>
      <c r="S1023" s="239"/>
    </row>
    <row r="1024" spans="5:19" s="293" customFormat="1" x14ac:dyDescent="0.25">
      <c r="F1024" s="196" t="s">
        <v>939</v>
      </c>
      <c r="G1024" s="196" t="s">
        <v>74</v>
      </c>
      <c r="H1024" s="196" t="s">
        <v>479</v>
      </c>
      <c r="I1024" s="66"/>
      <c r="J1024" s="239"/>
      <c r="K1024" s="234"/>
      <c r="L1024" s="239"/>
      <c r="M1024" s="239"/>
      <c r="N1024" s="239"/>
      <c r="O1024" s="239"/>
      <c r="P1024" s="239"/>
      <c r="Q1024" s="239"/>
      <c r="R1024" s="239"/>
      <c r="S1024" s="239"/>
    </row>
    <row r="1025" spans="5:19" s="293" customFormat="1" x14ac:dyDescent="0.25">
      <c r="F1025" s="196" t="s">
        <v>940</v>
      </c>
      <c r="G1025" s="196" t="s">
        <v>74</v>
      </c>
      <c r="H1025" s="196" t="s">
        <v>479</v>
      </c>
      <c r="I1025" s="66"/>
      <c r="J1025" s="239"/>
      <c r="K1025" s="234"/>
      <c r="L1025" s="239"/>
      <c r="M1025" s="239"/>
      <c r="N1025" s="239"/>
      <c r="O1025" s="239"/>
      <c r="P1025" s="239"/>
      <c r="Q1025" s="239"/>
      <c r="R1025" s="239"/>
      <c r="S1025" s="239"/>
    </row>
    <row r="1026" spans="5:19" s="293" customFormat="1" x14ac:dyDescent="0.25">
      <c r="F1026" s="93" t="s">
        <v>941</v>
      </c>
      <c r="G1026" s="93" t="s">
        <v>74</v>
      </c>
      <c r="H1026" s="93" t="s">
        <v>479</v>
      </c>
      <c r="I1026" s="145"/>
      <c r="J1026" s="240"/>
      <c r="K1026" s="236"/>
      <c r="L1026" s="240"/>
      <c r="M1026" s="240"/>
      <c r="N1026" s="240"/>
      <c r="O1026" s="240"/>
      <c r="P1026" s="240"/>
      <c r="Q1026" s="240"/>
      <c r="R1026" s="240"/>
      <c r="S1026" s="240"/>
    </row>
    <row r="1027" spans="5:19" s="293" customFormat="1" x14ac:dyDescent="0.25">
      <c r="I1027" s="111"/>
      <c r="J1027" s="237"/>
      <c r="K1027" s="237"/>
      <c r="L1027" s="237"/>
      <c r="M1027" s="237"/>
      <c r="N1027" s="237"/>
      <c r="O1027" s="237"/>
      <c r="P1027" s="237"/>
      <c r="Q1027" s="237"/>
      <c r="R1027" s="237"/>
      <c r="S1027" s="237"/>
    </row>
    <row r="1028" spans="5:19" s="293" customFormat="1" x14ac:dyDescent="0.25">
      <c r="E1028" s="144" t="s">
        <v>202</v>
      </c>
      <c r="I1028" s="111"/>
      <c r="J1028" s="237"/>
      <c r="K1028" s="237"/>
      <c r="L1028" s="237"/>
      <c r="M1028" s="237"/>
      <c r="N1028" s="237"/>
      <c r="O1028" s="237"/>
      <c r="P1028" s="237"/>
      <c r="Q1028" s="237"/>
      <c r="R1028" s="237"/>
      <c r="S1028" s="237"/>
    </row>
    <row r="1029" spans="5:19" s="293" customFormat="1" x14ac:dyDescent="0.25">
      <c r="F1029" s="91" t="s">
        <v>926</v>
      </c>
      <c r="G1029" s="91" t="s">
        <v>169</v>
      </c>
      <c r="H1029" s="91" t="s">
        <v>479</v>
      </c>
      <c r="I1029" s="112"/>
      <c r="J1029" s="238"/>
      <c r="K1029" s="232"/>
      <c r="L1029" s="238"/>
      <c r="M1029" s="238"/>
      <c r="N1029" s="238"/>
      <c r="O1029" s="238"/>
      <c r="P1029" s="238"/>
      <c r="Q1029" s="238"/>
      <c r="R1029" s="238"/>
      <c r="S1029" s="238"/>
    </row>
    <row r="1030" spans="5:19" s="293" customFormat="1" x14ac:dyDescent="0.25">
      <c r="F1030" s="196" t="s">
        <v>927</v>
      </c>
      <c r="G1030" s="196" t="s">
        <v>169</v>
      </c>
      <c r="H1030" s="196" t="s">
        <v>479</v>
      </c>
      <c r="I1030" s="66"/>
      <c r="J1030" s="239"/>
      <c r="K1030" s="234"/>
      <c r="L1030" s="239"/>
      <c r="M1030" s="239"/>
      <c r="N1030" s="239"/>
      <c r="O1030" s="239"/>
      <c r="P1030" s="239"/>
      <c r="Q1030" s="239"/>
      <c r="R1030" s="239"/>
      <c r="S1030" s="239"/>
    </row>
    <row r="1031" spans="5:19" s="293" customFormat="1" x14ac:dyDescent="0.25">
      <c r="F1031" s="196" t="s">
        <v>928</v>
      </c>
      <c r="G1031" s="196" t="s">
        <v>169</v>
      </c>
      <c r="H1031" s="196" t="s">
        <v>479</v>
      </c>
      <c r="I1031" s="66"/>
      <c r="J1031" s="239"/>
      <c r="K1031" s="234"/>
      <c r="L1031" s="239"/>
      <c r="M1031" s="239"/>
      <c r="N1031" s="239"/>
      <c r="O1031" s="239"/>
      <c r="P1031" s="239"/>
      <c r="Q1031" s="239"/>
      <c r="R1031" s="239"/>
      <c r="S1031" s="239"/>
    </row>
    <row r="1032" spans="5:19" s="293" customFormat="1" x14ac:dyDescent="0.25">
      <c r="F1032" s="196" t="s">
        <v>929</v>
      </c>
      <c r="G1032" s="196" t="s">
        <v>169</v>
      </c>
      <c r="H1032" s="196" t="s">
        <v>479</v>
      </c>
      <c r="I1032" s="66"/>
      <c r="J1032" s="239"/>
      <c r="K1032" s="234"/>
      <c r="L1032" s="239"/>
      <c r="M1032" s="239"/>
      <c r="N1032" s="239"/>
      <c r="O1032" s="239"/>
      <c r="P1032" s="239"/>
      <c r="Q1032" s="239"/>
      <c r="R1032" s="239"/>
      <c r="S1032" s="239"/>
    </row>
    <row r="1033" spans="5:19" s="293" customFormat="1" x14ac:dyDescent="0.25">
      <c r="F1033" s="196" t="s">
        <v>930</v>
      </c>
      <c r="G1033" s="196" t="s">
        <v>169</v>
      </c>
      <c r="H1033" s="196" t="s">
        <v>479</v>
      </c>
      <c r="I1033" s="66"/>
      <c r="J1033" s="233">
        <f t="shared" ref="J1033" si="103">CHOOSE(year_selection, L1033,M1033,N1033,O1033,P1033,Q1033,R1033,S1033)</f>
        <v>3699.0667057139899</v>
      </c>
      <c r="K1033" s="234"/>
      <c r="L1033" s="330"/>
      <c r="M1033" s="330"/>
      <c r="N1033" s="330"/>
      <c r="O1033" s="330">
        <v>3699.0667057139899</v>
      </c>
      <c r="P1033" s="330">
        <v>4335.4652787400519</v>
      </c>
      <c r="Q1033" s="330">
        <v>4335.4652787400519</v>
      </c>
      <c r="R1033" s="330">
        <v>4653.6645652530842</v>
      </c>
      <c r="S1033" s="330">
        <v>4971.8638517661157</v>
      </c>
    </row>
    <row r="1034" spans="5:19" s="293" customFormat="1" x14ac:dyDescent="0.25">
      <c r="F1034" s="196" t="s">
        <v>931</v>
      </c>
      <c r="G1034" s="196" t="s">
        <v>169</v>
      </c>
      <c r="H1034" s="196" t="s">
        <v>479</v>
      </c>
      <c r="I1034" s="66"/>
      <c r="J1034" s="239"/>
      <c r="K1034" s="234"/>
      <c r="L1034" s="239"/>
      <c r="M1034" s="239"/>
      <c r="N1034" s="239"/>
      <c r="O1034" s="239"/>
      <c r="P1034" s="239"/>
      <c r="Q1034" s="239"/>
      <c r="R1034" s="239"/>
      <c r="S1034" s="239"/>
    </row>
    <row r="1035" spans="5:19" s="293" customFormat="1" x14ac:dyDescent="0.25">
      <c r="F1035" s="196" t="s">
        <v>932</v>
      </c>
      <c r="G1035" s="196" t="s">
        <v>169</v>
      </c>
      <c r="H1035" s="196" t="s">
        <v>479</v>
      </c>
      <c r="I1035" s="66"/>
      <c r="J1035" s="239"/>
      <c r="K1035" s="234"/>
      <c r="L1035" s="239"/>
      <c r="M1035" s="239"/>
      <c r="N1035" s="239"/>
      <c r="O1035" s="239"/>
      <c r="P1035" s="239"/>
      <c r="Q1035" s="239"/>
      <c r="R1035" s="239"/>
      <c r="S1035" s="239"/>
    </row>
    <row r="1036" spans="5:19" s="293" customFormat="1" x14ac:dyDescent="0.25">
      <c r="F1036" s="196" t="s">
        <v>933</v>
      </c>
      <c r="G1036" s="196" t="s">
        <v>169</v>
      </c>
      <c r="H1036" s="196" t="s">
        <v>479</v>
      </c>
      <c r="I1036" s="66"/>
      <c r="J1036" s="239"/>
      <c r="K1036" s="234"/>
      <c r="L1036" s="239"/>
      <c r="M1036" s="239"/>
      <c r="N1036" s="239"/>
      <c r="O1036" s="239"/>
      <c r="P1036" s="239"/>
      <c r="Q1036" s="239"/>
      <c r="R1036" s="239"/>
      <c r="S1036" s="239"/>
    </row>
    <row r="1037" spans="5:19" s="293" customFormat="1" x14ac:dyDescent="0.25">
      <c r="F1037" s="196" t="s">
        <v>934</v>
      </c>
      <c r="G1037" s="196" t="s">
        <v>169</v>
      </c>
      <c r="H1037" s="196" t="s">
        <v>479</v>
      </c>
      <c r="I1037" s="66"/>
      <c r="J1037" s="239"/>
      <c r="K1037" s="234"/>
      <c r="L1037" s="239"/>
      <c r="M1037" s="239"/>
      <c r="N1037" s="239"/>
      <c r="O1037" s="239"/>
      <c r="P1037" s="239"/>
      <c r="Q1037" s="239"/>
      <c r="R1037" s="239"/>
      <c r="S1037" s="239"/>
    </row>
    <row r="1038" spans="5:19" s="293" customFormat="1" x14ac:dyDescent="0.25">
      <c r="F1038" s="196" t="s">
        <v>935</v>
      </c>
      <c r="G1038" s="196" t="s">
        <v>169</v>
      </c>
      <c r="H1038" s="196" t="s">
        <v>479</v>
      </c>
      <c r="I1038" s="66"/>
      <c r="J1038" s="239"/>
      <c r="K1038" s="234"/>
      <c r="L1038" s="239"/>
      <c r="M1038" s="239"/>
      <c r="N1038" s="239"/>
      <c r="O1038" s="239"/>
      <c r="P1038" s="239"/>
      <c r="Q1038" s="239"/>
      <c r="R1038" s="239"/>
      <c r="S1038" s="239"/>
    </row>
    <row r="1039" spans="5:19" s="293" customFormat="1" x14ac:dyDescent="0.25">
      <c r="F1039" s="196" t="s">
        <v>936</v>
      </c>
      <c r="G1039" s="196" t="s">
        <v>169</v>
      </c>
      <c r="H1039" s="196" t="s">
        <v>479</v>
      </c>
      <c r="I1039" s="66"/>
      <c r="J1039" s="239"/>
      <c r="K1039" s="234"/>
      <c r="L1039" s="239"/>
      <c r="M1039" s="239"/>
      <c r="N1039" s="239"/>
      <c r="O1039" s="239"/>
      <c r="P1039" s="239"/>
      <c r="Q1039" s="239"/>
      <c r="R1039" s="239"/>
      <c r="S1039" s="239"/>
    </row>
    <row r="1040" spans="5:19" s="293" customFormat="1" x14ac:dyDescent="0.25">
      <c r="F1040" s="196" t="s">
        <v>937</v>
      </c>
      <c r="G1040" s="196" t="s">
        <v>169</v>
      </c>
      <c r="H1040" s="196" t="s">
        <v>479</v>
      </c>
      <c r="I1040" s="66"/>
      <c r="J1040" s="239"/>
      <c r="K1040" s="234"/>
      <c r="L1040" s="239"/>
      <c r="M1040" s="239"/>
      <c r="N1040" s="239"/>
      <c r="O1040" s="239"/>
      <c r="P1040" s="239"/>
      <c r="Q1040" s="239"/>
      <c r="R1040" s="239"/>
      <c r="S1040" s="239"/>
    </row>
    <row r="1041" spans="5:19" s="293" customFormat="1" x14ac:dyDescent="0.25">
      <c r="F1041" s="196" t="s">
        <v>938</v>
      </c>
      <c r="G1041" s="196" t="s">
        <v>169</v>
      </c>
      <c r="H1041" s="196" t="s">
        <v>479</v>
      </c>
      <c r="I1041" s="66"/>
      <c r="J1041" s="239"/>
      <c r="K1041" s="234"/>
      <c r="L1041" s="239"/>
      <c r="M1041" s="239"/>
      <c r="N1041" s="239"/>
      <c r="O1041" s="239"/>
      <c r="P1041" s="239"/>
      <c r="Q1041" s="239"/>
      <c r="R1041" s="239"/>
      <c r="S1041" s="239"/>
    </row>
    <row r="1042" spans="5:19" s="293" customFormat="1" x14ac:dyDescent="0.25">
      <c r="F1042" s="196" t="s">
        <v>939</v>
      </c>
      <c r="G1042" s="196" t="s">
        <v>169</v>
      </c>
      <c r="H1042" s="196" t="s">
        <v>479</v>
      </c>
      <c r="I1042" s="66"/>
      <c r="J1042" s="239"/>
      <c r="K1042" s="234"/>
      <c r="L1042" s="239"/>
      <c r="M1042" s="239"/>
      <c r="N1042" s="239"/>
      <c r="O1042" s="239"/>
      <c r="P1042" s="239"/>
      <c r="Q1042" s="239"/>
      <c r="R1042" s="239"/>
      <c r="S1042" s="239"/>
    </row>
    <row r="1043" spans="5:19" s="293" customFormat="1" x14ac:dyDescent="0.25">
      <c r="F1043" s="196" t="s">
        <v>940</v>
      </c>
      <c r="G1043" s="196" t="s">
        <v>169</v>
      </c>
      <c r="H1043" s="196" t="s">
        <v>479</v>
      </c>
      <c r="I1043" s="66"/>
      <c r="J1043" s="239"/>
      <c r="K1043" s="234"/>
      <c r="L1043" s="239"/>
      <c r="M1043" s="239"/>
      <c r="N1043" s="239"/>
      <c r="O1043" s="239"/>
      <c r="P1043" s="239"/>
      <c r="Q1043" s="239"/>
      <c r="R1043" s="239"/>
      <c r="S1043" s="239"/>
    </row>
    <row r="1044" spans="5:19" s="293" customFormat="1" x14ac:dyDescent="0.25">
      <c r="F1044" s="93" t="s">
        <v>941</v>
      </c>
      <c r="G1044" s="93" t="s">
        <v>169</v>
      </c>
      <c r="H1044" s="93" t="s">
        <v>479</v>
      </c>
      <c r="I1044" s="145"/>
      <c r="J1044" s="240"/>
      <c r="K1044" s="236"/>
      <c r="L1044" s="240"/>
      <c r="M1044" s="240"/>
      <c r="N1044" s="240"/>
      <c r="O1044" s="240"/>
      <c r="P1044" s="240"/>
      <c r="Q1044" s="240"/>
      <c r="R1044" s="240"/>
      <c r="S1044" s="240"/>
    </row>
    <row r="1045" spans="5:19" s="293" customFormat="1" x14ac:dyDescent="0.25">
      <c r="I1045" s="111"/>
      <c r="J1045" s="237"/>
      <c r="K1045" s="237"/>
      <c r="L1045" s="237"/>
      <c r="M1045" s="237"/>
      <c r="N1045" s="237"/>
      <c r="O1045" s="237"/>
      <c r="P1045" s="237"/>
      <c r="Q1045" s="237"/>
      <c r="R1045" s="237"/>
      <c r="S1045" s="237"/>
    </row>
    <row r="1046" spans="5:19" s="293" customFormat="1" x14ac:dyDescent="0.25">
      <c r="E1046" s="144" t="s">
        <v>203</v>
      </c>
      <c r="I1046" s="111"/>
      <c r="J1046" s="237"/>
      <c r="K1046" s="237"/>
      <c r="L1046" s="237"/>
      <c r="M1046" s="237"/>
      <c r="N1046" s="237"/>
      <c r="O1046" s="237"/>
      <c r="P1046" s="237"/>
      <c r="Q1046" s="237"/>
      <c r="R1046" s="237"/>
      <c r="S1046" s="237"/>
    </row>
    <row r="1047" spans="5:19" s="293" customFormat="1" x14ac:dyDescent="0.25">
      <c r="F1047" s="91" t="s">
        <v>926</v>
      </c>
      <c r="G1047" s="91" t="s">
        <v>169</v>
      </c>
      <c r="H1047" s="91" t="s">
        <v>479</v>
      </c>
      <c r="I1047" s="112"/>
      <c r="J1047" s="238"/>
      <c r="K1047" s="232"/>
      <c r="L1047" s="238"/>
      <c r="M1047" s="238"/>
      <c r="N1047" s="238"/>
      <c r="O1047" s="238"/>
      <c r="P1047" s="238"/>
      <c r="Q1047" s="238"/>
      <c r="R1047" s="238"/>
      <c r="S1047" s="238"/>
    </row>
    <row r="1048" spans="5:19" s="293" customFormat="1" x14ac:dyDescent="0.25">
      <c r="F1048" s="196" t="s">
        <v>927</v>
      </c>
      <c r="G1048" s="196" t="s">
        <v>169</v>
      </c>
      <c r="H1048" s="196" t="s">
        <v>479</v>
      </c>
      <c r="I1048" s="66"/>
      <c r="J1048" s="239"/>
      <c r="K1048" s="234"/>
      <c r="L1048" s="239"/>
      <c r="M1048" s="239"/>
      <c r="N1048" s="239"/>
      <c r="O1048" s="239"/>
      <c r="P1048" s="239"/>
      <c r="Q1048" s="239"/>
      <c r="R1048" s="239"/>
      <c r="S1048" s="239"/>
    </row>
    <row r="1049" spans="5:19" s="293" customFormat="1" x14ac:dyDescent="0.25">
      <c r="F1049" s="196" t="s">
        <v>928</v>
      </c>
      <c r="G1049" s="196" t="s">
        <v>169</v>
      </c>
      <c r="H1049" s="196" t="s">
        <v>479</v>
      </c>
      <c r="I1049" s="66"/>
      <c r="J1049" s="239"/>
      <c r="K1049" s="234"/>
      <c r="L1049" s="239"/>
      <c r="M1049" s="239"/>
      <c r="N1049" s="239"/>
      <c r="O1049" s="239"/>
      <c r="P1049" s="239"/>
      <c r="Q1049" s="239"/>
      <c r="R1049" s="239"/>
      <c r="S1049" s="239"/>
    </row>
    <row r="1050" spans="5:19" s="293" customFormat="1" x14ac:dyDescent="0.25">
      <c r="F1050" s="196" t="s">
        <v>929</v>
      </c>
      <c r="G1050" s="196" t="s">
        <v>169</v>
      </c>
      <c r="H1050" s="196" t="s">
        <v>479</v>
      </c>
      <c r="I1050" s="66"/>
      <c r="J1050" s="239"/>
      <c r="K1050" s="234"/>
      <c r="L1050" s="239"/>
      <c r="M1050" s="239"/>
      <c r="N1050" s="239"/>
      <c r="O1050" s="239"/>
      <c r="P1050" s="239"/>
      <c r="Q1050" s="239"/>
      <c r="R1050" s="239"/>
      <c r="S1050" s="239"/>
    </row>
    <row r="1051" spans="5:19" s="293" customFormat="1" x14ac:dyDescent="0.25">
      <c r="F1051" s="196" t="s">
        <v>930</v>
      </c>
      <c r="G1051" s="196" t="s">
        <v>169</v>
      </c>
      <c r="H1051" s="196" t="s">
        <v>479</v>
      </c>
      <c r="I1051" s="66"/>
      <c r="J1051" s="233">
        <f t="shared" ref="J1051" si="104">CHOOSE(year_selection, L1051,M1051,N1051,O1051,P1051,Q1051,R1051,S1051)</f>
        <v>3.3433357788448905</v>
      </c>
      <c r="K1051" s="234"/>
      <c r="L1051" s="330"/>
      <c r="M1051" s="330"/>
      <c r="N1051" s="330"/>
      <c r="O1051" s="330">
        <v>3.3433357788448905</v>
      </c>
      <c r="P1051" s="330">
        <v>3.9185333321945479</v>
      </c>
      <c r="Q1051" s="330">
        <v>3.9185333321945479</v>
      </c>
      <c r="R1051" s="330">
        <v>4.2061321088693759</v>
      </c>
      <c r="S1051" s="330">
        <v>4.4937308855442053</v>
      </c>
    </row>
    <row r="1052" spans="5:19" s="293" customFormat="1" x14ac:dyDescent="0.25">
      <c r="F1052" s="196" t="s">
        <v>931</v>
      </c>
      <c r="G1052" s="196" t="s">
        <v>169</v>
      </c>
      <c r="H1052" s="196" t="s">
        <v>479</v>
      </c>
      <c r="I1052" s="66"/>
      <c r="J1052" s="239"/>
      <c r="K1052" s="234"/>
      <c r="L1052" s="239"/>
      <c r="M1052" s="239"/>
      <c r="N1052" s="239"/>
      <c r="O1052" s="239"/>
      <c r="P1052" s="239"/>
      <c r="Q1052" s="239"/>
      <c r="R1052" s="239"/>
      <c r="S1052" s="239"/>
    </row>
    <row r="1053" spans="5:19" s="293" customFormat="1" x14ac:dyDescent="0.25">
      <c r="F1053" s="196" t="s">
        <v>932</v>
      </c>
      <c r="G1053" s="196" t="s">
        <v>169</v>
      </c>
      <c r="H1053" s="196" t="s">
        <v>479</v>
      </c>
      <c r="I1053" s="66"/>
      <c r="J1053" s="239"/>
      <c r="K1053" s="234"/>
      <c r="L1053" s="239"/>
      <c r="M1053" s="239"/>
      <c r="N1053" s="239"/>
      <c r="O1053" s="239"/>
      <c r="P1053" s="239"/>
      <c r="Q1053" s="239"/>
      <c r="R1053" s="239"/>
      <c r="S1053" s="239"/>
    </row>
    <row r="1054" spans="5:19" s="293" customFormat="1" x14ac:dyDescent="0.25">
      <c r="F1054" s="196" t="s">
        <v>933</v>
      </c>
      <c r="G1054" s="196" t="s">
        <v>169</v>
      </c>
      <c r="H1054" s="196" t="s">
        <v>479</v>
      </c>
      <c r="I1054" s="66"/>
      <c r="J1054" s="239"/>
      <c r="K1054" s="234"/>
      <c r="L1054" s="239"/>
      <c r="M1054" s="239"/>
      <c r="N1054" s="239"/>
      <c r="O1054" s="239"/>
      <c r="P1054" s="239"/>
      <c r="Q1054" s="239"/>
      <c r="R1054" s="239"/>
      <c r="S1054" s="239"/>
    </row>
    <row r="1055" spans="5:19" s="293" customFormat="1" x14ac:dyDescent="0.25">
      <c r="F1055" s="196" t="s">
        <v>934</v>
      </c>
      <c r="G1055" s="196" t="s">
        <v>169</v>
      </c>
      <c r="H1055" s="196" t="s">
        <v>479</v>
      </c>
      <c r="I1055" s="66"/>
      <c r="J1055" s="239"/>
      <c r="K1055" s="234"/>
      <c r="L1055" s="239"/>
      <c r="M1055" s="239"/>
      <c r="N1055" s="239"/>
      <c r="O1055" s="239"/>
      <c r="P1055" s="239"/>
      <c r="Q1055" s="239"/>
      <c r="R1055" s="239"/>
      <c r="S1055" s="239"/>
    </row>
    <row r="1056" spans="5:19" s="293" customFormat="1" x14ac:dyDescent="0.25">
      <c r="F1056" s="196" t="s">
        <v>935</v>
      </c>
      <c r="G1056" s="196" t="s">
        <v>169</v>
      </c>
      <c r="H1056" s="196" t="s">
        <v>479</v>
      </c>
      <c r="I1056" s="66"/>
      <c r="J1056" s="239"/>
      <c r="K1056" s="234"/>
      <c r="L1056" s="239"/>
      <c r="M1056" s="239"/>
      <c r="N1056" s="239"/>
      <c r="O1056" s="239"/>
      <c r="P1056" s="239"/>
      <c r="Q1056" s="239"/>
      <c r="R1056" s="239"/>
      <c r="S1056" s="239"/>
    </row>
    <row r="1057" spans="5:19" s="293" customFormat="1" x14ac:dyDescent="0.25">
      <c r="F1057" s="196" t="s">
        <v>936</v>
      </c>
      <c r="G1057" s="196" t="s">
        <v>169</v>
      </c>
      <c r="H1057" s="196" t="s">
        <v>479</v>
      </c>
      <c r="I1057" s="66"/>
      <c r="J1057" s="239"/>
      <c r="K1057" s="234"/>
      <c r="L1057" s="239"/>
      <c r="M1057" s="239"/>
      <c r="N1057" s="239"/>
      <c r="O1057" s="239"/>
      <c r="P1057" s="239"/>
      <c r="Q1057" s="239"/>
      <c r="R1057" s="239"/>
      <c r="S1057" s="239"/>
    </row>
    <row r="1058" spans="5:19" s="293" customFormat="1" x14ac:dyDescent="0.25">
      <c r="F1058" s="196" t="s">
        <v>937</v>
      </c>
      <c r="G1058" s="196" t="s">
        <v>169</v>
      </c>
      <c r="H1058" s="196" t="s">
        <v>479</v>
      </c>
      <c r="I1058" s="66"/>
      <c r="J1058" s="239"/>
      <c r="K1058" s="234"/>
      <c r="L1058" s="239"/>
      <c r="M1058" s="239"/>
      <c r="N1058" s="239"/>
      <c r="O1058" s="239"/>
      <c r="P1058" s="239"/>
      <c r="Q1058" s="239"/>
      <c r="R1058" s="239"/>
      <c r="S1058" s="239"/>
    </row>
    <row r="1059" spans="5:19" s="293" customFormat="1" x14ac:dyDescent="0.25">
      <c r="F1059" s="196" t="s">
        <v>938</v>
      </c>
      <c r="G1059" s="196" t="s">
        <v>169</v>
      </c>
      <c r="H1059" s="196" t="s">
        <v>479</v>
      </c>
      <c r="I1059" s="66"/>
      <c r="J1059" s="239"/>
      <c r="K1059" s="234"/>
      <c r="L1059" s="239"/>
      <c r="M1059" s="239"/>
      <c r="N1059" s="239"/>
      <c r="O1059" s="239"/>
      <c r="P1059" s="239"/>
      <c r="Q1059" s="239"/>
      <c r="R1059" s="239"/>
      <c r="S1059" s="239"/>
    </row>
    <row r="1060" spans="5:19" s="293" customFormat="1" x14ac:dyDescent="0.25">
      <c r="F1060" s="196" t="s">
        <v>939</v>
      </c>
      <c r="G1060" s="196" t="s">
        <v>169</v>
      </c>
      <c r="H1060" s="196" t="s">
        <v>479</v>
      </c>
      <c r="I1060" s="66"/>
      <c r="J1060" s="239"/>
      <c r="K1060" s="234"/>
      <c r="L1060" s="239"/>
      <c r="M1060" s="239"/>
      <c r="N1060" s="239"/>
      <c r="O1060" s="239"/>
      <c r="P1060" s="239"/>
      <c r="Q1060" s="239"/>
      <c r="R1060" s="239"/>
      <c r="S1060" s="239"/>
    </row>
    <row r="1061" spans="5:19" s="293" customFormat="1" x14ac:dyDescent="0.25">
      <c r="F1061" s="196" t="s">
        <v>940</v>
      </c>
      <c r="G1061" s="196" t="s">
        <v>169</v>
      </c>
      <c r="H1061" s="196" t="s">
        <v>479</v>
      </c>
      <c r="I1061" s="66"/>
      <c r="J1061" s="239"/>
      <c r="K1061" s="234"/>
      <c r="L1061" s="239"/>
      <c r="M1061" s="239"/>
      <c r="N1061" s="239"/>
      <c r="O1061" s="239"/>
      <c r="P1061" s="239"/>
      <c r="Q1061" s="239"/>
      <c r="R1061" s="239"/>
      <c r="S1061" s="239"/>
    </row>
    <row r="1062" spans="5:19" s="293" customFormat="1" x14ac:dyDescent="0.25">
      <c r="F1062" s="93" t="s">
        <v>941</v>
      </c>
      <c r="G1062" s="93" t="s">
        <v>169</v>
      </c>
      <c r="H1062" s="93" t="s">
        <v>479</v>
      </c>
      <c r="I1062" s="145"/>
      <c r="J1062" s="240"/>
      <c r="K1062" s="236"/>
      <c r="L1062" s="240"/>
      <c r="M1062" s="240"/>
      <c r="N1062" s="240"/>
      <c r="O1062" s="240"/>
      <c r="P1062" s="240"/>
      <c r="Q1062" s="240"/>
      <c r="R1062" s="240"/>
      <c r="S1062" s="240"/>
    </row>
    <row r="1063" spans="5:19" s="293" customFormat="1" x14ac:dyDescent="0.25">
      <c r="I1063" s="111"/>
      <c r="J1063" s="237"/>
      <c r="K1063" s="237"/>
      <c r="L1063" s="237"/>
      <c r="M1063" s="237"/>
      <c r="N1063" s="237"/>
      <c r="O1063" s="237"/>
      <c r="P1063" s="237"/>
      <c r="Q1063" s="237"/>
      <c r="R1063" s="237"/>
      <c r="S1063" s="237"/>
    </row>
    <row r="1064" spans="5:19" s="293" customFormat="1" x14ac:dyDescent="0.25">
      <c r="E1064" s="144" t="s">
        <v>204</v>
      </c>
      <c r="I1064" s="111"/>
      <c r="J1064" s="237"/>
      <c r="K1064" s="237"/>
      <c r="L1064" s="237"/>
      <c r="M1064" s="237"/>
      <c r="N1064" s="237"/>
      <c r="O1064" s="237"/>
      <c r="P1064" s="237"/>
      <c r="Q1064" s="237"/>
      <c r="R1064" s="237"/>
      <c r="S1064" s="237"/>
    </row>
    <row r="1065" spans="5:19" s="293" customFormat="1" x14ac:dyDescent="0.25">
      <c r="F1065" s="91" t="s">
        <v>926</v>
      </c>
      <c r="G1065" s="91" t="s">
        <v>170</v>
      </c>
      <c r="H1065" s="91" t="s">
        <v>479</v>
      </c>
      <c r="I1065" s="112"/>
      <c r="J1065" s="238"/>
      <c r="K1065" s="232"/>
      <c r="L1065" s="238"/>
      <c r="M1065" s="238"/>
      <c r="N1065" s="238"/>
      <c r="O1065" s="238"/>
      <c r="P1065" s="238"/>
      <c r="Q1065" s="238"/>
      <c r="R1065" s="238"/>
      <c r="S1065" s="238"/>
    </row>
    <row r="1066" spans="5:19" s="293" customFormat="1" x14ac:dyDescent="0.25">
      <c r="F1066" s="196" t="s">
        <v>927</v>
      </c>
      <c r="G1066" s="196" t="s">
        <v>170</v>
      </c>
      <c r="H1066" s="196" t="s">
        <v>479</v>
      </c>
      <c r="I1066" s="66"/>
      <c r="J1066" s="239"/>
      <c r="K1066" s="234"/>
      <c r="L1066" s="239"/>
      <c r="M1066" s="239"/>
      <c r="N1066" s="239"/>
      <c r="O1066" s="239"/>
      <c r="P1066" s="239"/>
      <c r="Q1066" s="239"/>
      <c r="R1066" s="239"/>
      <c r="S1066" s="239"/>
    </row>
    <row r="1067" spans="5:19" s="293" customFormat="1" x14ac:dyDescent="0.25">
      <c r="F1067" s="196" t="s">
        <v>928</v>
      </c>
      <c r="G1067" s="196" t="s">
        <v>170</v>
      </c>
      <c r="H1067" s="196" t="s">
        <v>479</v>
      </c>
      <c r="I1067" s="66"/>
      <c r="J1067" s="239"/>
      <c r="K1067" s="234"/>
      <c r="L1067" s="239"/>
      <c r="M1067" s="239"/>
      <c r="N1067" s="239"/>
      <c r="O1067" s="239"/>
      <c r="P1067" s="239"/>
      <c r="Q1067" s="239"/>
      <c r="R1067" s="239"/>
      <c r="S1067" s="239"/>
    </row>
    <row r="1068" spans="5:19" s="293" customFormat="1" x14ac:dyDescent="0.25">
      <c r="F1068" s="196" t="s">
        <v>929</v>
      </c>
      <c r="G1068" s="196" t="s">
        <v>170</v>
      </c>
      <c r="H1068" s="196" t="s">
        <v>479</v>
      </c>
      <c r="I1068" s="66"/>
      <c r="J1068" s="239"/>
      <c r="K1068" s="234"/>
      <c r="L1068" s="239"/>
      <c r="M1068" s="239"/>
      <c r="N1068" s="239"/>
      <c r="O1068" s="239"/>
      <c r="P1068" s="239"/>
      <c r="Q1068" s="239"/>
      <c r="R1068" s="239"/>
      <c r="S1068" s="239"/>
    </row>
    <row r="1069" spans="5:19" s="293" customFormat="1" x14ac:dyDescent="0.25">
      <c r="F1069" s="196" t="s">
        <v>930</v>
      </c>
      <c r="G1069" s="196" t="s">
        <v>170</v>
      </c>
      <c r="H1069" s="196" t="s">
        <v>479</v>
      </c>
      <c r="I1069" s="66"/>
      <c r="J1069" s="233">
        <f t="shared" ref="J1069" si="105">CHOOSE(year_selection, L1069,M1069,N1069,O1069,P1069,Q1069,R1069,S1069)</f>
        <v>354.64817524234184</v>
      </c>
      <c r="K1069" s="234"/>
      <c r="L1069" s="330"/>
      <c r="M1069" s="330"/>
      <c r="N1069" s="330"/>
      <c r="O1069" s="330">
        <v>354.64817524234184</v>
      </c>
      <c r="P1069" s="330">
        <v>385.08718503419067</v>
      </c>
      <c r="Q1069" s="330">
        <v>385.08718503419067</v>
      </c>
      <c r="R1069" s="330">
        <v>415.52619482603956</v>
      </c>
      <c r="S1069" s="330">
        <v>445.96520461788845</v>
      </c>
    </row>
    <row r="1070" spans="5:19" s="293" customFormat="1" x14ac:dyDescent="0.25">
      <c r="F1070" s="196" t="s">
        <v>931</v>
      </c>
      <c r="G1070" s="196" t="s">
        <v>170</v>
      </c>
      <c r="H1070" s="196" t="s">
        <v>479</v>
      </c>
      <c r="I1070" s="66"/>
      <c r="J1070" s="239"/>
      <c r="K1070" s="234"/>
      <c r="L1070" s="239"/>
      <c r="M1070" s="239"/>
      <c r="N1070" s="239"/>
      <c r="O1070" s="239"/>
      <c r="P1070" s="239"/>
      <c r="Q1070" s="239"/>
      <c r="R1070" s="239"/>
      <c r="S1070" s="239"/>
    </row>
    <row r="1071" spans="5:19" s="293" customFormat="1" x14ac:dyDescent="0.25">
      <c r="F1071" s="196" t="s">
        <v>932</v>
      </c>
      <c r="G1071" s="196" t="s">
        <v>170</v>
      </c>
      <c r="H1071" s="196" t="s">
        <v>479</v>
      </c>
      <c r="I1071" s="66"/>
      <c r="J1071" s="239"/>
      <c r="K1071" s="234"/>
      <c r="L1071" s="239"/>
      <c r="M1071" s="239"/>
      <c r="N1071" s="239"/>
      <c r="O1071" s="239"/>
      <c r="P1071" s="239"/>
      <c r="Q1071" s="239"/>
      <c r="R1071" s="239"/>
      <c r="S1071" s="239"/>
    </row>
    <row r="1072" spans="5:19" s="293" customFormat="1" x14ac:dyDescent="0.25">
      <c r="F1072" s="196" t="s">
        <v>933</v>
      </c>
      <c r="G1072" s="196" t="s">
        <v>170</v>
      </c>
      <c r="H1072" s="196" t="s">
        <v>479</v>
      </c>
      <c r="I1072" s="66"/>
      <c r="J1072" s="239"/>
      <c r="K1072" s="234"/>
      <c r="L1072" s="239"/>
      <c r="M1072" s="239"/>
      <c r="N1072" s="239"/>
      <c r="O1072" s="239"/>
      <c r="P1072" s="239"/>
      <c r="Q1072" s="239"/>
      <c r="R1072" s="239"/>
      <c r="S1072" s="239"/>
    </row>
    <row r="1073" spans="3:21" s="293" customFormat="1" x14ac:dyDescent="0.25">
      <c r="F1073" s="196" t="s">
        <v>934</v>
      </c>
      <c r="G1073" s="196" t="s">
        <v>170</v>
      </c>
      <c r="H1073" s="196" t="s">
        <v>479</v>
      </c>
      <c r="I1073" s="66"/>
      <c r="J1073" s="239"/>
      <c r="K1073" s="234"/>
      <c r="L1073" s="239"/>
      <c r="M1073" s="239"/>
      <c r="N1073" s="239"/>
      <c r="O1073" s="239"/>
      <c r="P1073" s="239"/>
      <c r="Q1073" s="239"/>
      <c r="R1073" s="239"/>
      <c r="S1073" s="239"/>
    </row>
    <row r="1074" spans="3:21" s="293" customFormat="1" x14ac:dyDescent="0.25">
      <c r="F1074" s="196" t="s">
        <v>935</v>
      </c>
      <c r="G1074" s="196" t="s">
        <v>170</v>
      </c>
      <c r="H1074" s="196" t="s">
        <v>479</v>
      </c>
      <c r="I1074" s="66"/>
      <c r="J1074" s="239"/>
      <c r="K1074" s="234"/>
      <c r="L1074" s="239"/>
      <c r="M1074" s="239"/>
      <c r="N1074" s="239"/>
      <c r="O1074" s="239"/>
      <c r="P1074" s="239"/>
      <c r="Q1074" s="239"/>
      <c r="R1074" s="239"/>
      <c r="S1074" s="239"/>
    </row>
    <row r="1075" spans="3:21" s="293" customFormat="1" x14ac:dyDescent="0.25">
      <c r="F1075" s="196" t="s">
        <v>936</v>
      </c>
      <c r="G1075" s="196" t="s">
        <v>170</v>
      </c>
      <c r="H1075" s="196" t="s">
        <v>479</v>
      </c>
      <c r="I1075" s="66"/>
      <c r="J1075" s="239"/>
      <c r="K1075" s="234"/>
      <c r="L1075" s="239"/>
      <c r="M1075" s="239"/>
      <c r="N1075" s="239"/>
      <c r="O1075" s="239"/>
      <c r="P1075" s="239"/>
      <c r="Q1075" s="239"/>
      <c r="R1075" s="239"/>
      <c r="S1075" s="239"/>
    </row>
    <row r="1076" spans="3:21" s="293" customFormat="1" x14ac:dyDescent="0.25">
      <c r="F1076" s="196" t="s">
        <v>937</v>
      </c>
      <c r="G1076" s="196" t="s">
        <v>170</v>
      </c>
      <c r="H1076" s="196" t="s">
        <v>479</v>
      </c>
      <c r="I1076" s="66"/>
      <c r="J1076" s="239"/>
      <c r="K1076" s="234"/>
      <c r="L1076" s="239"/>
      <c r="M1076" s="239"/>
      <c r="N1076" s="239"/>
      <c r="O1076" s="239"/>
      <c r="P1076" s="239"/>
      <c r="Q1076" s="239"/>
      <c r="R1076" s="239"/>
      <c r="S1076" s="239"/>
    </row>
    <row r="1077" spans="3:21" s="293" customFormat="1" x14ac:dyDescent="0.25">
      <c r="F1077" s="196" t="s">
        <v>938</v>
      </c>
      <c r="G1077" s="196" t="s">
        <v>170</v>
      </c>
      <c r="H1077" s="196" t="s">
        <v>479</v>
      </c>
      <c r="I1077" s="66"/>
      <c r="J1077" s="239"/>
      <c r="K1077" s="234"/>
      <c r="L1077" s="239"/>
      <c r="M1077" s="239"/>
      <c r="N1077" s="239"/>
      <c r="O1077" s="239"/>
      <c r="P1077" s="239"/>
      <c r="Q1077" s="239"/>
      <c r="R1077" s="239"/>
      <c r="S1077" s="239"/>
    </row>
    <row r="1078" spans="3:21" s="293" customFormat="1" x14ac:dyDescent="0.25">
      <c r="F1078" s="196" t="s">
        <v>939</v>
      </c>
      <c r="G1078" s="196" t="s">
        <v>170</v>
      </c>
      <c r="H1078" s="196" t="s">
        <v>479</v>
      </c>
      <c r="I1078" s="66"/>
      <c r="J1078" s="239"/>
      <c r="K1078" s="234"/>
      <c r="L1078" s="239"/>
      <c r="M1078" s="239"/>
      <c r="N1078" s="239"/>
      <c r="O1078" s="239"/>
      <c r="P1078" s="239"/>
      <c r="Q1078" s="239"/>
      <c r="R1078" s="239"/>
      <c r="S1078" s="239"/>
    </row>
    <row r="1079" spans="3:21" s="293" customFormat="1" x14ac:dyDescent="0.25">
      <c r="F1079" s="196" t="s">
        <v>940</v>
      </c>
      <c r="G1079" s="196" t="s">
        <v>170</v>
      </c>
      <c r="H1079" s="196" t="s">
        <v>479</v>
      </c>
      <c r="I1079" s="66"/>
      <c r="J1079" s="239"/>
      <c r="K1079" s="234"/>
      <c r="L1079" s="239"/>
      <c r="M1079" s="239"/>
      <c r="N1079" s="239"/>
      <c r="O1079" s="239"/>
      <c r="P1079" s="239"/>
      <c r="Q1079" s="239"/>
      <c r="R1079" s="239"/>
      <c r="S1079" s="239"/>
    </row>
    <row r="1080" spans="3:21" s="293" customFormat="1" x14ac:dyDescent="0.25">
      <c r="F1080" s="93" t="s">
        <v>941</v>
      </c>
      <c r="G1080" s="93" t="s">
        <v>170</v>
      </c>
      <c r="H1080" s="93" t="s">
        <v>479</v>
      </c>
      <c r="I1080" s="145"/>
      <c r="J1080" s="240"/>
      <c r="K1080" s="236"/>
      <c r="L1080" s="240"/>
      <c r="M1080" s="240"/>
      <c r="N1080" s="240"/>
      <c r="O1080" s="240"/>
      <c r="P1080" s="240"/>
      <c r="Q1080" s="240"/>
      <c r="R1080" s="240"/>
      <c r="S1080" s="240"/>
    </row>
    <row r="1081" spans="3:21" s="293" customFormat="1" x14ac:dyDescent="0.25">
      <c r="I1081" s="111"/>
      <c r="J1081" s="237"/>
      <c r="K1081" s="237"/>
      <c r="L1081" s="237"/>
      <c r="M1081" s="237"/>
      <c r="N1081" s="237"/>
      <c r="O1081" s="237"/>
      <c r="P1081" s="237"/>
      <c r="Q1081" s="237"/>
      <c r="R1081" s="237"/>
      <c r="S1081" s="237"/>
    </row>
    <row r="1082" spans="3:21" s="293" customFormat="1" x14ac:dyDescent="0.25">
      <c r="C1082" s="7" t="str">
        <f ca="1">INDEX('Version control'!$H$35:$H$61,MATCH($A$1,'Version control'!$F$35:$F$61,0),1)&amp;"-K: LDNO LV volumes - Residual band 3"</f>
        <v>Input 501-K: LDNO LV volumes - Residual band 3</v>
      </c>
      <c r="D1082" s="7"/>
      <c r="E1082" s="7"/>
      <c r="F1082" s="7"/>
      <c r="G1082" s="7"/>
      <c r="H1082" s="7"/>
      <c r="I1082" s="171"/>
      <c r="J1082" s="7"/>
      <c r="K1082" s="7"/>
      <c r="L1082" s="7"/>
      <c r="M1082" s="7"/>
      <c r="N1082" s="7"/>
      <c r="O1082" s="7"/>
      <c r="P1082" s="7"/>
      <c r="Q1082" s="7"/>
      <c r="R1082" s="7"/>
      <c r="S1082" s="7"/>
      <c r="T1082" s="7"/>
      <c r="U1082" s="7"/>
    </row>
    <row r="1083" spans="3:21" s="293" customFormat="1" x14ac:dyDescent="0.25">
      <c r="D1083" s="96"/>
      <c r="I1083" s="111"/>
    </row>
    <row r="1084" spans="3:21" s="293" customFormat="1" x14ac:dyDescent="0.25">
      <c r="E1084" s="144" t="s">
        <v>199</v>
      </c>
      <c r="I1084" s="111" t="s">
        <v>359</v>
      </c>
      <c r="U1084" s="293" t="s">
        <v>692</v>
      </c>
    </row>
    <row r="1085" spans="3:21" s="293" customFormat="1" x14ac:dyDescent="0.25">
      <c r="F1085" s="91" t="s">
        <v>926</v>
      </c>
      <c r="G1085" s="91" t="s">
        <v>120</v>
      </c>
      <c r="H1085" s="91" t="s">
        <v>479</v>
      </c>
      <c r="I1085" s="112"/>
      <c r="J1085" s="238"/>
      <c r="K1085" s="232"/>
      <c r="L1085" s="238"/>
      <c r="M1085" s="238"/>
      <c r="N1085" s="238"/>
      <c r="O1085" s="238"/>
      <c r="P1085" s="238"/>
      <c r="Q1085" s="238"/>
      <c r="R1085" s="238"/>
      <c r="S1085" s="238"/>
    </row>
    <row r="1086" spans="3:21" s="293" customFormat="1" x14ac:dyDescent="0.25">
      <c r="F1086" s="196" t="s">
        <v>927</v>
      </c>
      <c r="G1086" s="196" t="s">
        <v>120</v>
      </c>
      <c r="H1086" s="196" t="s">
        <v>479</v>
      </c>
      <c r="I1086" s="66"/>
      <c r="J1086" s="239"/>
      <c r="K1086" s="234"/>
      <c r="L1086" s="239"/>
      <c r="M1086" s="239"/>
      <c r="N1086" s="239"/>
      <c r="O1086" s="239"/>
      <c r="P1086" s="239"/>
      <c r="Q1086" s="239"/>
      <c r="R1086" s="239"/>
      <c r="S1086" s="239"/>
    </row>
    <row r="1087" spans="3:21" s="293" customFormat="1" x14ac:dyDescent="0.25">
      <c r="F1087" s="196" t="s">
        <v>928</v>
      </c>
      <c r="G1087" s="196" t="s">
        <v>120</v>
      </c>
      <c r="H1087" s="196" t="s">
        <v>479</v>
      </c>
      <c r="I1087" s="66"/>
      <c r="J1087" s="233">
        <f t="shared" ref="J1087" si="106">CHOOSE(year_selection, L1087,M1087,N1087,O1087,P1087,Q1087,R1087,S1087)</f>
        <v>112.16171165127392</v>
      </c>
      <c r="K1087" s="234"/>
      <c r="L1087" s="330"/>
      <c r="M1087" s="330"/>
      <c r="N1087" s="330"/>
      <c r="O1087" s="330">
        <v>112.16171165127392</v>
      </c>
      <c r="P1087" s="330">
        <v>120.17684255090349</v>
      </c>
      <c r="Q1087" s="330">
        <v>125.08453700015373</v>
      </c>
      <c r="R1087" s="330">
        <v>128.83652447838313</v>
      </c>
      <c r="S1087" s="330">
        <v>132.58851195661251</v>
      </c>
    </row>
    <row r="1088" spans="3:21" s="293" customFormat="1" x14ac:dyDescent="0.25">
      <c r="F1088" s="196" t="s">
        <v>929</v>
      </c>
      <c r="G1088" s="196" t="s">
        <v>120</v>
      </c>
      <c r="H1088" s="196" t="s">
        <v>479</v>
      </c>
      <c r="I1088" s="66"/>
      <c r="J1088" s="239"/>
      <c r="K1088" s="234"/>
      <c r="L1088" s="239"/>
      <c r="M1088" s="239"/>
      <c r="N1088" s="239"/>
      <c r="O1088" s="239"/>
      <c r="P1088" s="239"/>
      <c r="Q1088" s="239"/>
      <c r="R1088" s="239"/>
      <c r="S1088" s="239"/>
    </row>
    <row r="1089" spans="5:19" s="293" customFormat="1" x14ac:dyDescent="0.25">
      <c r="F1089" s="196" t="s">
        <v>930</v>
      </c>
      <c r="G1089" s="196" t="s">
        <v>120</v>
      </c>
      <c r="H1089" s="196" t="s">
        <v>479</v>
      </c>
      <c r="I1089" s="66"/>
      <c r="J1089" s="233">
        <f t="shared" ref="J1089" si="107">CHOOSE(year_selection, L1089,M1089,N1089,O1089,P1089,Q1089,R1089,S1089)</f>
        <v>242.69980929989586</v>
      </c>
      <c r="K1089" s="234"/>
      <c r="L1089" s="330"/>
      <c r="M1089" s="330"/>
      <c r="N1089" s="330"/>
      <c r="O1089" s="330">
        <v>242.69980929989586</v>
      </c>
      <c r="P1089" s="330">
        <v>248.27171007640504</v>
      </c>
      <c r="Q1089" s="330">
        <v>267.89454129348638</v>
      </c>
      <c r="R1089" s="330">
        <v>287.51737251056778</v>
      </c>
      <c r="S1089" s="330">
        <v>307.14020372764918</v>
      </c>
    </row>
    <row r="1090" spans="5:19" s="293" customFormat="1" x14ac:dyDescent="0.25">
      <c r="F1090" s="196" t="s">
        <v>931</v>
      </c>
      <c r="G1090" s="196" t="s">
        <v>120</v>
      </c>
      <c r="H1090" s="196" t="s">
        <v>479</v>
      </c>
      <c r="I1090" s="66"/>
      <c r="J1090" s="239"/>
      <c r="K1090" s="234"/>
      <c r="L1090" s="239"/>
      <c r="M1090" s="239"/>
      <c r="N1090" s="239"/>
      <c r="O1090" s="239"/>
      <c r="P1090" s="239"/>
      <c r="Q1090" s="239"/>
      <c r="R1090" s="239"/>
      <c r="S1090" s="239"/>
    </row>
    <row r="1091" spans="5:19" s="293" customFormat="1" x14ac:dyDescent="0.25">
      <c r="F1091" s="196" t="s">
        <v>932</v>
      </c>
      <c r="G1091" s="196" t="s">
        <v>120</v>
      </c>
      <c r="H1091" s="196" t="s">
        <v>479</v>
      </c>
      <c r="I1091" s="66"/>
      <c r="J1091" s="239"/>
      <c r="K1091" s="234"/>
      <c r="L1091" s="239"/>
      <c r="M1091" s="239"/>
      <c r="N1091" s="239"/>
      <c r="O1091" s="239"/>
      <c r="P1091" s="239"/>
      <c r="Q1091" s="239"/>
      <c r="R1091" s="239"/>
      <c r="S1091" s="239"/>
    </row>
    <row r="1092" spans="5:19" s="293" customFormat="1" x14ac:dyDescent="0.25">
      <c r="F1092" s="196" t="s">
        <v>933</v>
      </c>
      <c r="G1092" s="196" t="s">
        <v>120</v>
      </c>
      <c r="H1092" s="196" t="s">
        <v>479</v>
      </c>
      <c r="I1092" s="66"/>
      <c r="J1092" s="239"/>
      <c r="K1092" s="234"/>
      <c r="L1092" s="239"/>
      <c r="M1092" s="239"/>
      <c r="N1092" s="239"/>
      <c r="O1092" s="239"/>
      <c r="P1092" s="239"/>
      <c r="Q1092" s="239"/>
      <c r="R1092" s="239"/>
      <c r="S1092" s="239"/>
    </row>
    <row r="1093" spans="5:19" s="293" customFormat="1" x14ac:dyDescent="0.25">
      <c r="F1093" s="196" t="s">
        <v>934</v>
      </c>
      <c r="G1093" s="196" t="s">
        <v>120</v>
      </c>
      <c r="H1093" s="196" t="s">
        <v>479</v>
      </c>
      <c r="I1093" s="66"/>
      <c r="J1093" s="239"/>
      <c r="K1093" s="234"/>
      <c r="L1093" s="239"/>
      <c r="M1093" s="239"/>
      <c r="N1093" s="239"/>
      <c r="O1093" s="239"/>
      <c r="P1093" s="239"/>
      <c r="Q1093" s="239"/>
      <c r="R1093" s="239"/>
      <c r="S1093" s="239"/>
    </row>
    <row r="1094" spans="5:19" s="293" customFormat="1" x14ac:dyDescent="0.25">
      <c r="F1094" s="196" t="s">
        <v>935</v>
      </c>
      <c r="G1094" s="196" t="s">
        <v>120</v>
      </c>
      <c r="H1094" s="196" t="s">
        <v>479</v>
      </c>
      <c r="I1094" s="66"/>
      <c r="J1094" s="239"/>
      <c r="K1094" s="234"/>
      <c r="L1094" s="239"/>
      <c r="M1094" s="239"/>
      <c r="N1094" s="239"/>
      <c r="O1094" s="239"/>
      <c r="P1094" s="239"/>
      <c r="Q1094" s="239"/>
      <c r="R1094" s="239"/>
      <c r="S1094" s="239"/>
    </row>
    <row r="1095" spans="5:19" s="293" customFormat="1" x14ac:dyDescent="0.25">
      <c r="F1095" s="196" t="s">
        <v>936</v>
      </c>
      <c r="G1095" s="196" t="s">
        <v>120</v>
      </c>
      <c r="H1095" s="196" t="s">
        <v>479</v>
      </c>
      <c r="I1095" s="66"/>
      <c r="J1095" s="239"/>
      <c r="K1095" s="234"/>
      <c r="L1095" s="239"/>
      <c r="M1095" s="239"/>
      <c r="N1095" s="239"/>
      <c r="O1095" s="239"/>
      <c r="P1095" s="239"/>
      <c r="Q1095" s="239"/>
      <c r="R1095" s="239"/>
      <c r="S1095" s="239"/>
    </row>
    <row r="1096" spans="5:19" s="293" customFormat="1" x14ac:dyDescent="0.25">
      <c r="F1096" s="196" t="s">
        <v>937</v>
      </c>
      <c r="G1096" s="196" t="s">
        <v>120</v>
      </c>
      <c r="H1096" s="196" t="s">
        <v>479</v>
      </c>
      <c r="I1096" s="66"/>
      <c r="J1096" s="239"/>
      <c r="K1096" s="234"/>
      <c r="L1096" s="239"/>
      <c r="M1096" s="239"/>
      <c r="N1096" s="239"/>
      <c r="O1096" s="239"/>
      <c r="P1096" s="239"/>
      <c r="Q1096" s="239"/>
      <c r="R1096" s="239"/>
      <c r="S1096" s="239"/>
    </row>
    <row r="1097" spans="5:19" s="293" customFormat="1" x14ac:dyDescent="0.25">
      <c r="F1097" s="196" t="s">
        <v>938</v>
      </c>
      <c r="G1097" s="196" t="s">
        <v>120</v>
      </c>
      <c r="H1097" s="196" t="s">
        <v>479</v>
      </c>
      <c r="I1097" s="66"/>
      <c r="J1097" s="239"/>
      <c r="K1097" s="234"/>
      <c r="L1097" s="239"/>
      <c r="M1097" s="239"/>
      <c r="N1097" s="239"/>
      <c r="O1097" s="239"/>
      <c r="P1097" s="239"/>
      <c r="Q1097" s="239"/>
      <c r="R1097" s="239"/>
      <c r="S1097" s="239"/>
    </row>
    <row r="1098" spans="5:19" s="293" customFormat="1" x14ac:dyDescent="0.25">
      <c r="F1098" s="196" t="s">
        <v>939</v>
      </c>
      <c r="G1098" s="196" t="s">
        <v>120</v>
      </c>
      <c r="H1098" s="196" t="s">
        <v>479</v>
      </c>
      <c r="I1098" s="66"/>
      <c r="J1098" s="239"/>
      <c r="K1098" s="234"/>
      <c r="L1098" s="239"/>
      <c r="M1098" s="239"/>
      <c r="N1098" s="239"/>
      <c r="O1098" s="239"/>
      <c r="P1098" s="239"/>
      <c r="Q1098" s="239"/>
      <c r="R1098" s="239"/>
      <c r="S1098" s="239"/>
    </row>
    <row r="1099" spans="5:19" s="293" customFormat="1" x14ac:dyDescent="0.25">
      <c r="F1099" s="196" t="s">
        <v>940</v>
      </c>
      <c r="G1099" s="196" t="s">
        <v>120</v>
      </c>
      <c r="H1099" s="196" t="s">
        <v>479</v>
      </c>
      <c r="I1099" s="66"/>
      <c r="J1099" s="239"/>
      <c r="K1099" s="234"/>
      <c r="L1099" s="239"/>
      <c r="M1099" s="239"/>
      <c r="N1099" s="239"/>
      <c r="O1099" s="239"/>
      <c r="P1099" s="239"/>
      <c r="Q1099" s="239"/>
      <c r="R1099" s="239"/>
      <c r="S1099" s="239"/>
    </row>
    <row r="1100" spans="5:19" s="293" customFormat="1" x14ac:dyDescent="0.25">
      <c r="F1100" s="93" t="s">
        <v>941</v>
      </c>
      <c r="G1100" s="93" t="s">
        <v>120</v>
      </c>
      <c r="H1100" s="93" t="s">
        <v>479</v>
      </c>
      <c r="I1100" s="145"/>
      <c r="J1100" s="240"/>
      <c r="K1100" s="236"/>
      <c r="L1100" s="240"/>
      <c r="M1100" s="240"/>
      <c r="N1100" s="240"/>
      <c r="O1100" s="240"/>
      <c r="P1100" s="240"/>
      <c r="Q1100" s="240"/>
      <c r="R1100" s="240"/>
      <c r="S1100" s="240"/>
    </row>
    <row r="1101" spans="5:19" s="293" customFormat="1" x14ac:dyDescent="0.25">
      <c r="I1101" s="111"/>
      <c r="J1101" s="237"/>
      <c r="K1101" s="237"/>
      <c r="L1101" s="237"/>
      <c r="M1101" s="237"/>
      <c r="N1101" s="237"/>
      <c r="O1101" s="237"/>
      <c r="P1101" s="237"/>
      <c r="Q1101" s="237"/>
      <c r="R1101" s="237"/>
      <c r="S1101" s="237"/>
    </row>
    <row r="1102" spans="5:19" s="293" customFormat="1" x14ac:dyDescent="0.25">
      <c r="E1102" s="144" t="s">
        <v>200</v>
      </c>
      <c r="I1102" s="111"/>
      <c r="J1102" s="237"/>
      <c r="K1102" s="237"/>
      <c r="L1102" s="237"/>
      <c r="M1102" s="237"/>
      <c r="N1102" s="237"/>
      <c r="O1102" s="237"/>
      <c r="P1102" s="237"/>
      <c r="Q1102" s="237"/>
      <c r="R1102" s="237"/>
      <c r="S1102" s="237"/>
    </row>
    <row r="1103" spans="5:19" s="293" customFormat="1" x14ac:dyDescent="0.25">
      <c r="F1103" s="91" t="s">
        <v>926</v>
      </c>
      <c r="G1103" s="91" t="s">
        <v>120</v>
      </c>
      <c r="H1103" s="91" t="s">
        <v>479</v>
      </c>
      <c r="I1103" s="112"/>
      <c r="J1103" s="238"/>
      <c r="K1103" s="232"/>
      <c r="L1103" s="238"/>
      <c r="M1103" s="238"/>
      <c r="N1103" s="238"/>
      <c r="O1103" s="238"/>
      <c r="P1103" s="238"/>
      <c r="Q1103" s="238"/>
      <c r="R1103" s="238"/>
      <c r="S1103" s="238"/>
    </row>
    <row r="1104" spans="5:19" s="293" customFormat="1" x14ac:dyDescent="0.25">
      <c r="F1104" s="196" t="s">
        <v>927</v>
      </c>
      <c r="G1104" s="196" t="s">
        <v>120</v>
      </c>
      <c r="H1104" s="196" t="s">
        <v>479</v>
      </c>
      <c r="I1104" s="66"/>
      <c r="J1104" s="239"/>
      <c r="K1104" s="234"/>
      <c r="L1104" s="239"/>
      <c r="M1104" s="239"/>
      <c r="N1104" s="239"/>
      <c r="O1104" s="239"/>
      <c r="P1104" s="239"/>
      <c r="Q1104" s="239"/>
      <c r="R1104" s="239"/>
      <c r="S1104" s="239"/>
    </row>
    <row r="1105" spans="5:19" s="293" customFormat="1" x14ac:dyDescent="0.25">
      <c r="F1105" s="196" t="s">
        <v>928</v>
      </c>
      <c r="G1105" s="196" t="s">
        <v>120</v>
      </c>
      <c r="H1105" s="196" t="s">
        <v>479</v>
      </c>
      <c r="I1105" s="66"/>
      <c r="J1105" s="233">
        <f t="shared" ref="J1105" si="108">CHOOSE(year_selection, L1105,M1105,N1105,O1105,P1105,Q1105,R1105,S1105)</f>
        <v>712.28674823442532</v>
      </c>
      <c r="K1105" s="234"/>
      <c r="L1105" s="330"/>
      <c r="M1105" s="330"/>
      <c r="N1105" s="330"/>
      <c r="O1105" s="330">
        <v>712.28674823442532</v>
      </c>
      <c r="P1105" s="330">
        <v>764.94448403244201</v>
      </c>
      <c r="Q1105" s="330">
        <v>796.88819028625244</v>
      </c>
      <c r="R1105" s="330">
        <v>820.98264305673592</v>
      </c>
      <c r="S1105" s="330">
        <v>845.0770958272193</v>
      </c>
    </row>
    <row r="1106" spans="5:19" s="293" customFormat="1" x14ac:dyDescent="0.25">
      <c r="F1106" s="196" t="s">
        <v>929</v>
      </c>
      <c r="G1106" s="196" t="s">
        <v>120</v>
      </c>
      <c r="H1106" s="196" t="s">
        <v>479</v>
      </c>
      <c r="I1106" s="66"/>
      <c r="J1106" s="239"/>
      <c r="K1106" s="234"/>
      <c r="L1106" s="239"/>
      <c r="M1106" s="239"/>
      <c r="N1106" s="239"/>
      <c r="O1106" s="239"/>
      <c r="P1106" s="239"/>
      <c r="Q1106" s="239"/>
      <c r="R1106" s="239"/>
      <c r="S1106" s="239"/>
    </row>
    <row r="1107" spans="5:19" s="293" customFormat="1" x14ac:dyDescent="0.25">
      <c r="F1107" s="196" t="s">
        <v>930</v>
      </c>
      <c r="G1107" s="196" t="s">
        <v>120</v>
      </c>
      <c r="H1107" s="196" t="s">
        <v>479</v>
      </c>
      <c r="I1107" s="66"/>
      <c r="J1107" s="233">
        <f t="shared" ref="J1107" si="109">CHOOSE(year_selection, L1107,M1107,N1107,O1107,P1107,Q1107,R1107,S1107)</f>
        <v>1422.0336211314986</v>
      </c>
      <c r="K1107" s="234"/>
      <c r="L1107" s="330"/>
      <c r="M1107" s="330"/>
      <c r="N1107" s="330"/>
      <c r="O1107" s="330">
        <v>1422.0336211314986</v>
      </c>
      <c r="P1107" s="330">
        <v>1454.6860097203478</v>
      </c>
      <c r="Q1107" s="330">
        <v>1569.6660093292126</v>
      </c>
      <c r="R1107" s="330">
        <v>1684.6460089380769</v>
      </c>
      <c r="S1107" s="330">
        <v>1799.6260085469412</v>
      </c>
    </row>
    <row r="1108" spans="5:19" s="293" customFormat="1" x14ac:dyDescent="0.25">
      <c r="F1108" s="196" t="s">
        <v>931</v>
      </c>
      <c r="G1108" s="196" t="s">
        <v>120</v>
      </c>
      <c r="H1108" s="196" t="s">
        <v>479</v>
      </c>
      <c r="I1108" s="66"/>
      <c r="J1108" s="239"/>
      <c r="K1108" s="234"/>
      <c r="L1108" s="239"/>
      <c r="M1108" s="239"/>
      <c r="N1108" s="239"/>
      <c r="O1108" s="239"/>
      <c r="P1108" s="239"/>
      <c r="Q1108" s="239"/>
      <c r="R1108" s="239"/>
      <c r="S1108" s="239"/>
    </row>
    <row r="1109" spans="5:19" s="293" customFormat="1" x14ac:dyDescent="0.25">
      <c r="F1109" s="196" t="s">
        <v>932</v>
      </c>
      <c r="G1109" s="196" t="s">
        <v>120</v>
      </c>
      <c r="H1109" s="196" t="s">
        <v>479</v>
      </c>
      <c r="I1109" s="66"/>
      <c r="J1109" s="239"/>
      <c r="K1109" s="234"/>
      <c r="L1109" s="239"/>
      <c r="M1109" s="239"/>
      <c r="N1109" s="239"/>
      <c r="O1109" s="239"/>
      <c r="P1109" s="239"/>
      <c r="Q1109" s="239"/>
      <c r="R1109" s="239"/>
      <c r="S1109" s="239"/>
    </row>
    <row r="1110" spans="5:19" s="293" customFormat="1" x14ac:dyDescent="0.25">
      <c r="F1110" s="196" t="s">
        <v>933</v>
      </c>
      <c r="G1110" s="196" t="s">
        <v>120</v>
      </c>
      <c r="H1110" s="196" t="s">
        <v>479</v>
      </c>
      <c r="I1110" s="66"/>
      <c r="J1110" s="239"/>
      <c r="K1110" s="234"/>
      <c r="L1110" s="239"/>
      <c r="M1110" s="239"/>
      <c r="N1110" s="239"/>
      <c r="O1110" s="239"/>
      <c r="P1110" s="239"/>
      <c r="Q1110" s="239"/>
      <c r="R1110" s="239"/>
      <c r="S1110" s="239"/>
    </row>
    <row r="1111" spans="5:19" s="293" customFormat="1" x14ac:dyDescent="0.25">
      <c r="F1111" s="196" t="s">
        <v>934</v>
      </c>
      <c r="G1111" s="196" t="s">
        <v>120</v>
      </c>
      <c r="H1111" s="196" t="s">
        <v>479</v>
      </c>
      <c r="I1111" s="66"/>
      <c r="J1111" s="239"/>
      <c r="K1111" s="234"/>
      <c r="L1111" s="239"/>
      <c r="M1111" s="239"/>
      <c r="N1111" s="239"/>
      <c r="O1111" s="239"/>
      <c r="P1111" s="239"/>
      <c r="Q1111" s="239"/>
      <c r="R1111" s="239"/>
      <c r="S1111" s="239"/>
    </row>
    <row r="1112" spans="5:19" s="293" customFormat="1" x14ac:dyDescent="0.25">
      <c r="F1112" s="196" t="s">
        <v>935</v>
      </c>
      <c r="G1112" s="196" t="s">
        <v>120</v>
      </c>
      <c r="H1112" s="196" t="s">
        <v>479</v>
      </c>
      <c r="I1112" s="66"/>
      <c r="J1112" s="239"/>
      <c r="K1112" s="234"/>
      <c r="L1112" s="239"/>
      <c r="M1112" s="239"/>
      <c r="N1112" s="239"/>
      <c r="O1112" s="239"/>
      <c r="P1112" s="239"/>
      <c r="Q1112" s="239"/>
      <c r="R1112" s="239"/>
      <c r="S1112" s="239"/>
    </row>
    <row r="1113" spans="5:19" s="293" customFormat="1" x14ac:dyDescent="0.25">
      <c r="F1113" s="196" t="s">
        <v>936</v>
      </c>
      <c r="G1113" s="196" t="s">
        <v>120</v>
      </c>
      <c r="H1113" s="196" t="s">
        <v>479</v>
      </c>
      <c r="I1113" s="66"/>
      <c r="J1113" s="239"/>
      <c r="K1113" s="234"/>
      <c r="L1113" s="239"/>
      <c r="M1113" s="239"/>
      <c r="N1113" s="239"/>
      <c r="O1113" s="239"/>
      <c r="P1113" s="239"/>
      <c r="Q1113" s="239"/>
      <c r="R1113" s="239"/>
      <c r="S1113" s="239"/>
    </row>
    <row r="1114" spans="5:19" s="293" customFormat="1" x14ac:dyDescent="0.25">
      <c r="F1114" s="196" t="s">
        <v>937</v>
      </c>
      <c r="G1114" s="196" t="s">
        <v>120</v>
      </c>
      <c r="H1114" s="196" t="s">
        <v>479</v>
      </c>
      <c r="I1114" s="66"/>
      <c r="J1114" s="239"/>
      <c r="K1114" s="234"/>
      <c r="L1114" s="239"/>
      <c r="M1114" s="239"/>
      <c r="N1114" s="239"/>
      <c r="O1114" s="239"/>
      <c r="P1114" s="239"/>
      <c r="Q1114" s="239"/>
      <c r="R1114" s="239"/>
      <c r="S1114" s="239"/>
    </row>
    <row r="1115" spans="5:19" s="293" customFormat="1" x14ac:dyDescent="0.25">
      <c r="F1115" s="196" t="s">
        <v>938</v>
      </c>
      <c r="G1115" s="196" t="s">
        <v>120</v>
      </c>
      <c r="H1115" s="196" t="s">
        <v>479</v>
      </c>
      <c r="I1115" s="66"/>
      <c r="J1115" s="239"/>
      <c r="K1115" s="234"/>
      <c r="L1115" s="239"/>
      <c r="M1115" s="239"/>
      <c r="N1115" s="239"/>
      <c r="O1115" s="239"/>
      <c r="P1115" s="239"/>
      <c r="Q1115" s="239"/>
      <c r="R1115" s="239"/>
      <c r="S1115" s="239"/>
    </row>
    <row r="1116" spans="5:19" s="293" customFormat="1" x14ac:dyDescent="0.25">
      <c r="F1116" s="196" t="s">
        <v>939</v>
      </c>
      <c r="G1116" s="196" t="s">
        <v>120</v>
      </c>
      <c r="H1116" s="196" t="s">
        <v>479</v>
      </c>
      <c r="I1116" s="66"/>
      <c r="J1116" s="239"/>
      <c r="K1116" s="234"/>
      <c r="L1116" s="239"/>
      <c r="M1116" s="239"/>
      <c r="N1116" s="239"/>
      <c r="O1116" s="239"/>
      <c r="P1116" s="239"/>
      <c r="Q1116" s="239"/>
      <c r="R1116" s="239"/>
      <c r="S1116" s="239"/>
    </row>
    <row r="1117" spans="5:19" s="293" customFormat="1" x14ac:dyDescent="0.25">
      <c r="F1117" s="196" t="s">
        <v>940</v>
      </c>
      <c r="G1117" s="196" t="s">
        <v>120</v>
      </c>
      <c r="H1117" s="196" t="s">
        <v>479</v>
      </c>
      <c r="I1117" s="66"/>
      <c r="J1117" s="239"/>
      <c r="K1117" s="234"/>
      <c r="L1117" s="239"/>
      <c r="M1117" s="239"/>
      <c r="N1117" s="239"/>
      <c r="O1117" s="239"/>
      <c r="P1117" s="239"/>
      <c r="Q1117" s="239"/>
      <c r="R1117" s="239"/>
      <c r="S1117" s="239"/>
    </row>
    <row r="1118" spans="5:19" s="293" customFormat="1" x14ac:dyDescent="0.25">
      <c r="F1118" s="93" t="s">
        <v>941</v>
      </c>
      <c r="G1118" s="93" t="s">
        <v>120</v>
      </c>
      <c r="H1118" s="93" t="s">
        <v>479</v>
      </c>
      <c r="I1118" s="145"/>
      <c r="J1118" s="240"/>
      <c r="K1118" s="236"/>
      <c r="L1118" s="240"/>
      <c r="M1118" s="240"/>
      <c r="N1118" s="240"/>
      <c r="O1118" s="240"/>
      <c r="P1118" s="240"/>
      <c r="Q1118" s="240"/>
      <c r="R1118" s="240"/>
      <c r="S1118" s="240"/>
    </row>
    <row r="1119" spans="5:19" s="293" customFormat="1" x14ac:dyDescent="0.25">
      <c r="I1119" s="111"/>
      <c r="J1119" s="237"/>
      <c r="K1119" s="237"/>
      <c r="L1119" s="237"/>
      <c r="M1119" s="237"/>
      <c r="N1119" s="237"/>
      <c r="O1119" s="237"/>
      <c r="P1119" s="237"/>
      <c r="Q1119" s="237"/>
      <c r="R1119" s="237"/>
      <c r="S1119" s="237"/>
    </row>
    <row r="1120" spans="5:19" s="293" customFormat="1" x14ac:dyDescent="0.25">
      <c r="E1120" s="144" t="s">
        <v>201</v>
      </c>
      <c r="I1120" s="111"/>
      <c r="J1120" s="237"/>
      <c r="K1120" s="237"/>
      <c r="L1120" s="237"/>
      <c r="M1120" s="237"/>
      <c r="N1120" s="237"/>
      <c r="O1120" s="237"/>
      <c r="P1120" s="237"/>
      <c r="Q1120" s="237"/>
      <c r="R1120" s="237"/>
      <c r="S1120" s="237"/>
    </row>
    <row r="1121" spans="6:19" s="293" customFormat="1" x14ac:dyDescent="0.25">
      <c r="F1121" s="91" t="s">
        <v>926</v>
      </c>
      <c r="G1121" s="91" t="s">
        <v>120</v>
      </c>
      <c r="H1121" s="91" t="s">
        <v>479</v>
      </c>
      <c r="I1121" s="112"/>
      <c r="J1121" s="238"/>
      <c r="K1121" s="232"/>
      <c r="L1121" s="238"/>
      <c r="M1121" s="238"/>
      <c r="N1121" s="238"/>
      <c r="O1121" s="238"/>
      <c r="P1121" s="238"/>
      <c r="Q1121" s="238"/>
      <c r="R1121" s="238"/>
      <c r="S1121" s="238"/>
    </row>
    <row r="1122" spans="6:19" s="293" customFormat="1" x14ac:dyDescent="0.25">
      <c r="F1122" s="196" t="s">
        <v>927</v>
      </c>
      <c r="G1122" s="196" t="s">
        <v>120</v>
      </c>
      <c r="H1122" s="196" t="s">
        <v>479</v>
      </c>
      <c r="I1122" s="66"/>
      <c r="J1122" s="239"/>
      <c r="K1122" s="234"/>
      <c r="L1122" s="239"/>
      <c r="M1122" s="239"/>
      <c r="N1122" s="239"/>
      <c r="O1122" s="239"/>
      <c r="P1122" s="239"/>
      <c r="Q1122" s="239"/>
      <c r="R1122" s="239"/>
      <c r="S1122" s="239"/>
    </row>
    <row r="1123" spans="6:19" s="293" customFormat="1" x14ac:dyDescent="0.25">
      <c r="F1123" s="196" t="s">
        <v>928</v>
      </c>
      <c r="G1123" s="196" t="s">
        <v>120</v>
      </c>
      <c r="H1123" s="196" t="s">
        <v>479</v>
      </c>
      <c r="I1123" s="66"/>
      <c r="J1123" s="233">
        <f t="shared" ref="J1123" si="110">CHOOSE(year_selection, L1123,M1123,N1123,O1123,P1123,Q1123,R1123,S1123)</f>
        <v>320.46061801359565</v>
      </c>
      <c r="K1123" s="234"/>
      <c r="L1123" s="330"/>
      <c r="M1123" s="330"/>
      <c r="N1123" s="330"/>
      <c r="O1123" s="330">
        <v>320.46061801359565</v>
      </c>
      <c r="P1123" s="330">
        <v>344.06737638654852</v>
      </c>
      <c r="Q1123" s="330">
        <v>358.40489988482369</v>
      </c>
      <c r="R1123" s="330">
        <v>369.24377259204812</v>
      </c>
      <c r="S1123" s="330">
        <v>380.08264529927254</v>
      </c>
    </row>
    <row r="1124" spans="6:19" s="293" customFormat="1" x14ac:dyDescent="0.25">
      <c r="F1124" s="196" t="s">
        <v>929</v>
      </c>
      <c r="G1124" s="196" t="s">
        <v>120</v>
      </c>
      <c r="H1124" s="196" t="s">
        <v>479</v>
      </c>
      <c r="I1124" s="66"/>
      <c r="J1124" s="239"/>
      <c r="K1124" s="234"/>
      <c r="L1124" s="239"/>
      <c r="M1124" s="239"/>
      <c r="N1124" s="239"/>
      <c r="O1124" s="239"/>
      <c r="P1124" s="239"/>
      <c r="Q1124" s="239"/>
      <c r="R1124" s="239"/>
      <c r="S1124" s="239"/>
    </row>
    <row r="1125" spans="6:19" s="293" customFormat="1" x14ac:dyDescent="0.25">
      <c r="F1125" s="196" t="s">
        <v>930</v>
      </c>
      <c r="G1125" s="196" t="s">
        <v>120</v>
      </c>
      <c r="H1125" s="196" t="s">
        <v>479</v>
      </c>
      <c r="I1125" s="66"/>
      <c r="J1125" s="233">
        <f t="shared" ref="J1125" si="111">CHOOSE(year_selection, L1125,M1125,N1125,O1125,P1125,Q1125,R1125,S1125)</f>
        <v>843.16006806784355</v>
      </c>
      <c r="K1125" s="234"/>
      <c r="L1125" s="330"/>
      <c r="M1125" s="330"/>
      <c r="N1125" s="330"/>
      <c r="O1125" s="330">
        <v>843.16006806784355</v>
      </c>
      <c r="P1125" s="330">
        <v>862.53075200174226</v>
      </c>
      <c r="Q1125" s="330">
        <v>930.71558004586723</v>
      </c>
      <c r="R1125" s="330">
        <v>998.90040808999197</v>
      </c>
      <c r="S1125" s="330">
        <v>1067.0852361341167</v>
      </c>
    </row>
    <row r="1126" spans="6:19" s="293" customFormat="1" x14ac:dyDescent="0.25">
      <c r="F1126" s="196" t="s">
        <v>931</v>
      </c>
      <c r="G1126" s="196" t="s">
        <v>120</v>
      </c>
      <c r="H1126" s="196" t="s">
        <v>479</v>
      </c>
      <c r="I1126" s="66"/>
      <c r="J1126" s="239"/>
      <c r="K1126" s="234"/>
      <c r="L1126" s="239"/>
      <c r="M1126" s="239"/>
      <c r="N1126" s="239"/>
      <c r="O1126" s="239"/>
      <c r="P1126" s="239"/>
      <c r="Q1126" s="239"/>
      <c r="R1126" s="239"/>
      <c r="S1126" s="239"/>
    </row>
    <row r="1127" spans="6:19" s="293" customFormat="1" x14ac:dyDescent="0.25">
      <c r="F1127" s="196" t="s">
        <v>932</v>
      </c>
      <c r="G1127" s="196" t="s">
        <v>120</v>
      </c>
      <c r="H1127" s="196" t="s">
        <v>479</v>
      </c>
      <c r="I1127" s="66"/>
      <c r="J1127" s="239"/>
      <c r="K1127" s="234"/>
      <c r="L1127" s="239"/>
      <c r="M1127" s="239"/>
      <c r="N1127" s="239"/>
      <c r="O1127" s="239"/>
      <c r="P1127" s="239"/>
      <c r="Q1127" s="239"/>
      <c r="R1127" s="239"/>
      <c r="S1127" s="239"/>
    </row>
    <row r="1128" spans="6:19" s="293" customFormat="1" x14ac:dyDescent="0.25">
      <c r="F1128" s="196" t="s">
        <v>933</v>
      </c>
      <c r="G1128" s="196" t="s">
        <v>120</v>
      </c>
      <c r="H1128" s="196" t="s">
        <v>479</v>
      </c>
      <c r="I1128" s="66"/>
      <c r="J1128" s="239"/>
      <c r="K1128" s="234"/>
      <c r="L1128" s="239"/>
      <c r="M1128" s="239"/>
      <c r="N1128" s="239"/>
      <c r="O1128" s="239"/>
      <c r="P1128" s="239"/>
      <c r="Q1128" s="239"/>
      <c r="R1128" s="239"/>
      <c r="S1128" s="239"/>
    </row>
    <row r="1129" spans="6:19" s="293" customFormat="1" x14ac:dyDescent="0.25">
      <c r="F1129" s="196" t="s">
        <v>934</v>
      </c>
      <c r="G1129" s="196" t="s">
        <v>120</v>
      </c>
      <c r="H1129" s="196" t="s">
        <v>479</v>
      </c>
      <c r="I1129" s="66"/>
      <c r="J1129" s="239"/>
      <c r="K1129" s="234"/>
      <c r="L1129" s="239"/>
      <c r="M1129" s="239"/>
      <c r="N1129" s="239"/>
      <c r="O1129" s="239"/>
      <c r="P1129" s="239"/>
      <c r="Q1129" s="239"/>
      <c r="R1129" s="239"/>
      <c r="S1129" s="239"/>
    </row>
    <row r="1130" spans="6:19" s="293" customFormat="1" x14ac:dyDescent="0.25">
      <c r="F1130" s="196" t="s">
        <v>935</v>
      </c>
      <c r="G1130" s="196" t="s">
        <v>120</v>
      </c>
      <c r="H1130" s="196" t="s">
        <v>479</v>
      </c>
      <c r="I1130" s="66"/>
      <c r="J1130" s="239"/>
      <c r="K1130" s="234"/>
      <c r="L1130" s="239"/>
      <c r="M1130" s="239"/>
      <c r="N1130" s="239"/>
      <c r="O1130" s="239"/>
      <c r="P1130" s="239"/>
      <c r="Q1130" s="239"/>
      <c r="R1130" s="239"/>
      <c r="S1130" s="239"/>
    </row>
    <row r="1131" spans="6:19" s="293" customFormat="1" x14ac:dyDescent="0.25">
      <c r="F1131" s="196" t="s">
        <v>936</v>
      </c>
      <c r="G1131" s="196" t="s">
        <v>120</v>
      </c>
      <c r="H1131" s="196" t="s">
        <v>479</v>
      </c>
      <c r="I1131" s="66"/>
      <c r="J1131" s="239"/>
      <c r="K1131" s="234"/>
      <c r="L1131" s="239"/>
      <c r="M1131" s="239"/>
      <c r="N1131" s="239"/>
      <c r="O1131" s="239"/>
      <c r="P1131" s="239"/>
      <c r="Q1131" s="239"/>
      <c r="R1131" s="239"/>
      <c r="S1131" s="239"/>
    </row>
    <row r="1132" spans="6:19" s="293" customFormat="1" x14ac:dyDescent="0.25">
      <c r="F1132" s="196" t="s">
        <v>937</v>
      </c>
      <c r="G1132" s="196" t="s">
        <v>120</v>
      </c>
      <c r="H1132" s="196" t="s">
        <v>479</v>
      </c>
      <c r="I1132" s="66"/>
      <c r="J1132" s="239"/>
      <c r="K1132" s="234"/>
      <c r="L1132" s="239"/>
      <c r="M1132" s="239"/>
      <c r="N1132" s="239"/>
      <c r="O1132" s="239"/>
      <c r="P1132" s="239"/>
      <c r="Q1132" s="239"/>
      <c r="R1132" s="239"/>
      <c r="S1132" s="239"/>
    </row>
    <row r="1133" spans="6:19" s="293" customFormat="1" x14ac:dyDescent="0.25">
      <c r="F1133" s="196" t="s">
        <v>938</v>
      </c>
      <c r="G1133" s="196" t="s">
        <v>120</v>
      </c>
      <c r="H1133" s="196" t="s">
        <v>479</v>
      </c>
      <c r="I1133" s="66"/>
      <c r="J1133" s="239"/>
      <c r="K1133" s="234"/>
      <c r="L1133" s="239"/>
      <c r="M1133" s="239"/>
      <c r="N1133" s="239"/>
      <c r="O1133" s="239"/>
      <c r="P1133" s="239"/>
      <c r="Q1133" s="239"/>
      <c r="R1133" s="239"/>
      <c r="S1133" s="239"/>
    </row>
    <row r="1134" spans="6:19" s="293" customFormat="1" x14ac:dyDescent="0.25">
      <c r="F1134" s="196" t="s">
        <v>939</v>
      </c>
      <c r="G1134" s="196" t="s">
        <v>120</v>
      </c>
      <c r="H1134" s="196" t="s">
        <v>479</v>
      </c>
      <c r="I1134" s="66"/>
      <c r="J1134" s="239"/>
      <c r="K1134" s="234"/>
      <c r="L1134" s="239"/>
      <c r="M1134" s="239"/>
      <c r="N1134" s="239"/>
      <c r="O1134" s="239"/>
      <c r="P1134" s="239"/>
      <c r="Q1134" s="239"/>
      <c r="R1134" s="239"/>
      <c r="S1134" s="239"/>
    </row>
    <row r="1135" spans="6:19" s="293" customFormat="1" x14ac:dyDescent="0.25">
      <c r="F1135" s="196" t="s">
        <v>940</v>
      </c>
      <c r="G1135" s="196" t="s">
        <v>120</v>
      </c>
      <c r="H1135" s="196" t="s">
        <v>479</v>
      </c>
      <c r="I1135" s="66"/>
      <c r="J1135" s="239"/>
      <c r="K1135" s="234"/>
      <c r="L1135" s="239"/>
      <c r="M1135" s="239"/>
      <c r="N1135" s="239"/>
      <c r="O1135" s="239"/>
      <c r="P1135" s="239"/>
      <c r="Q1135" s="239"/>
      <c r="R1135" s="239"/>
      <c r="S1135" s="239"/>
    </row>
    <row r="1136" spans="6:19" s="293" customFormat="1" x14ac:dyDescent="0.25">
      <c r="F1136" s="93" t="s">
        <v>941</v>
      </c>
      <c r="G1136" s="93" t="s">
        <v>120</v>
      </c>
      <c r="H1136" s="93" t="s">
        <v>479</v>
      </c>
      <c r="I1136" s="145"/>
      <c r="J1136" s="240"/>
      <c r="K1136" s="236"/>
      <c r="L1136" s="240"/>
      <c r="M1136" s="240"/>
      <c r="N1136" s="240"/>
      <c r="O1136" s="240"/>
      <c r="P1136" s="240"/>
      <c r="Q1136" s="240"/>
      <c r="R1136" s="240"/>
      <c r="S1136" s="240"/>
    </row>
    <row r="1137" spans="5:19" s="293" customFormat="1" x14ac:dyDescent="0.25">
      <c r="I1137" s="111"/>
      <c r="J1137" s="237"/>
      <c r="K1137" s="237"/>
      <c r="L1137" s="237"/>
      <c r="M1137" s="237"/>
      <c r="N1137" s="237"/>
      <c r="O1137" s="237"/>
      <c r="P1137" s="237"/>
      <c r="Q1137" s="237"/>
      <c r="R1137" s="237"/>
      <c r="S1137" s="237"/>
    </row>
    <row r="1138" spans="5:19" s="293" customFormat="1" x14ac:dyDescent="0.25">
      <c r="E1138" s="144" t="s">
        <v>74</v>
      </c>
      <c r="I1138" s="111"/>
      <c r="J1138" s="237"/>
      <c r="K1138" s="237"/>
      <c r="L1138" s="237"/>
      <c r="M1138" s="237"/>
      <c r="N1138" s="237"/>
      <c r="O1138" s="237"/>
      <c r="P1138" s="237"/>
      <c r="Q1138" s="237"/>
      <c r="R1138" s="237"/>
      <c r="S1138" s="237"/>
    </row>
    <row r="1139" spans="5:19" s="293" customFormat="1" x14ac:dyDescent="0.25">
      <c r="F1139" s="91" t="s">
        <v>926</v>
      </c>
      <c r="G1139" s="91" t="s">
        <v>74</v>
      </c>
      <c r="H1139" s="91" t="s">
        <v>479</v>
      </c>
      <c r="I1139" s="112"/>
      <c r="J1139" s="238"/>
      <c r="K1139" s="232"/>
      <c r="L1139" s="238"/>
      <c r="M1139" s="238"/>
      <c r="N1139" s="238"/>
      <c r="O1139" s="238"/>
      <c r="P1139" s="238"/>
      <c r="Q1139" s="238"/>
      <c r="R1139" s="238"/>
      <c r="S1139" s="238"/>
    </row>
    <row r="1140" spans="5:19" s="293" customFormat="1" x14ac:dyDescent="0.25">
      <c r="F1140" s="196" t="s">
        <v>927</v>
      </c>
      <c r="G1140" s="196" t="s">
        <v>74</v>
      </c>
      <c r="H1140" s="196" t="s">
        <v>479</v>
      </c>
      <c r="I1140" s="66"/>
      <c r="J1140" s="239"/>
      <c r="K1140" s="234"/>
      <c r="L1140" s="239"/>
      <c r="M1140" s="239"/>
      <c r="N1140" s="239"/>
      <c r="O1140" s="239"/>
      <c r="P1140" s="239"/>
      <c r="Q1140" s="239"/>
      <c r="R1140" s="239"/>
      <c r="S1140" s="239"/>
    </row>
    <row r="1141" spans="5:19" s="293" customFormat="1" x14ac:dyDescent="0.25">
      <c r="F1141" s="196" t="s">
        <v>928</v>
      </c>
      <c r="G1141" s="196" t="s">
        <v>74</v>
      </c>
      <c r="H1141" s="196" t="s">
        <v>479</v>
      </c>
      <c r="I1141" s="66"/>
      <c r="J1141" s="233">
        <f t="shared" ref="J1141" si="112">CHOOSE(year_selection, L1141,M1141,N1141,O1141,P1141,Q1141,R1141,S1141)</f>
        <v>68.11643708767167</v>
      </c>
      <c r="K1141" s="234"/>
      <c r="L1141" s="330"/>
      <c r="M1141" s="330"/>
      <c r="N1141" s="330"/>
      <c r="O1141" s="330">
        <v>68.11643708767167</v>
      </c>
      <c r="P1141" s="330">
        <v>73.016995054205282</v>
      </c>
      <c r="Q1141" s="330">
        <v>76.010973102286371</v>
      </c>
      <c r="R1141" s="330">
        <v>78.297200202400802</v>
      </c>
      <c r="S1141" s="330">
        <v>80.583427302515219</v>
      </c>
    </row>
    <row r="1142" spans="5:19" s="293" customFormat="1" x14ac:dyDescent="0.25">
      <c r="F1142" s="196" t="s">
        <v>929</v>
      </c>
      <c r="G1142" s="196" t="s">
        <v>74</v>
      </c>
      <c r="H1142" s="196" t="s">
        <v>479</v>
      </c>
      <c r="I1142" s="66"/>
      <c r="J1142" s="239"/>
      <c r="K1142" s="234"/>
      <c r="L1142" s="239"/>
      <c r="M1142" s="239"/>
      <c r="N1142" s="239"/>
      <c r="O1142" s="239"/>
      <c r="P1142" s="239"/>
      <c r="Q1142" s="239"/>
      <c r="R1142" s="239"/>
      <c r="S1142" s="239"/>
    </row>
    <row r="1143" spans="5:19" s="293" customFormat="1" x14ac:dyDescent="0.25">
      <c r="F1143" s="196" t="s">
        <v>930</v>
      </c>
      <c r="G1143" s="196" t="s">
        <v>74</v>
      </c>
      <c r="H1143" s="196" t="s">
        <v>479</v>
      </c>
      <c r="I1143" s="66"/>
      <c r="J1143" s="233">
        <f t="shared" ref="J1143" si="113">CHOOSE(year_selection, L1143,M1143,N1143,O1143,P1143,Q1143,R1143,S1143)</f>
        <v>17.713627519861646</v>
      </c>
      <c r="K1143" s="234"/>
      <c r="L1143" s="330"/>
      <c r="M1143" s="330"/>
      <c r="N1143" s="330"/>
      <c r="O1143" s="330">
        <v>17.713627519861646</v>
      </c>
      <c r="P1143" s="330">
        <v>19.23738042479598</v>
      </c>
      <c r="Q1143" s="330">
        <v>20.761133329730317</v>
      </c>
      <c r="R1143" s="330">
        <v>22.284886234664651</v>
      </c>
      <c r="S1143" s="330">
        <v>23.808639139598988</v>
      </c>
    </row>
    <row r="1144" spans="5:19" s="293" customFormat="1" x14ac:dyDescent="0.25">
      <c r="F1144" s="196" t="s">
        <v>931</v>
      </c>
      <c r="G1144" s="196" t="s">
        <v>74</v>
      </c>
      <c r="H1144" s="196" t="s">
        <v>479</v>
      </c>
      <c r="I1144" s="66"/>
      <c r="J1144" s="239"/>
      <c r="K1144" s="234"/>
      <c r="L1144" s="239"/>
      <c r="M1144" s="239"/>
      <c r="N1144" s="239"/>
      <c r="O1144" s="239"/>
      <c r="P1144" s="239"/>
      <c r="Q1144" s="239"/>
      <c r="R1144" s="239"/>
      <c r="S1144" s="239"/>
    </row>
    <row r="1145" spans="5:19" s="293" customFormat="1" x14ac:dyDescent="0.25">
      <c r="F1145" s="196" t="s">
        <v>932</v>
      </c>
      <c r="G1145" s="196" t="s">
        <v>74</v>
      </c>
      <c r="H1145" s="196" t="s">
        <v>479</v>
      </c>
      <c r="I1145" s="66"/>
      <c r="J1145" s="239"/>
      <c r="K1145" s="234"/>
      <c r="L1145" s="239"/>
      <c r="M1145" s="239"/>
      <c r="N1145" s="239"/>
      <c r="O1145" s="239"/>
      <c r="P1145" s="239"/>
      <c r="Q1145" s="239"/>
      <c r="R1145" s="239"/>
      <c r="S1145" s="239"/>
    </row>
    <row r="1146" spans="5:19" s="293" customFormat="1" x14ac:dyDescent="0.25">
      <c r="F1146" s="196" t="s">
        <v>933</v>
      </c>
      <c r="G1146" s="196" t="s">
        <v>74</v>
      </c>
      <c r="H1146" s="196" t="s">
        <v>479</v>
      </c>
      <c r="I1146" s="66"/>
      <c r="J1146" s="239"/>
      <c r="K1146" s="234"/>
      <c r="L1146" s="239"/>
      <c r="M1146" s="239"/>
      <c r="N1146" s="239"/>
      <c r="O1146" s="239"/>
      <c r="P1146" s="239"/>
      <c r="Q1146" s="239"/>
      <c r="R1146" s="239"/>
      <c r="S1146" s="239"/>
    </row>
    <row r="1147" spans="5:19" s="293" customFormat="1" x14ac:dyDescent="0.25">
      <c r="F1147" s="196" t="s">
        <v>934</v>
      </c>
      <c r="G1147" s="196" t="s">
        <v>74</v>
      </c>
      <c r="H1147" s="196" t="s">
        <v>479</v>
      </c>
      <c r="I1147" s="66"/>
      <c r="J1147" s="239"/>
      <c r="K1147" s="234"/>
      <c r="L1147" s="239"/>
      <c r="M1147" s="239"/>
      <c r="N1147" s="239"/>
      <c r="O1147" s="239"/>
      <c r="P1147" s="239"/>
      <c r="Q1147" s="239"/>
      <c r="R1147" s="239"/>
      <c r="S1147" s="239"/>
    </row>
    <row r="1148" spans="5:19" s="293" customFormat="1" x14ac:dyDescent="0.25">
      <c r="F1148" s="196" t="s">
        <v>935</v>
      </c>
      <c r="G1148" s="196" t="s">
        <v>74</v>
      </c>
      <c r="H1148" s="196" t="s">
        <v>479</v>
      </c>
      <c r="I1148" s="66"/>
      <c r="J1148" s="239"/>
      <c r="K1148" s="234"/>
      <c r="L1148" s="239"/>
      <c r="M1148" s="239"/>
      <c r="N1148" s="239"/>
      <c r="O1148" s="239"/>
      <c r="P1148" s="239"/>
      <c r="Q1148" s="239"/>
      <c r="R1148" s="239"/>
      <c r="S1148" s="239"/>
    </row>
    <row r="1149" spans="5:19" s="293" customFormat="1" x14ac:dyDescent="0.25">
      <c r="F1149" s="196" t="s">
        <v>936</v>
      </c>
      <c r="G1149" s="196" t="s">
        <v>74</v>
      </c>
      <c r="H1149" s="196" t="s">
        <v>479</v>
      </c>
      <c r="I1149" s="66"/>
      <c r="J1149" s="239"/>
      <c r="K1149" s="234"/>
      <c r="L1149" s="239"/>
      <c r="M1149" s="239"/>
      <c r="N1149" s="239"/>
      <c r="O1149" s="239"/>
      <c r="P1149" s="239"/>
      <c r="Q1149" s="239"/>
      <c r="R1149" s="239"/>
      <c r="S1149" s="239"/>
    </row>
    <row r="1150" spans="5:19" s="293" customFormat="1" x14ac:dyDescent="0.25">
      <c r="F1150" s="196" t="s">
        <v>937</v>
      </c>
      <c r="G1150" s="196" t="s">
        <v>74</v>
      </c>
      <c r="H1150" s="196" t="s">
        <v>479</v>
      </c>
      <c r="I1150" s="66"/>
      <c r="J1150" s="239"/>
      <c r="K1150" s="234"/>
      <c r="L1150" s="239"/>
      <c r="M1150" s="239"/>
      <c r="N1150" s="239"/>
      <c r="O1150" s="239"/>
      <c r="P1150" s="239"/>
      <c r="Q1150" s="239"/>
      <c r="R1150" s="239"/>
      <c r="S1150" s="239"/>
    </row>
    <row r="1151" spans="5:19" s="293" customFormat="1" x14ac:dyDescent="0.25">
      <c r="F1151" s="196" t="s">
        <v>938</v>
      </c>
      <c r="G1151" s="196" t="s">
        <v>74</v>
      </c>
      <c r="H1151" s="196" t="s">
        <v>479</v>
      </c>
      <c r="I1151" s="66"/>
      <c r="J1151" s="239"/>
      <c r="K1151" s="234"/>
      <c r="L1151" s="239"/>
      <c r="M1151" s="239"/>
      <c r="N1151" s="239"/>
      <c r="O1151" s="239"/>
      <c r="P1151" s="239"/>
      <c r="Q1151" s="239"/>
      <c r="R1151" s="239"/>
      <c r="S1151" s="239"/>
    </row>
    <row r="1152" spans="5:19" s="293" customFormat="1" x14ac:dyDescent="0.25">
      <c r="F1152" s="196" t="s">
        <v>939</v>
      </c>
      <c r="G1152" s="196" t="s">
        <v>74</v>
      </c>
      <c r="H1152" s="196" t="s">
        <v>479</v>
      </c>
      <c r="I1152" s="66"/>
      <c r="J1152" s="239"/>
      <c r="K1152" s="234"/>
      <c r="L1152" s="239"/>
      <c r="M1152" s="239"/>
      <c r="N1152" s="239"/>
      <c r="O1152" s="239"/>
      <c r="P1152" s="239"/>
      <c r="Q1152" s="239"/>
      <c r="R1152" s="239"/>
      <c r="S1152" s="239"/>
    </row>
    <row r="1153" spans="5:19" s="293" customFormat="1" x14ac:dyDescent="0.25">
      <c r="F1153" s="196" t="s">
        <v>940</v>
      </c>
      <c r="G1153" s="196" t="s">
        <v>74</v>
      </c>
      <c r="H1153" s="196" t="s">
        <v>479</v>
      </c>
      <c r="I1153" s="66"/>
      <c r="J1153" s="239"/>
      <c r="K1153" s="234"/>
      <c r="L1153" s="239"/>
      <c r="M1153" s="239"/>
      <c r="N1153" s="239"/>
      <c r="O1153" s="239"/>
      <c r="P1153" s="239"/>
      <c r="Q1153" s="239"/>
      <c r="R1153" s="239"/>
      <c r="S1153" s="239"/>
    </row>
    <row r="1154" spans="5:19" s="293" customFormat="1" x14ac:dyDescent="0.25">
      <c r="F1154" s="93" t="s">
        <v>941</v>
      </c>
      <c r="G1154" s="93" t="s">
        <v>74</v>
      </c>
      <c r="H1154" s="93" t="s">
        <v>479</v>
      </c>
      <c r="I1154" s="145"/>
      <c r="J1154" s="240"/>
      <c r="K1154" s="236"/>
      <c r="L1154" s="240"/>
      <c r="M1154" s="240"/>
      <c r="N1154" s="240"/>
      <c r="O1154" s="240"/>
      <c r="P1154" s="240"/>
      <c r="Q1154" s="240"/>
      <c r="R1154" s="240"/>
      <c r="S1154" s="240"/>
    </row>
    <row r="1155" spans="5:19" s="293" customFormat="1" x14ac:dyDescent="0.25">
      <c r="I1155" s="111"/>
      <c r="J1155" s="237"/>
      <c r="K1155" s="237"/>
      <c r="L1155" s="237"/>
      <c r="M1155" s="237"/>
      <c r="N1155" s="237"/>
      <c r="O1155" s="237"/>
      <c r="P1155" s="237"/>
      <c r="Q1155" s="237"/>
      <c r="R1155" s="237"/>
      <c r="S1155" s="237"/>
    </row>
    <row r="1156" spans="5:19" s="293" customFormat="1" x14ac:dyDescent="0.25">
      <c r="E1156" s="144" t="s">
        <v>202</v>
      </c>
      <c r="I1156" s="111"/>
      <c r="J1156" s="237"/>
      <c r="K1156" s="237"/>
      <c r="L1156" s="237"/>
      <c r="M1156" s="237"/>
      <c r="N1156" s="237"/>
      <c r="O1156" s="237"/>
      <c r="P1156" s="237"/>
      <c r="Q1156" s="237"/>
      <c r="R1156" s="237"/>
      <c r="S1156" s="237"/>
    </row>
    <row r="1157" spans="5:19" s="293" customFormat="1" x14ac:dyDescent="0.25">
      <c r="F1157" s="91" t="s">
        <v>926</v>
      </c>
      <c r="G1157" s="91" t="s">
        <v>169</v>
      </c>
      <c r="H1157" s="91" t="s">
        <v>479</v>
      </c>
      <c r="I1157" s="112"/>
      <c r="J1157" s="238"/>
      <c r="K1157" s="232"/>
      <c r="L1157" s="238"/>
      <c r="M1157" s="238"/>
      <c r="N1157" s="238"/>
      <c r="O1157" s="238"/>
      <c r="P1157" s="238"/>
      <c r="Q1157" s="238"/>
      <c r="R1157" s="238"/>
      <c r="S1157" s="238"/>
    </row>
    <row r="1158" spans="5:19" s="293" customFormat="1" x14ac:dyDescent="0.25">
      <c r="F1158" s="196" t="s">
        <v>927</v>
      </c>
      <c r="G1158" s="196" t="s">
        <v>169</v>
      </c>
      <c r="H1158" s="196" t="s">
        <v>479</v>
      </c>
      <c r="I1158" s="66"/>
      <c r="J1158" s="239"/>
      <c r="K1158" s="234"/>
      <c r="L1158" s="239"/>
      <c r="M1158" s="239"/>
      <c r="N1158" s="239"/>
      <c r="O1158" s="239"/>
      <c r="P1158" s="239"/>
      <c r="Q1158" s="239"/>
      <c r="R1158" s="239"/>
      <c r="S1158" s="239"/>
    </row>
    <row r="1159" spans="5:19" s="293" customFormat="1" x14ac:dyDescent="0.25">
      <c r="F1159" s="196" t="s">
        <v>928</v>
      </c>
      <c r="G1159" s="196" t="s">
        <v>169</v>
      </c>
      <c r="H1159" s="196" t="s">
        <v>479</v>
      </c>
      <c r="I1159" s="66"/>
      <c r="J1159" s="239"/>
      <c r="K1159" s="234"/>
      <c r="L1159" s="239"/>
      <c r="M1159" s="239"/>
      <c r="N1159" s="239"/>
      <c r="O1159" s="239"/>
      <c r="P1159" s="239"/>
      <c r="Q1159" s="239"/>
      <c r="R1159" s="239"/>
      <c r="S1159" s="239"/>
    </row>
    <row r="1160" spans="5:19" s="293" customFormat="1" x14ac:dyDescent="0.25">
      <c r="F1160" s="196" t="s">
        <v>929</v>
      </c>
      <c r="G1160" s="196" t="s">
        <v>169</v>
      </c>
      <c r="H1160" s="196" t="s">
        <v>479</v>
      </c>
      <c r="I1160" s="66"/>
      <c r="J1160" s="239"/>
      <c r="K1160" s="234"/>
      <c r="L1160" s="239"/>
      <c r="M1160" s="239"/>
      <c r="N1160" s="239"/>
      <c r="O1160" s="239"/>
      <c r="P1160" s="239"/>
      <c r="Q1160" s="239"/>
      <c r="R1160" s="239"/>
      <c r="S1160" s="239"/>
    </row>
    <row r="1161" spans="5:19" s="293" customFormat="1" x14ac:dyDescent="0.25">
      <c r="F1161" s="196" t="s">
        <v>930</v>
      </c>
      <c r="G1161" s="196" t="s">
        <v>169</v>
      </c>
      <c r="H1161" s="196" t="s">
        <v>479</v>
      </c>
      <c r="I1161" s="66"/>
      <c r="J1161" s="233">
        <f t="shared" ref="J1161" si="114">CHOOSE(year_selection, L1161,M1161,N1161,O1161,P1161,Q1161,R1161,S1161)</f>
        <v>3047.5603895286363</v>
      </c>
      <c r="K1161" s="234"/>
      <c r="L1161" s="330"/>
      <c r="M1161" s="330"/>
      <c r="N1161" s="330"/>
      <c r="O1161" s="330">
        <v>3047.5603895286363</v>
      </c>
      <c r="P1161" s="330">
        <v>3571.8718543937775</v>
      </c>
      <c r="Q1161" s="330">
        <v>3571.8718543937775</v>
      </c>
      <c r="R1161" s="330">
        <v>3834.0275868263489</v>
      </c>
      <c r="S1161" s="330">
        <v>4096.1833192589202</v>
      </c>
    </row>
    <row r="1162" spans="5:19" s="293" customFormat="1" x14ac:dyDescent="0.25">
      <c r="F1162" s="196" t="s">
        <v>931</v>
      </c>
      <c r="G1162" s="196" t="s">
        <v>169</v>
      </c>
      <c r="H1162" s="196" t="s">
        <v>479</v>
      </c>
      <c r="I1162" s="66"/>
      <c r="J1162" s="239"/>
      <c r="K1162" s="234"/>
      <c r="L1162" s="239"/>
      <c r="M1162" s="239"/>
      <c r="N1162" s="239"/>
      <c r="O1162" s="239"/>
      <c r="P1162" s="239"/>
      <c r="Q1162" s="239"/>
      <c r="R1162" s="239"/>
      <c r="S1162" s="239"/>
    </row>
    <row r="1163" spans="5:19" s="293" customFormat="1" x14ac:dyDescent="0.25">
      <c r="F1163" s="196" t="s">
        <v>932</v>
      </c>
      <c r="G1163" s="196" t="s">
        <v>169</v>
      </c>
      <c r="H1163" s="196" t="s">
        <v>479</v>
      </c>
      <c r="I1163" s="66"/>
      <c r="J1163" s="239"/>
      <c r="K1163" s="234"/>
      <c r="L1163" s="239"/>
      <c r="M1163" s="239"/>
      <c r="N1163" s="239"/>
      <c r="O1163" s="239"/>
      <c r="P1163" s="239"/>
      <c r="Q1163" s="239"/>
      <c r="R1163" s="239"/>
      <c r="S1163" s="239"/>
    </row>
    <row r="1164" spans="5:19" s="293" customFormat="1" x14ac:dyDescent="0.25">
      <c r="F1164" s="196" t="s">
        <v>933</v>
      </c>
      <c r="G1164" s="196" t="s">
        <v>169</v>
      </c>
      <c r="H1164" s="196" t="s">
        <v>479</v>
      </c>
      <c r="I1164" s="66"/>
      <c r="J1164" s="239"/>
      <c r="K1164" s="234"/>
      <c r="L1164" s="239"/>
      <c r="M1164" s="239"/>
      <c r="N1164" s="239"/>
      <c r="O1164" s="239"/>
      <c r="P1164" s="239"/>
      <c r="Q1164" s="239"/>
      <c r="R1164" s="239"/>
      <c r="S1164" s="239"/>
    </row>
    <row r="1165" spans="5:19" s="293" customFormat="1" x14ac:dyDescent="0.25">
      <c r="F1165" s="196" t="s">
        <v>934</v>
      </c>
      <c r="G1165" s="196" t="s">
        <v>169</v>
      </c>
      <c r="H1165" s="196" t="s">
        <v>479</v>
      </c>
      <c r="I1165" s="66"/>
      <c r="J1165" s="239"/>
      <c r="K1165" s="234"/>
      <c r="L1165" s="239"/>
      <c r="M1165" s="239"/>
      <c r="N1165" s="239"/>
      <c r="O1165" s="239"/>
      <c r="P1165" s="239"/>
      <c r="Q1165" s="239"/>
      <c r="R1165" s="239"/>
      <c r="S1165" s="239"/>
    </row>
    <row r="1166" spans="5:19" s="293" customFormat="1" x14ac:dyDescent="0.25">
      <c r="F1166" s="196" t="s">
        <v>935</v>
      </c>
      <c r="G1166" s="196" t="s">
        <v>169</v>
      </c>
      <c r="H1166" s="196" t="s">
        <v>479</v>
      </c>
      <c r="I1166" s="66"/>
      <c r="J1166" s="239"/>
      <c r="K1166" s="234"/>
      <c r="L1166" s="239"/>
      <c r="M1166" s="239"/>
      <c r="N1166" s="239"/>
      <c r="O1166" s="239"/>
      <c r="P1166" s="239"/>
      <c r="Q1166" s="239"/>
      <c r="R1166" s="239"/>
      <c r="S1166" s="239"/>
    </row>
    <row r="1167" spans="5:19" s="293" customFormat="1" x14ac:dyDescent="0.25">
      <c r="F1167" s="196" t="s">
        <v>936</v>
      </c>
      <c r="G1167" s="196" t="s">
        <v>169</v>
      </c>
      <c r="H1167" s="196" t="s">
        <v>479</v>
      </c>
      <c r="I1167" s="66"/>
      <c r="J1167" s="239"/>
      <c r="K1167" s="234"/>
      <c r="L1167" s="239"/>
      <c r="M1167" s="239"/>
      <c r="N1167" s="239"/>
      <c r="O1167" s="239"/>
      <c r="P1167" s="239"/>
      <c r="Q1167" s="239"/>
      <c r="R1167" s="239"/>
      <c r="S1167" s="239"/>
    </row>
    <row r="1168" spans="5:19" s="293" customFormat="1" x14ac:dyDescent="0.25">
      <c r="F1168" s="196" t="s">
        <v>937</v>
      </c>
      <c r="G1168" s="196" t="s">
        <v>169</v>
      </c>
      <c r="H1168" s="196" t="s">
        <v>479</v>
      </c>
      <c r="I1168" s="66"/>
      <c r="J1168" s="239"/>
      <c r="K1168" s="234"/>
      <c r="L1168" s="239"/>
      <c r="M1168" s="239"/>
      <c r="N1168" s="239"/>
      <c r="O1168" s="239"/>
      <c r="P1168" s="239"/>
      <c r="Q1168" s="239"/>
      <c r="R1168" s="239"/>
      <c r="S1168" s="239"/>
    </row>
    <row r="1169" spans="5:19" s="293" customFormat="1" x14ac:dyDescent="0.25">
      <c r="F1169" s="196" t="s">
        <v>938</v>
      </c>
      <c r="G1169" s="196" t="s">
        <v>169</v>
      </c>
      <c r="H1169" s="196" t="s">
        <v>479</v>
      </c>
      <c r="I1169" s="66"/>
      <c r="J1169" s="239"/>
      <c r="K1169" s="234"/>
      <c r="L1169" s="239"/>
      <c r="M1169" s="239"/>
      <c r="N1169" s="239"/>
      <c r="O1169" s="239"/>
      <c r="P1169" s="239"/>
      <c r="Q1169" s="239"/>
      <c r="R1169" s="239"/>
      <c r="S1169" s="239"/>
    </row>
    <row r="1170" spans="5:19" s="293" customFormat="1" x14ac:dyDescent="0.25">
      <c r="F1170" s="196" t="s">
        <v>939</v>
      </c>
      <c r="G1170" s="196" t="s">
        <v>169</v>
      </c>
      <c r="H1170" s="196" t="s">
        <v>479</v>
      </c>
      <c r="I1170" s="66"/>
      <c r="J1170" s="239"/>
      <c r="K1170" s="234"/>
      <c r="L1170" s="239"/>
      <c r="M1170" s="239"/>
      <c r="N1170" s="239"/>
      <c r="O1170" s="239"/>
      <c r="P1170" s="239"/>
      <c r="Q1170" s="239"/>
      <c r="R1170" s="239"/>
      <c r="S1170" s="239"/>
    </row>
    <row r="1171" spans="5:19" s="293" customFormat="1" x14ac:dyDescent="0.25">
      <c r="F1171" s="196" t="s">
        <v>940</v>
      </c>
      <c r="G1171" s="196" t="s">
        <v>169</v>
      </c>
      <c r="H1171" s="196" t="s">
        <v>479</v>
      </c>
      <c r="I1171" s="66"/>
      <c r="J1171" s="239"/>
      <c r="K1171" s="234"/>
      <c r="L1171" s="239"/>
      <c r="M1171" s="239"/>
      <c r="N1171" s="239"/>
      <c r="O1171" s="239"/>
      <c r="P1171" s="239"/>
      <c r="Q1171" s="239"/>
      <c r="R1171" s="239"/>
      <c r="S1171" s="239"/>
    </row>
    <row r="1172" spans="5:19" s="293" customFormat="1" x14ac:dyDescent="0.25">
      <c r="F1172" s="93" t="s">
        <v>941</v>
      </c>
      <c r="G1172" s="93" t="s">
        <v>169</v>
      </c>
      <c r="H1172" s="93" t="s">
        <v>479</v>
      </c>
      <c r="I1172" s="145"/>
      <c r="J1172" s="240"/>
      <c r="K1172" s="236"/>
      <c r="L1172" s="240"/>
      <c r="M1172" s="240"/>
      <c r="N1172" s="240"/>
      <c r="O1172" s="240"/>
      <c r="P1172" s="240"/>
      <c r="Q1172" s="240"/>
      <c r="R1172" s="240"/>
      <c r="S1172" s="240"/>
    </row>
    <row r="1173" spans="5:19" s="293" customFormat="1" x14ac:dyDescent="0.25">
      <c r="I1173" s="111"/>
      <c r="J1173" s="237"/>
      <c r="K1173" s="237"/>
      <c r="L1173" s="237"/>
      <c r="M1173" s="237"/>
      <c r="N1173" s="237"/>
      <c r="O1173" s="237"/>
      <c r="P1173" s="237"/>
      <c r="Q1173" s="237"/>
      <c r="R1173" s="237"/>
      <c r="S1173" s="237"/>
    </row>
    <row r="1174" spans="5:19" s="293" customFormat="1" x14ac:dyDescent="0.25">
      <c r="E1174" s="144" t="s">
        <v>203</v>
      </c>
      <c r="I1174" s="111"/>
      <c r="J1174" s="237"/>
      <c r="K1174" s="237"/>
      <c r="L1174" s="237"/>
      <c r="M1174" s="237"/>
      <c r="N1174" s="237"/>
      <c r="O1174" s="237"/>
      <c r="P1174" s="237"/>
      <c r="Q1174" s="237"/>
      <c r="R1174" s="237"/>
      <c r="S1174" s="237"/>
    </row>
    <row r="1175" spans="5:19" s="293" customFormat="1" x14ac:dyDescent="0.25">
      <c r="F1175" s="91" t="s">
        <v>926</v>
      </c>
      <c r="G1175" s="91" t="s">
        <v>169</v>
      </c>
      <c r="H1175" s="91" t="s">
        <v>479</v>
      </c>
      <c r="I1175" s="112"/>
      <c r="J1175" s="238"/>
      <c r="K1175" s="232"/>
      <c r="L1175" s="238"/>
      <c r="M1175" s="238"/>
      <c r="N1175" s="238"/>
      <c r="O1175" s="238"/>
      <c r="P1175" s="238"/>
      <c r="Q1175" s="238"/>
      <c r="R1175" s="238"/>
      <c r="S1175" s="238"/>
    </row>
    <row r="1176" spans="5:19" s="293" customFormat="1" x14ac:dyDescent="0.25">
      <c r="F1176" s="196" t="s">
        <v>927</v>
      </c>
      <c r="G1176" s="196" t="s">
        <v>169</v>
      </c>
      <c r="H1176" s="196" t="s">
        <v>479</v>
      </c>
      <c r="I1176" s="66"/>
      <c r="J1176" s="239"/>
      <c r="K1176" s="234"/>
      <c r="L1176" s="239"/>
      <c r="M1176" s="239"/>
      <c r="N1176" s="239"/>
      <c r="O1176" s="239"/>
      <c r="P1176" s="239"/>
      <c r="Q1176" s="239"/>
      <c r="R1176" s="239"/>
      <c r="S1176" s="239"/>
    </row>
    <row r="1177" spans="5:19" s="293" customFormat="1" x14ac:dyDescent="0.25">
      <c r="F1177" s="196" t="s">
        <v>928</v>
      </c>
      <c r="G1177" s="196" t="s">
        <v>169</v>
      </c>
      <c r="H1177" s="196" t="s">
        <v>479</v>
      </c>
      <c r="I1177" s="66"/>
      <c r="J1177" s="239"/>
      <c r="K1177" s="234"/>
      <c r="L1177" s="239"/>
      <c r="M1177" s="239"/>
      <c r="N1177" s="239"/>
      <c r="O1177" s="239"/>
      <c r="P1177" s="239"/>
      <c r="Q1177" s="239"/>
      <c r="R1177" s="239"/>
      <c r="S1177" s="239"/>
    </row>
    <row r="1178" spans="5:19" s="293" customFormat="1" x14ac:dyDescent="0.25">
      <c r="F1178" s="196" t="s">
        <v>929</v>
      </c>
      <c r="G1178" s="196" t="s">
        <v>169</v>
      </c>
      <c r="H1178" s="196" t="s">
        <v>479</v>
      </c>
      <c r="I1178" s="66"/>
      <c r="J1178" s="239"/>
      <c r="K1178" s="234"/>
      <c r="L1178" s="239"/>
      <c r="M1178" s="239"/>
      <c r="N1178" s="239"/>
      <c r="O1178" s="239"/>
      <c r="P1178" s="239"/>
      <c r="Q1178" s="239"/>
      <c r="R1178" s="239"/>
      <c r="S1178" s="239"/>
    </row>
    <row r="1179" spans="5:19" s="293" customFormat="1" x14ac:dyDescent="0.25">
      <c r="F1179" s="196" t="s">
        <v>930</v>
      </c>
      <c r="G1179" s="196" t="s">
        <v>169</v>
      </c>
      <c r="H1179" s="196" t="s">
        <v>479</v>
      </c>
      <c r="I1179" s="66"/>
      <c r="J1179" s="233">
        <f t="shared" ref="J1179" si="115">CHOOSE(year_selection, L1179,M1179,N1179,O1179,P1179,Q1179,R1179,S1179)</f>
        <v>2.7544833600222645</v>
      </c>
      <c r="K1179" s="234"/>
      <c r="L1179" s="330"/>
      <c r="M1179" s="330"/>
      <c r="N1179" s="330"/>
      <c r="O1179" s="330">
        <v>2.7544833600222645</v>
      </c>
      <c r="P1179" s="330">
        <v>3.228372970348675</v>
      </c>
      <c r="Q1179" s="330">
        <v>3.228372970348675</v>
      </c>
      <c r="R1179" s="330">
        <v>3.4653177755118798</v>
      </c>
      <c r="S1179" s="330">
        <v>3.7022625806750851</v>
      </c>
    </row>
    <row r="1180" spans="5:19" s="293" customFormat="1" x14ac:dyDescent="0.25">
      <c r="F1180" s="196" t="s">
        <v>931</v>
      </c>
      <c r="G1180" s="196" t="s">
        <v>169</v>
      </c>
      <c r="H1180" s="196" t="s">
        <v>479</v>
      </c>
      <c r="I1180" s="66"/>
      <c r="J1180" s="239"/>
      <c r="K1180" s="234"/>
      <c r="L1180" s="239"/>
      <c r="M1180" s="239"/>
      <c r="N1180" s="239"/>
      <c r="O1180" s="239"/>
      <c r="P1180" s="239"/>
      <c r="Q1180" s="239"/>
      <c r="R1180" s="239"/>
      <c r="S1180" s="239"/>
    </row>
    <row r="1181" spans="5:19" s="293" customFormat="1" x14ac:dyDescent="0.25">
      <c r="F1181" s="196" t="s">
        <v>932</v>
      </c>
      <c r="G1181" s="196" t="s">
        <v>169</v>
      </c>
      <c r="H1181" s="196" t="s">
        <v>479</v>
      </c>
      <c r="I1181" s="66"/>
      <c r="J1181" s="239"/>
      <c r="K1181" s="234"/>
      <c r="L1181" s="239"/>
      <c r="M1181" s="239"/>
      <c r="N1181" s="239"/>
      <c r="O1181" s="239"/>
      <c r="P1181" s="239"/>
      <c r="Q1181" s="239"/>
      <c r="R1181" s="239"/>
      <c r="S1181" s="239"/>
    </row>
    <row r="1182" spans="5:19" s="293" customFormat="1" x14ac:dyDescent="0.25">
      <c r="F1182" s="196" t="s">
        <v>933</v>
      </c>
      <c r="G1182" s="196" t="s">
        <v>169</v>
      </c>
      <c r="H1182" s="196" t="s">
        <v>479</v>
      </c>
      <c r="I1182" s="66"/>
      <c r="J1182" s="239"/>
      <c r="K1182" s="234"/>
      <c r="L1182" s="239"/>
      <c r="M1182" s="239"/>
      <c r="N1182" s="239"/>
      <c r="O1182" s="239"/>
      <c r="P1182" s="239"/>
      <c r="Q1182" s="239"/>
      <c r="R1182" s="239"/>
      <c r="S1182" s="239"/>
    </row>
    <row r="1183" spans="5:19" s="293" customFormat="1" x14ac:dyDescent="0.25">
      <c r="F1183" s="196" t="s">
        <v>934</v>
      </c>
      <c r="G1183" s="196" t="s">
        <v>169</v>
      </c>
      <c r="H1183" s="196" t="s">
        <v>479</v>
      </c>
      <c r="I1183" s="66"/>
      <c r="J1183" s="239"/>
      <c r="K1183" s="234"/>
      <c r="L1183" s="239"/>
      <c r="M1183" s="239"/>
      <c r="N1183" s="239"/>
      <c r="O1183" s="239"/>
      <c r="P1183" s="239"/>
      <c r="Q1183" s="239"/>
      <c r="R1183" s="239"/>
      <c r="S1183" s="239"/>
    </row>
    <row r="1184" spans="5:19" s="293" customFormat="1" x14ac:dyDescent="0.25">
      <c r="F1184" s="196" t="s">
        <v>935</v>
      </c>
      <c r="G1184" s="196" t="s">
        <v>169</v>
      </c>
      <c r="H1184" s="196" t="s">
        <v>479</v>
      </c>
      <c r="I1184" s="66"/>
      <c r="J1184" s="239"/>
      <c r="K1184" s="234"/>
      <c r="L1184" s="239"/>
      <c r="M1184" s="239"/>
      <c r="N1184" s="239"/>
      <c r="O1184" s="239"/>
      <c r="P1184" s="239"/>
      <c r="Q1184" s="239"/>
      <c r="R1184" s="239"/>
      <c r="S1184" s="239"/>
    </row>
    <row r="1185" spans="5:19" s="293" customFormat="1" x14ac:dyDescent="0.25">
      <c r="F1185" s="196" t="s">
        <v>936</v>
      </c>
      <c r="G1185" s="196" t="s">
        <v>169</v>
      </c>
      <c r="H1185" s="196" t="s">
        <v>479</v>
      </c>
      <c r="I1185" s="66"/>
      <c r="J1185" s="239"/>
      <c r="K1185" s="234"/>
      <c r="L1185" s="239"/>
      <c r="M1185" s="239"/>
      <c r="N1185" s="239"/>
      <c r="O1185" s="239"/>
      <c r="P1185" s="239"/>
      <c r="Q1185" s="239"/>
      <c r="R1185" s="239"/>
      <c r="S1185" s="239"/>
    </row>
    <row r="1186" spans="5:19" s="293" customFormat="1" x14ac:dyDescent="0.25">
      <c r="F1186" s="196" t="s">
        <v>937</v>
      </c>
      <c r="G1186" s="196" t="s">
        <v>169</v>
      </c>
      <c r="H1186" s="196" t="s">
        <v>479</v>
      </c>
      <c r="I1186" s="66"/>
      <c r="J1186" s="239"/>
      <c r="K1186" s="234"/>
      <c r="L1186" s="239"/>
      <c r="M1186" s="239"/>
      <c r="N1186" s="239"/>
      <c r="O1186" s="239"/>
      <c r="P1186" s="239"/>
      <c r="Q1186" s="239"/>
      <c r="R1186" s="239"/>
      <c r="S1186" s="239"/>
    </row>
    <row r="1187" spans="5:19" s="293" customFormat="1" x14ac:dyDescent="0.25">
      <c r="F1187" s="196" t="s">
        <v>938</v>
      </c>
      <c r="G1187" s="196" t="s">
        <v>169</v>
      </c>
      <c r="H1187" s="196" t="s">
        <v>479</v>
      </c>
      <c r="I1187" s="66"/>
      <c r="J1187" s="239"/>
      <c r="K1187" s="234"/>
      <c r="L1187" s="239"/>
      <c r="M1187" s="239"/>
      <c r="N1187" s="239"/>
      <c r="O1187" s="239"/>
      <c r="P1187" s="239"/>
      <c r="Q1187" s="239"/>
      <c r="R1187" s="239"/>
      <c r="S1187" s="239"/>
    </row>
    <row r="1188" spans="5:19" s="293" customFormat="1" x14ac:dyDescent="0.25">
      <c r="F1188" s="196" t="s">
        <v>939</v>
      </c>
      <c r="G1188" s="196" t="s">
        <v>169</v>
      </c>
      <c r="H1188" s="196" t="s">
        <v>479</v>
      </c>
      <c r="I1188" s="66"/>
      <c r="J1188" s="239"/>
      <c r="K1188" s="234"/>
      <c r="L1188" s="239"/>
      <c r="M1188" s="239"/>
      <c r="N1188" s="239"/>
      <c r="O1188" s="239"/>
      <c r="P1188" s="239"/>
      <c r="Q1188" s="239"/>
      <c r="R1188" s="239"/>
      <c r="S1188" s="239"/>
    </row>
    <row r="1189" spans="5:19" s="293" customFormat="1" x14ac:dyDescent="0.25">
      <c r="F1189" s="196" t="s">
        <v>940</v>
      </c>
      <c r="G1189" s="196" t="s">
        <v>169</v>
      </c>
      <c r="H1189" s="196" t="s">
        <v>479</v>
      </c>
      <c r="I1189" s="66"/>
      <c r="J1189" s="239"/>
      <c r="K1189" s="234"/>
      <c r="L1189" s="239"/>
      <c r="M1189" s="239"/>
      <c r="N1189" s="239"/>
      <c r="O1189" s="239"/>
      <c r="P1189" s="239"/>
      <c r="Q1189" s="239"/>
      <c r="R1189" s="239"/>
      <c r="S1189" s="239"/>
    </row>
    <row r="1190" spans="5:19" s="293" customFormat="1" x14ac:dyDescent="0.25">
      <c r="F1190" s="93" t="s">
        <v>941</v>
      </c>
      <c r="G1190" s="93" t="s">
        <v>169</v>
      </c>
      <c r="H1190" s="93" t="s">
        <v>479</v>
      </c>
      <c r="I1190" s="145"/>
      <c r="J1190" s="240"/>
      <c r="K1190" s="236"/>
      <c r="L1190" s="240"/>
      <c r="M1190" s="240"/>
      <c r="N1190" s="240"/>
      <c r="O1190" s="240"/>
      <c r="P1190" s="240"/>
      <c r="Q1190" s="240"/>
      <c r="R1190" s="240"/>
      <c r="S1190" s="240"/>
    </row>
    <row r="1191" spans="5:19" s="293" customFormat="1" x14ac:dyDescent="0.25">
      <c r="I1191" s="111"/>
      <c r="J1191" s="237"/>
      <c r="K1191" s="237"/>
      <c r="L1191" s="237"/>
      <c r="M1191" s="237"/>
      <c r="N1191" s="237"/>
      <c r="O1191" s="237"/>
      <c r="P1191" s="237"/>
      <c r="Q1191" s="237"/>
      <c r="R1191" s="237"/>
      <c r="S1191" s="237"/>
    </row>
    <row r="1192" spans="5:19" s="293" customFormat="1" x14ac:dyDescent="0.25">
      <c r="E1192" s="144" t="s">
        <v>204</v>
      </c>
      <c r="I1192" s="111"/>
      <c r="J1192" s="237"/>
      <c r="K1192" s="237"/>
      <c r="L1192" s="237"/>
      <c r="M1192" s="237"/>
      <c r="N1192" s="237"/>
      <c r="O1192" s="237"/>
      <c r="P1192" s="237"/>
      <c r="Q1192" s="237"/>
      <c r="R1192" s="237"/>
      <c r="S1192" s="237"/>
    </row>
    <row r="1193" spans="5:19" s="293" customFormat="1" x14ac:dyDescent="0.25">
      <c r="F1193" s="91" t="s">
        <v>926</v>
      </c>
      <c r="G1193" s="91" t="s">
        <v>170</v>
      </c>
      <c r="H1193" s="91" t="s">
        <v>479</v>
      </c>
      <c r="I1193" s="112"/>
      <c r="J1193" s="238"/>
      <c r="K1193" s="232"/>
      <c r="L1193" s="238"/>
      <c r="M1193" s="238"/>
      <c r="N1193" s="238"/>
      <c r="O1193" s="238"/>
      <c r="P1193" s="238"/>
      <c r="Q1193" s="238"/>
      <c r="R1193" s="238"/>
      <c r="S1193" s="238"/>
    </row>
    <row r="1194" spans="5:19" s="293" customFormat="1" x14ac:dyDescent="0.25">
      <c r="F1194" s="196" t="s">
        <v>927</v>
      </c>
      <c r="G1194" s="196" t="s">
        <v>170</v>
      </c>
      <c r="H1194" s="196" t="s">
        <v>479</v>
      </c>
      <c r="I1194" s="66"/>
      <c r="J1194" s="239"/>
      <c r="K1194" s="234"/>
      <c r="L1194" s="239"/>
      <c r="M1194" s="239"/>
      <c r="N1194" s="239"/>
      <c r="O1194" s="239"/>
      <c r="P1194" s="239"/>
      <c r="Q1194" s="239"/>
      <c r="R1194" s="239"/>
      <c r="S1194" s="239"/>
    </row>
    <row r="1195" spans="5:19" s="293" customFormat="1" x14ac:dyDescent="0.25">
      <c r="F1195" s="196" t="s">
        <v>928</v>
      </c>
      <c r="G1195" s="196" t="s">
        <v>170</v>
      </c>
      <c r="H1195" s="196" t="s">
        <v>479</v>
      </c>
      <c r="I1195" s="66"/>
      <c r="J1195" s="239"/>
      <c r="K1195" s="234"/>
      <c r="L1195" s="239"/>
      <c r="M1195" s="239"/>
      <c r="N1195" s="239"/>
      <c r="O1195" s="239"/>
      <c r="P1195" s="239"/>
      <c r="Q1195" s="239"/>
      <c r="R1195" s="239"/>
      <c r="S1195" s="239"/>
    </row>
    <row r="1196" spans="5:19" s="293" customFormat="1" x14ac:dyDescent="0.25">
      <c r="F1196" s="196" t="s">
        <v>929</v>
      </c>
      <c r="G1196" s="196" t="s">
        <v>170</v>
      </c>
      <c r="H1196" s="196" t="s">
        <v>479</v>
      </c>
      <c r="I1196" s="66"/>
      <c r="J1196" s="239"/>
      <c r="K1196" s="234"/>
      <c r="L1196" s="239"/>
      <c r="M1196" s="239"/>
      <c r="N1196" s="239"/>
      <c r="O1196" s="239"/>
      <c r="P1196" s="239"/>
      <c r="Q1196" s="239"/>
      <c r="R1196" s="239"/>
      <c r="S1196" s="239"/>
    </row>
    <row r="1197" spans="5:19" s="293" customFormat="1" x14ac:dyDescent="0.25">
      <c r="F1197" s="196" t="s">
        <v>930</v>
      </c>
      <c r="G1197" s="196" t="s">
        <v>170</v>
      </c>
      <c r="H1197" s="196" t="s">
        <v>479</v>
      </c>
      <c r="I1197" s="66"/>
      <c r="J1197" s="233">
        <f t="shared" ref="J1197" si="116">CHOOSE(year_selection, L1197,M1197,N1197,O1197,P1197,Q1197,R1197,S1197)</f>
        <v>292.18497990793986</v>
      </c>
      <c r="K1197" s="234"/>
      <c r="L1197" s="330"/>
      <c r="M1197" s="330"/>
      <c r="N1197" s="330"/>
      <c r="O1197" s="330">
        <v>292.18497990793986</v>
      </c>
      <c r="P1197" s="330">
        <v>317.26285168430388</v>
      </c>
      <c r="Q1197" s="330">
        <v>317.26285168430388</v>
      </c>
      <c r="R1197" s="330">
        <v>342.34072346066796</v>
      </c>
      <c r="S1197" s="330">
        <v>367.41859523703204</v>
      </c>
    </row>
    <row r="1198" spans="5:19" s="293" customFormat="1" x14ac:dyDescent="0.25">
      <c r="F1198" s="196" t="s">
        <v>931</v>
      </c>
      <c r="G1198" s="196" t="s">
        <v>170</v>
      </c>
      <c r="H1198" s="196" t="s">
        <v>479</v>
      </c>
      <c r="I1198" s="66"/>
      <c r="J1198" s="239"/>
      <c r="K1198" s="234"/>
      <c r="L1198" s="239"/>
      <c r="M1198" s="239"/>
      <c r="N1198" s="239"/>
      <c r="O1198" s="239"/>
      <c r="P1198" s="239"/>
      <c r="Q1198" s="239"/>
      <c r="R1198" s="239"/>
      <c r="S1198" s="239"/>
    </row>
    <row r="1199" spans="5:19" s="293" customFormat="1" x14ac:dyDescent="0.25">
      <c r="F1199" s="196" t="s">
        <v>932</v>
      </c>
      <c r="G1199" s="196" t="s">
        <v>170</v>
      </c>
      <c r="H1199" s="196" t="s">
        <v>479</v>
      </c>
      <c r="I1199" s="66"/>
      <c r="J1199" s="239"/>
      <c r="K1199" s="234"/>
      <c r="L1199" s="239"/>
      <c r="M1199" s="239"/>
      <c r="N1199" s="239"/>
      <c r="O1199" s="239"/>
      <c r="P1199" s="239"/>
      <c r="Q1199" s="239"/>
      <c r="R1199" s="239"/>
      <c r="S1199" s="239"/>
    </row>
    <row r="1200" spans="5:19" s="293" customFormat="1" x14ac:dyDescent="0.25">
      <c r="F1200" s="196" t="s">
        <v>933</v>
      </c>
      <c r="G1200" s="196" t="s">
        <v>170</v>
      </c>
      <c r="H1200" s="196" t="s">
        <v>479</v>
      </c>
      <c r="I1200" s="66"/>
      <c r="J1200" s="239"/>
      <c r="K1200" s="234"/>
      <c r="L1200" s="239"/>
      <c r="M1200" s="239"/>
      <c r="N1200" s="239"/>
      <c r="O1200" s="239"/>
      <c r="P1200" s="239"/>
      <c r="Q1200" s="239"/>
      <c r="R1200" s="239"/>
      <c r="S1200" s="239"/>
    </row>
    <row r="1201" spans="3:21" s="293" customFormat="1" x14ac:dyDescent="0.25">
      <c r="F1201" s="196" t="s">
        <v>934</v>
      </c>
      <c r="G1201" s="196" t="s">
        <v>170</v>
      </c>
      <c r="H1201" s="196" t="s">
        <v>479</v>
      </c>
      <c r="I1201" s="66"/>
      <c r="J1201" s="239"/>
      <c r="K1201" s="234"/>
      <c r="L1201" s="239"/>
      <c r="M1201" s="239"/>
      <c r="N1201" s="239"/>
      <c r="O1201" s="239"/>
      <c r="P1201" s="239"/>
      <c r="Q1201" s="239"/>
      <c r="R1201" s="239"/>
      <c r="S1201" s="239"/>
    </row>
    <row r="1202" spans="3:21" s="293" customFormat="1" x14ac:dyDescent="0.25">
      <c r="F1202" s="196" t="s">
        <v>935</v>
      </c>
      <c r="G1202" s="196" t="s">
        <v>170</v>
      </c>
      <c r="H1202" s="196" t="s">
        <v>479</v>
      </c>
      <c r="I1202" s="66"/>
      <c r="J1202" s="239"/>
      <c r="K1202" s="234"/>
      <c r="L1202" s="239"/>
      <c r="M1202" s="239"/>
      <c r="N1202" s="239"/>
      <c r="O1202" s="239"/>
      <c r="P1202" s="239"/>
      <c r="Q1202" s="239"/>
      <c r="R1202" s="239"/>
      <c r="S1202" s="239"/>
    </row>
    <row r="1203" spans="3:21" s="293" customFormat="1" x14ac:dyDescent="0.25">
      <c r="F1203" s="196" t="s">
        <v>936</v>
      </c>
      <c r="G1203" s="196" t="s">
        <v>170</v>
      </c>
      <c r="H1203" s="196" t="s">
        <v>479</v>
      </c>
      <c r="I1203" s="66"/>
      <c r="J1203" s="239"/>
      <c r="K1203" s="234"/>
      <c r="L1203" s="239"/>
      <c r="M1203" s="239"/>
      <c r="N1203" s="239"/>
      <c r="O1203" s="239"/>
      <c r="P1203" s="239"/>
      <c r="Q1203" s="239"/>
      <c r="R1203" s="239"/>
      <c r="S1203" s="239"/>
    </row>
    <row r="1204" spans="3:21" s="293" customFormat="1" x14ac:dyDescent="0.25">
      <c r="F1204" s="196" t="s">
        <v>937</v>
      </c>
      <c r="G1204" s="196" t="s">
        <v>170</v>
      </c>
      <c r="H1204" s="196" t="s">
        <v>479</v>
      </c>
      <c r="I1204" s="66"/>
      <c r="J1204" s="239"/>
      <c r="K1204" s="234"/>
      <c r="L1204" s="239"/>
      <c r="M1204" s="239"/>
      <c r="N1204" s="239"/>
      <c r="O1204" s="239"/>
      <c r="P1204" s="239"/>
      <c r="Q1204" s="239"/>
      <c r="R1204" s="239"/>
      <c r="S1204" s="239"/>
    </row>
    <row r="1205" spans="3:21" s="293" customFormat="1" x14ac:dyDescent="0.25">
      <c r="F1205" s="196" t="s">
        <v>938</v>
      </c>
      <c r="G1205" s="196" t="s">
        <v>170</v>
      </c>
      <c r="H1205" s="196" t="s">
        <v>479</v>
      </c>
      <c r="I1205" s="66"/>
      <c r="J1205" s="239"/>
      <c r="K1205" s="234"/>
      <c r="L1205" s="239"/>
      <c r="M1205" s="239"/>
      <c r="N1205" s="239"/>
      <c r="O1205" s="239"/>
      <c r="P1205" s="239"/>
      <c r="Q1205" s="239"/>
      <c r="R1205" s="239"/>
      <c r="S1205" s="239"/>
    </row>
    <row r="1206" spans="3:21" s="293" customFormat="1" x14ac:dyDescent="0.25">
      <c r="F1206" s="196" t="s">
        <v>939</v>
      </c>
      <c r="G1206" s="196" t="s">
        <v>170</v>
      </c>
      <c r="H1206" s="196" t="s">
        <v>479</v>
      </c>
      <c r="I1206" s="66"/>
      <c r="J1206" s="239"/>
      <c r="K1206" s="234"/>
      <c r="L1206" s="239"/>
      <c r="M1206" s="239"/>
      <c r="N1206" s="239"/>
      <c r="O1206" s="239"/>
      <c r="P1206" s="239"/>
      <c r="Q1206" s="239"/>
      <c r="R1206" s="239"/>
      <c r="S1206" s="239"/>
    </row>
    <row r="1207" spans="3:21" s="293" customFormat="1" x14ac:dyDescent="0.25">
      <c r="F1207" s="196" t="s">
        <v>940</v>
      </c>
      <c r="G1207" s="196" t="s">
        <v>170</v>
      </c>
      <c r="H1207" s="196" t="s">
        <v>479</v>
      </c>
      <c r="I1207" s="66"/>
      <c r="J1207" s="239"/>
      <c r="K1207" s="234"/>
      <c r="L1207" s="239"/>
      <c r="M1207" s="239"/>
      <c r="N1207" s="239"/>
      <c r="O1207" s="239"/>
      <c r="P1207" s="239"/>
      <c r="Q1207" s="239"/>
      <c r="R1207" s="239"/>
      <c r="S1207" s="239"/>
    </row>
    <row r="1208" spans="3:21" s="293" customFormat="1" x14ac:dyDescent="0.25">
      <c r="F1208" s="93" t="s">
        <v>941</v>
      </c>
      <c r="G1208" s="93" t="s">
        <v>170</v>
      </c>
      <c r="H1208" s="93" t="s">
        <v>479</v>
      </c>
      <c r="I1208" s="145"/>
      <c r="J1208" s="240"/>
      <c r="K1208" s="236"/>
      <c r="L1208" s="240"/>
      <c r="M1208" s="240"/>
      <c r="N1208" s="240"/>
      <c r="O1208" s="240"/>
      <c r="P1208" s="240"/>
      <c r="Q1208" s="240"/>
      <c r="R1208" s="240"/>
      <c r="S1208" s="240"/>
    </row>
    <row r="1209" spans="3:21" s="293" customFormat="1" x14ac:dyDescent="0.25">
      <c r="I1209" s="111"/>
      <c r="J1209" s="237"/>
      <c r="K1209" s="237"/>
      <c r="L1209" s="237"/>
      <c r="M1209" s="237"/>
      <c r="N1209" s="237"/>
      <c r="O1209" s="237"/>
      <c r="P1209" s="237"/>
      <c r="Q1209" s="237"/>
      <c r="R1209" s="237"/>
      <c r="S1209" s="237"/>
    </row>
    <row r="1210" spans="3:21" s="293" customFormat="1" x14ac:dyDescent="0.25">
      <c r="C1210" s="7" t="str">
        <f ca="1">INDEX('Version control'!$H$35:$H$61,MATCH($A$1,'Version control'!$F$35:$F$61,0),1)&amp;"-L: LDNO LV volumes - Residual band 4"</f>
        <v>Input 501-L: LDNO LV volumes - Residual band 4</v>
      </c>
      <c r="D1210" s="7"/>
      <c r="E1210" s="7"/>
      <c r="F1210" s="7"/>
      <c r="G1210" s="7"/>
      <c r="H1210" s="7"/>
      <c r="I1210" s="171"/>
      <c r="J1210" s="7"/>
      <c r="K1210" s="7"/>
      <c r="L1210" s="7"/>
      <c r="M1210" s="7"/>
      <c r="N1210" s="7"/>
      <c r="O1210" s="7"/>
      <c r="P1210" s="7"/>
      <c r="Q1210" s="7"/>
      <c r="R1210" s="7"/>
      <c r="S1210" s="7"/>
      <c r="T1210" s="7"/>
      <c r="U1210" s="7"/>
    </row>
    <row r="1211" spans="3:21" s="293" customFormat="1" x14ac:dyDescent="0.25">
      <c r="D1211" s="96"/>
      <c r="I1211" s="111"/>
    </row>
    <row r="1212" spans="3:21" s="293" customFormat="1" x14ac:dyDescent="0.25">
      <c r="E1212" s="144" t="s">
        <v>199</v>
      </c>
      <c r="I1212" s="111" t="s">
        <v>359</v>
      </c>
      <c r="U1212" s="293" t="s">
        <v>692</v>
      </c>
    </row>
    <row r="1213" spans="3:21" s="293" customFormat="1" x14ac:dyDescent="0.25">
      <c r="F1213" s="91" t="s">
        <v>926</v>
      </c>
      <c r="G1213" s="91" t="s">
        <v>120</v>
      </c>
      <c r="H1213" s="91" t="s">
        <v>479</v>
      </c>
      <c r="I1213" s="112"/>
      <c r="J1213" s="238"/>
      <c r="K1213" s="232"/>
      <c r="L1213" s="238"/>
      <c r="M1213" s="238"/>
      <c r="N1213" s="238"/>
      <c r="O1213" s="238"/>
      <c r="P1213" s="238"/>
      <c r="Q1213" s="238"/>
      <c r="R1213" s="238"/>
      <c r="S1213" s="238"/>
    </row>
    <row r="1214" spans="3:21" s="293" customFormat="1" x14ac:dyDescent="0.25">
      <c r="F1214" s="196" t="s">
        <v>927</v>
      </c>
      <c r="G1214" s="196" t="s">
        <v>120</v>
      </c>
      <c r="H1214" s="196" t="s">
        <v>479</v>
      </c>
      <c r="I1214" s="66"/>
      <c r="J1214" s="239"/>
      <c r="K1214" s="234"/>
      <c r="L1214" s="239"/>
      <c r="M1214" s="239"/>
      <c r="N1214" s="239"/>
      <c r="O1214" s="239"/>
      <c r="P1214" s="239"/>
      <c r="Q1214" s="239"/>
      <c r="R1214" s="239"/>
      <c r="S1214" s="239"/>
    </row>
    <row r="1215" spans="3:21" s="293" customFormat="1" x14ac:dyDescent="0.25">
      <c r="F1215" s="196" t="s">
        <v>928</v>
      </c>
      <c r="G1215" s="196" t="s">
        <v>120</v>
      </c>
      <c r="H1215" s="196" t="s">
        <v>479</v>
      </c>
      <c r="I1215" s="66"/>
      <c r="J1215" s="233">
        <f t="shared" ref="J1215" si="117">CHOOSE(year_selection, L1215,M1215,N1215,O1215,P1215,Q1215,R1215,S1215)</f>
        <v>282.29158270378559</v>
      </c>
      <c r="K1215" s="234"/>
      <c r="L1215" s="330"/>
      <c r="M1215" s="330"/>
      <c r="N1215" s="330"/>
      <c r="O1215" s="330">
        <v>282.29158270378559</v>
      </c>
      <c r="P1215" s="330">
        <v>302.46427759158468</v>
      </c>
      <c r="Q1215" s="330">
        <v>314.81609367132535</v>
      </c>
      <c r="R1215" s="330">
        <v>324.25919567040336</v>
      </c>
      <c r="S1215" s="330">
        <v>333.70229766948137</v>
      </c>
    </row>
    <row r="1216" spans="3:21" s="293" customFormat="1" x14ac:dyDescent="0.25">
      <c r="F1216" s="196" t="s">
        <v>929</v>
      </c>
      <c r="G1216" s="196" t="s">
        <v>120</v>
      </c>
      <c r="H1216" s="196" t="s">
        <v>479</v>
      </c>
      <c r="I1216" s="66"/>
      <c r="J1216" s="239"/>
      <c r="K1216" s="234"/>
      <c r="L1216" s="239"/>
      <c r="M1216" s="239"/>
      <c r="N1216" s="239"/>
      <c r="O1216" s="239"/>
      <c r="P1216" s="239"/>
      <c r="Q1216" s="239"/>
      <c r="R1216" s="239"/>
      <c r="S1216" s="239"/>
    </row>
    <row r="1217" spans="5:19" s="293" customFormat="1" x14ac:dyDescent="0.25">
      <c r="F1217" s="196" t="s">
        <v>930</v>
      </c>
      <c r="G1217" s="196" t="s">
        <v>120</v>
      </c>
      <c r="H1217" s="196" t="s">
        <v>479</v>
      </c>
      <c r="I1217" s="66"/>
      <c r="J1217" s="233">
        <f t="shared" ref="J1217" si="118">CHOOSE(year_selection, L1217,M1217,N1217,O1217,P1217,Q1217,R1217,S1217)</f>
        <v>798.45764041685936</v>
      </c>
      <c r="K1217" s="234"/>
      <c r="L1217" s="330"/>
      <c r="M1217" s="330"/>
      <c r="N1217" s="330"/>
      <c r="O1217" s="330">
        <v>798.45764041685936</v>
      </c>
      <c r="P1217" s="330">
        <v>816.78862617033815</v>
      </c>
      <c r="Q1217" s="330">
        <v>881.34574122158506</v>
      </c>
      <c r="R1217" s="330">
        <v>945.90285627283208</v>
      </c>
      <c r="S1217" s="330">
        <v>1010.4599713240792</v>
      </c>
    </row>
    <row r="1218" spans="5:19" s="293" customFormat="1" x14ac:dyDescent="0.25">
      <c r="F1218" s="196" t="s">
        <v>931</v>
      </c>
      <c r="G1218" s="196" t="s">
        <v>120</v>
      </c>
      <c r="H1218" s="196" t="s">
        <v>479</v>
      </c>
      <c r="I1218" s="66"/>
      <c r="J1218" s="239"/>
      <c r="K1218" s="234"/>
      <c r="L1218" s="239"/>
      <c r="M1218" s="239"/>
      <c r="N1218" s="239"/>
      <c r="O1218" s="239"/>
      <c r="P1218" s="239"/>
      <c r="Q1218" s="239"/>
      <c r="R1218" s="239"/>
      <c r="S1218" s="239"/>
    </row>
    <row r="1219" spans="5:19" s="293" customFormat="1" x14ac:dyDescent="0.25">
      <c r="F1219" s="196" t="s">
        <v>932</v>
      </c>
      <c r="G1219" s="196" t="s">
        <v>120</v>
      </c>
      <c r="H1219" s="196" t="s">
        <v>479</v>
      </c>
      <c r="I1219" s="66"/>
      <c r="J1219" s="239"/>
      <c r="K1219" s="234"/>
      <c r="L1219" s="239"/>
      <c r="M1219" s="239"/>
      <c r="N1219" s="239"/>
      <c r="O1219" s="239"/>
      <c r="P1219" s="239"/>
      <c r="Q1219" s="239"/>
      <c r="R1219" s="239"/>
      <c r="S1219" s="239"/>
    </row>
    <row r="1220" spans="5:19" s="293" customFormat="1" x14ac:dyDescent="0.25">
      <c r="F1220" s="196" t="s">
        <v>933</v>
      </c>
      <c r="G1220" s="196" t="s">
        <v>120</v>
      </c>
      <c r="H1220" s="196" t="s">
        <v>479</v>
      </c>
      <c r="I1220" s="66"/>
      <c r="J1220" s="239"/>
      <c r="K1220" s="234"/>
      <c r="L1220" s="239"/>
      <c r="M1220" s="239"/>
      <c r="N1220" s="239"/>
      <c r="O1220" s="239"/>
      <c r="P1220" s="239"/>
      <c r="Q1220" s="239"/>
      <c r="R1220" s="239"/>
      <c r="S1220" s="239"/>
    </row>
    <row r="1221" spans="5:19" s="293" customFormat="1" x14ac:dyDescent="0.25">
      <c r="F1221" s="196" t="s">
        <v>934</v>
      </c>
      <c r="G1221" s="196" t="s">
        <v>120</v>
      </c>
      <c r="H1221" s="196" t="s">
        <v>479</v>
      </c>
      <c r="I1221" s="66"/>
      <c r="J1221" s="239"/>
      <c r="K1221" s="234"/>
      <c r="L1221" s="239"/>
      <c r="M1221" s="239"/>
      <c r="N1221" s="239"/>
      <c r="O1221" s="239"/>
      <c r="P1221" s="239"/>
      <c r="Q1221" s="239"/>
      <c r="R1221" s="239"/>
      <c r="S1221" s="239"/>
    </row>
    <row r="1222" spans="5:19" s="293" customFormat="1" x14ac:dyDescent="0.25">
      <c r="F1222" s="196" t="s">
        <v>935</v>
      </c>
      <c r="G1222" s="196" t="s">
        <v>120</v>
      </c>
      <c r="H1222" s="196" t="s">
        <v>479</v>
      </c>
      <c r="I1222" s="66"/>
      <c r="J1222" s="239"/>
      <c r="K1222" s="234"/>
      <c r="L1222" s="239"/>
      <c r="M1222" s="239"/>
      <c r="N1222" s="239"/>
      <c r="O1222" s="239"/>
      <c r="P1222" s="239"/>
      <c r="Q1222" s="239"/>
      <c r="R1222" s="239"/>
      <c r="S1222" s="239"/>
    </row>
    <row r="1223" spans="5:19" s="293" customFormat="1" x14ac:dyDescent="0.25">
      <c r="F1223" s="196" t="s">
        <v>936</v>
      </c>
      <c r="G1223" s="196" t="s">
        <v>120</v>
      </c>
      <c r="H1223" s="196" t="s">
        <v>479</v>
      </c>
      <c r="I1223" s="66"/>
      <c r="J1223" s="239"/>
      <c r="K1223" s="234"/>
      <c r="L1223" s="239"/>
      <c r="M1223" s="239"/>
      <c r="N1223" s="239"/>
      <c r="O1223" s="239"/>
      <c r="P1223" s="239"/>
      <c r="Q1223" s="239"/>
      <c r="R1223" s="239"/>
      <c r="S1223" s="239"/>
    </row>
    <row r="1224" spans="5:19" s="293" customFormat="1" x14ac:dyDescent="0.25">
      <c r="F1224" s="196" t="s">
        <v>937</v>
      </c>
      <c r="G1224" s="196" t="s">
        <v>120</v>
      </c>
      <c r="H1224" s="196" t="s">
        <v>479</v>
      </c>
      <c r="I1224" s="66"/>
      <c r="J1224" s="239"/>
      <c r="K1224" s="234"/>
      <c r="L1224" s="239"/>
      <c r="M1224" s="239"/>
      <c r="N1224" s="239"/>
      <c r="O1224" s="239"/>
      <c r="P1224" s="239"/>
      <c r="Q1224" s="239"/>
      <c r="R1224" s="239"/>
      <c r="S1224" s="239"/>
    </row>
    <row r="1225" spans="5:19" s="293" customFormat="1" x14ac:dyDescent="0.25">
      <c r="F1225" s="196" t="s">
        <v>938</v>
      </c>
      <c r="G1225" s="196" t="s">
        <v>120</v>
      </c>
      <c r="H1225" s="196" t="s">
        <v>479</v>
      </c>
      <c r="I1225" s="66"/>
      <c r="J1225" s="239"/>
      <c r="K1225" s="234"/>
      <c r="L1225" s="239"/>
      <c r="M1225" s="239"/>
      <c r="N1225" s="239"/>
      <c r="O1225" s="239"/>
      <c r="P1225" s="239"/>
      <c r="Q1225" s="239"/>
      <c r="R1225" s="239"/>
      <c r="S1225" s="239"/>
    </row>
    <row r="1226" spans="5:19" s="293" customFormat="1" x14ac:dyDescent="0.25">
      <c r="F1226" s="196" t="s">
        <v>939</v>
      </c>
      <c r="G1226" s="196" t="s">
        <v>120</v>
      </c>
      <c r="H1226" s="196" t="s">
        <v>479</v>
      </c>
      <c r="I1226" s="66"/>
      <c r="J1226" s="239"/>
      <c r="K1226" s="234"/>
      <c r="L1226" s="239"/>
      <c r="M1226" s="239"/>
      <c r="N1226" s="239"/>
      <c r="O1226" s="239"/>
      <c r="P1226" s="239"/>
      <c r="Q1226" s="239"/>
      <c r="R1226" s="239"/>
      <c r="S1226" s="239"/>
    </row>
    <row r="1227" spans="5:19" s="293" customFormat="1" x14ac:dyDescent="0.25">
      <c r="F1227" s="196" t="s">
        <v>940</v>
      </c>
      <c r="G1227" s="196" t="s">
        <v>120</v>
      </c>
      <c r="H1227" s="196" t="s">
        <v>479</v>
      </c>
      <c r="I1227" s="66"/>
      <c r="J1227" s="239"/>
      <c r="K1227" s="234"/>
      <c r="L1227" s="239"/>
      <c r="M1227" s="239"/>
      <c r="N1227" s="239"/>
      <c r="O1227" s="239"/>
      <c r="P1227" s="239"/>
      <c r="Q1227" s="239"/>
      <c r="R1227" s="239"/>
      <c r="S1227" s="239"/>
    </row>
    <row r="1228" spans="5:19" s="293" customFormat="1" x14ac:dyDescent="0.25">
      <c r="F1228" s="93" t="s">
        <v>941</v>
      </c>
      <c r="G1228" s="93" t="s">
        <v>120</v>
      </c>
      <c r="H1228" s="93" t="s">
        <v>479</v>
      </c>
      <c r="I1228" s="145"/>
      <c r="J1228" s="240"/>
      <c r="K1228" s="236"/>
      <c r="L1228" s="240"/>
      <c r="M1228" s="240"/>
      <c r="N1228" s="240"/>
      <c r="O1228" s="240"/>
      <c r="P1228" s="240"/>
      <c r="Q1228" s="240"/>
      <c r="R1228" s="240"/>
      <c r="S1228" s="240"/>
    </row>
    <row r="1229" spans="5:19" s="293" customFormat="1" x14ac:dyDescent="0.25">
      <c r="I1229" s="111"/>
      <c r="J1229" s="237"/>
      <c r="K1229" s="237"/>
      <c r="L1229" s="237"/>
      <c r="M1229" s="237"/>
      <c r="N1229" s="237"/>
      <c r="O1229" s="237"/>
      <c r="P1229" s="237"/>
      <c r="Q1229" s="237"/>
      <c r="R1229" s="237"/>
      <c r="S1229" s="237"/>
    </row>
    <row r="1230" spans="5:19" s="293" customFormat="1" x14ac:dyDescent="0.25">
      <c r="E1230" s="144" t="s">
        <v>200</v>
      </c>
      <c r="I1230" s="111"/>
      <c r="J1230" s="237"/>
      <c r="K1230" s="237"/>
      <c r="L1230" s="237"/>
      <c r="M1230" s="237"/>
      <c r="N1230" s="237"/>
      <c r="O1230" s="237"/>
      <c r="P1230" s="237"/>
      <c r="Q1230" s="237"/>
      <c r="R1230" s="237"/>
      <c r="S1230" s="237"/>
    </row>
    <row r="1231" spans="5:19" s="293" customFormat="1" x14ac:dyDescent="0.25">
      <c r="F1231" s="91" t="s">
        <v>926</v>
      </c>
      <c r="G1231" s="91" t="s">
        <v>120</v>
      </c>
      <c r="H1231" s="91" t="s">
        <v>479</v>
      </c>
      <c r="I1231" s="112"/>
      <c r="J1231" s="238"/>
      <c r="K1231" s="232"/>
      <c r="L1231" s="238"/>
      <c r="M1231" s="238"/>
      <c r="N1231" s="238"/>
      <c r="O1231" s="238"/>
      <c r="P1231" s="238"/>
      <c r="Q1231" s="238"/>
      <c r="R1231" s="238"/>
      <c r="S1231" s="238"/>
    </row>
    <row r="1232" spans="5:19" s="293" customFormat="1" x14ac:dyDescent="0.25">
      <c r="F1232" s="196" t="s">
        <v>927</v>
      </c>
      <c r="G1232" s="196" t="s">
        <v>120</v>
      </c>
      <c r="H1232" s="196" t="s">
        <v>479</v>
      </c>
      <c r="I1232" s="66"/>
      <c r="J1232" s="239"/>
      <c r="K1232" s="234"/>
      <c r="L1232" s="239"/>
      <c r="M1232" s="239"/>
      <c r="N1232" s="239"/>
      <c r="O1232" s="239"/>
      <c r="P1232" s="239"/>
      <c r="Q1232" s="239"/>
      <c r="R1232" s="239"/>
      <c r="S1232" s="239"/>
    </row>
    <row r="1233" spans="5:19" s="293" customFormat="1" x14ac:dyDescent="0.25">
      <c r="F1233" s="196" t="s">
        <v>928</v>
      </c>
      <c r="G1233" s="196" t="s">
        <v>120</v>
      </c>
      <c r="H1233" s="196" t="s">
        <v>479</v>
      </c>
      <c r="I1233" s="66"/>
      <c r="J1233" s="233">
        <f t="shared" ref="J1233" si="119">CHOOSE(year_selection, L1233,M1233,N1233,O1233,P1233,Q1233,R1233,S1233)</f>
        <v>1792.7022558570684</v>
      </c>
      <c r="K1233" s="234"/>
      <c r="L1233" s="330"/>
      <c r="M1233" s="330"/>
      <c r="N1233" s="330"/>
      <c r="O1233" s="330">
        <v>1792.7022558570684</v>
      </c>
      <c r="P1233" s="330">
        <v>1925.23264756718</v>
      </c>
      <c r="Q1233" s="330">
        <v>2005.6294181144183</v>
      </c>
      <c r="R1233" s="330">
        <v>2066.2709784724548</v>
      </c>
      <c r="S1233" s="330">
        <v>2126.9125388304906</v>
      </c>
    </row>
    <row r="1234" spans="5:19" s="293" customFormat="1" x14ac:dyDescent="0.25">
      <c r="F1234" s="196" t="s">
        <v>929</v>
      </c>
      <c r="G1234" s="196" t="s">
        <v>120</v>
      </c>
      <c r="H1234" s="196" t="s">
        <v>479</v>
      </c>
      <c r="I1234" s="66"/>
      <c r="J1234" s="239"/>
      <c r="K1234" s="234"/>
      <c r="L1234" s="239"/>
      <c r="M1234" s="239"/>
      <c r="N1234" s="239"/>
      <c r="O1234" s="239"/>
      <c r="P1234" s="239"/>
      <c r="Q1234" s="239"/>
      <c r="R1234" s="239"/>
      <c r="S1234" s="239"/>
    </row>
    <row r="1235" spans="5:19" s="293" customFormat="1" x14ac:dyDescent="0.25">
      <c r="F1235" s="196" t="s">
        <v>930</v>
      </c>
      <c r="G1235" s="196" t="s">
        <v>120</v>
      </c>
      <c r="H1235" s="196" t="s">
        <v>479</v>
      </c>
      <c r="I1235" s="66"/>
      <c r="J1235" s="233">
        <f t="shared" ref="J1235" si="120">CHOOSE(year_selection, L1235,M1235,N1235,O1235,P1235,Q1235,R1235,S1235)</f>
        <v>4678.3457020317728</v>
      </c>
      <c r="K1235" s="234"/>
      <c r="L1235" s="330"/>
      <c r="M1235" s="330"/>
      <c r="N1235" s="330"/>
      <c r="O1235" s="330">
        <v>4678.3457020317728</v>
      </c>
      <c r="P1235" s="330">
        <v>4785.7687330668368</v>
      </c>
      <c r="Q1235" s="330">
        <v>5164.0412148114892</v>
      </c>
      <c r="R1235" s="330">
        <v>5542.3136965561407</v>
      </c>
      <c r="S1235" s="330">
        <v>5920.5861783007922</v>
      </c>
    </row>
    <row r="1236" spans="5:19" s="293" customFormat="1" x14ac:dyDescent="0.25">
      <c r="F1236" s="196" t="s">
        <v>931</v>
      </c>
      <c r="G1236" s="196" t="s">
        <v>120</v>
      </c>
      <c r="H1236" s="196" t="s">
        <v>479</v>
      </c>
      <c r="I1236" s="66"/>
      <c r="J1236" s="239"/>
      <c r="K1236" s="234"/>
      <c r="L1236" s="239"/>
      <c r="M1236" s="239"/>
      <c r="N1236" s="239"/>
      <c r="O1236" s="239"/>
      <c r="P1236" s="239"/>
      <c r="Q1236" s="239"/>
      <c r="R1236" s="239"/>
      <c r="S1236" s="239"/>
    </row>
    <row r="1237" spans="5:19" s="293" customFormat="1" x14ac:dyDescent="0.25">
      <c r="F1237" s="196" t="s">
        <v>932</v>
      </c>
      <c r="G1237" s="196" t="s">
        <v>120</v>
      </c>
      <c r="H1237" s="196" t="s">
        <v>479</v>
      </c>
      <c r="I1237" s="66"/>
      <c r="J1237" s="239"/>
      <c r="K1237" s="234"/>
      <c r="L1237" s="239"/>
      <c r="M1237" s="239"/>
      <c r="N1237" s="239"/>
      <c r="O1237" s="239"/>
      <c r="P1237" s="239"/>
      <c r="Q1237" s="239"/>
      <c r="R1237" s="239"/>
      <c r="S1237" s="239"/>
    </row>
    <row r="1238" spans="5:19" s="293" customFormat="1" x14ac:dyDescent="0.25">
      <c r="F1238" s="196" t="s">
        <v>933</v>
      </c>
      <c r="G1238" s="196" t="s">
        <v>120</v>
      </c>
      <c r="H1238" s="196" t="s">
        <v>479</v>
      </c>
      <c r="I1238" s="66"/>
      <c r="J1238" s="239"/>
      <c r="K1238" s="234"/>
      <c r="L1238" s="239"/>
      <c r="M1238" s="239"/>
      <c r="N1238" s="239"/>
      <c r="O1238" s="239"/>
      <c r="P1238" s="239"/>
      <c r="Q1238" s="239"/>
      <c r="R1238" s="239"/>
      <c r="S1238" s="239"/>
    </row>
    <row r="1239" spans="5:19" s="293" customFormat="1" x14ac:dyDescent="0.25">
      <c r="F1239" s="196" t="s">
        <v>934</v>
      </c>
      <c r="G1239" s="196" t="s">
        <v>120</v>
      </c>
      <c r="H1239" s="196" t="s">
        <v>479</v>
      </c>
      <c r="I1239" s="66"/>
      <c r="J1239" s="239"/>
      <c r="K1239" s="234"/>
      <c r="L1239" s="239"/>
      <c r="M1239" s="239"/>
      <c r="N1239" s="239"/>
      <c r="O1239" s="239"/>
      <c r="P1239" s="239"/>
      <c r="Q1239" s="239"/>
      <c r="R1239" s="239"/>
      <c r="S1239" s="239"/>
    </row>
    <row r="1240" spans="5:19" s="293" customFormat="1" x14ac:dyDescent="0.25">
      <c r="F1240" s="196" t="s">
        <v>935</v>
      </c>
      <c r="G1240" s="196" t="s">
        <v>120</v>
      </c>
      <c r="H1240" s="196" t="s">
        <v>479</v>
      </c>
      <c r="I1240" s="66"/>
      <c r="J1240" s="239"/>
      <c r="K1240" s="234"/>
      <c r="L1240" s="239"/>
      <c r="M1240" s="239"/>
      <c r="N1240" s="239"/>
      <c r="O1240" s="239"/>
      <c r="P1240" s="239"/>
      <c r="Q1240" s="239"/>
      <c r="R1240" s="239"/>
      <c r="S1240" s="239"/>
    </row>
    <row r="1241" spans="5:19" s="293" customFormat="1" x14ac:dyDescent="0.25">
      <c r="F1241" s="196" t="s">
        <v>936</v>
      </c>
      <c r="G1241" s="196" t="s">
        <v>120</v>
      </c>
      <c r="H1241" s="196" t="s">
        <v>479</v>
      </c>
      <c r="I1241" s="66"/>
      <c r="J1241" s="239"/>
      <c r="K1241" s="234"/>
      <c r="L1241" s="239"/>
      <c r="M1241" s="239"/>
      <c r="N1241" s="239"/>
      <c r="O1241" s="239"/>
      <c r="P1241" s="239"/>
      <c r="Q1241" s="239"/>
      <c r="R1241" s="239"/>
      <c r="S1241" s="239"/>
    </row>
    <row r="1242" spans="5:19" s="293" customFormat="1" x14ac:dyDescent="0.25">
      <c r="F1242" s="196" t="s">
        <v>937</v>
      </c>
      <c r="G1242" s="196" t="s">
        <v>120</v>
      </c>
      <c r="H1242" s="196" t="s">
        <v>479</v>
      </c>
      <c r="I1242" s="66"/>
      <c r="J1242" s="239"/>
      <c r="K1242" s="234"/>
      <c r="L1242" s="239"/>
      <c r="M1242" s="239"/>
      <c r="N1242" s="239"/>
      <c r="O1242" s="239"/>
      <c r="P1242" s="239"/>
      <c r="Q1242" s="239"/>
      <c r="R1242" s="239"/>
      <c r="S1242" s="239"/>
    </row>
    <row r="1243" spans="5:19" s="293" customFormat="1" x14ac:dyDescent="0.25">
      <c r="F1243" s="196" t="s">
        <v>938</v>
      </c>
      <c r="G1243" s="196" t="s">
        <v>120</v>
      </c>
      <c r="H1243" s="196" t="s">
        <v>479</v>
      </c>
      <c r="I1243" s="66"/>
      <c r="J1243" s="239"/>
      <c r="K1243" s="234"/>
      <c r="L1243" s="239"/>
      <c r="M1243" s="239"/>
      <c r="N1243" s="239"/>
      <c r="O1243" s="239"/>
      <c r="P1243" s="239"/>
      <c r="Q1243" s="239"/>
      <c r="R1243" s="239"/>
      <c r="S1243" s="239"/>
    </row>
    <row r="1244" spans="5:19" s="293" customFormat="1" x14ac:dyDescent="0.25">
      <c r="F1244" s="196" t="s">
        <v>939</v>
      </c>
      <c r="G1244" s="196" t="s">
        <v>120</v>
      </c>
      <c r="H1244" s="196" t="s">
        <v>479</v>
      </c>
      <c r="I1244" s="66"/>
      <c r="J1244" s="239"/>
      <c r="K1244" s="234"/>
      <c r="L1244" s="239"/>
      <c r="M1244" s="239"/>
      <c r="N1244" s="239"/>
      <c r="O1244" s="239"/>
      <c r="P1244" s="239"/>
      <c r="Q1244" s="239"/>
      <c r="R1244" s="239"/>
      <c r="S1244" s="239"/>
    </row>
    <row r="1245" spans="5:19" s="293" customFormat="1" x14ac:dyDescent="0.25">
      <c r="F1245" s="196" t="s">
        <v>940</v>
      </c>
      <c r="G1245" s="196" t="s">
        <v>120</v>
      </c>
      <c r="H1245" s="196" t="s">
        <v>479</v>
      </c>
      <c r="I1245" s="66"/>
      <c r="J1245" s="239"/>
      <c r="K1245" s="234"/>
      <c r="L1245" s="239"/>
      <c r="M1245" s="239"/>
      <c r="N1245" s="239"/>
      <c r="O1245" s="239"/>
      <c r="P1245" s="239"/>
      <c r="Q1245" s="239"/>
      <c r="R1245" s="239"/>
      <c r="S1245" s="239"/>
    </row>
    <row r="1246" spans="5:19" s="293" customFormat="1" x14ac:dyDescent="0.25">
      <c r="F1246" s="93" t="s">
        <v>941</v>
      </c>
      <c r="G1246" s="93" t="s">
        <v>120</v>
      </c>
      <c r="H1246" s="93" t="s">
        <v>479</v>
      </c>
      <c r="I1246" s="145"/>
      <c r="J1246" s="240"/>
      <c r="K1246" s="236"/>
      <c r="L1246" s="240"/>
      <c r="M1246" s="240"/>
      <c r="N1246" s="240"/>
      <c r="O1246" s="240"/>
      <c r="P1246" s="240"/>
      <c r="Q1246" s="240"/>
      <c r="R1246" s="240"/>
      <c r="S1246" s="240"/>
    </row>
    <row r="1247" spans="5:19" s="293" customFormat="1" x14ac:dyDescent="0.25">
      <c r="I1247" s="111"/>
      <c r="J1247" s="237"/>
      <c r="K1247" s="237"/>
      <c r="L1247" s="237"/>
      <c r="M1247" s="237"/>
      <c r="N1247" s="237"/>
      <c r="O1247" s="237"/>
      <c r="P1247" s="237"/>
      <c r="Q1247" s="237"/>
      <c r="R1247" s="237"/>
      <c r="S1247" s="237"/>
    </row>
    <row r="1248" spans="5:19" s="293" customFormat="1" x14ac:dyDescent="0.25">
      <c r="E1248" s="144" t="s">
        <v>201</v>
      </c>
      <c r="I1248" s="111"/>
      <c r="J1248" s="237"/>
      <c r="K1248" s="237"/>
      <c r="L1248" s="237"/>
      <c r="M1248" s="237"/>
      <c r="N1248" s="237"/>
      <c r="O1248" s="237"/>
      <c r="P1248" s="237"/>
      <c r="Q1248" s="237"/>
      <c r="R1248" s="237"/>
      <c r="S1248" s="237"/>
    </row>
    <row r="1249" spans="6:19" s="293" customFormat="1" x14ac:dyDescent="0.25">
      <c r="F1249" s="91" t="s">
        <v>926</v>
      </c>
      <c r="G1249" s="91" t="s">
        <v>120</v>
      </c>
      <c r="H1249" s="91" t="s">
        <v>479</v>
      </c>
      <c r="I1249" s="112"/>
      <c r="J1249" s="238"/>
      <c r="K1249" s="232"/>
      <c r="L1249" s="238"/>
      <c r="M1249" s="238"/>
      <c r="N1249" s="238"/>
      <c r="O1249" s="238"/>
      <c r="P1249" s="238"/>
      <c r="Q1249" s="238"/>
      <c r="R1249" s="238"/>
      <c r="S1249" s="238"/>
    </row>
    <row r="1250" spans="6:19" s="293" customFormat="1" x14ac:dyDescent="0.25">
      <c r="F1250" s="196" t="s">
        <v>927</v>
      </c>
      <c r="G1250" s="196" t="s">
        <v>120</v>
      </c>
      <c r="H1250" s="196" t="s">
        <v>479</v>
      </c>
      <c r="I1250" s="66"/>
      <c r="J1250" s="239"/>
      <c r="K1250" s="234"/>
      <c r="L1250" s="239"/>
      <c r="M1250" s="239"/>
      <c r="N1250" s="239"/>
      <c r="O1250" s="239"/>
      <c r="P1250" s="239"/>
      <c r="Q1250" s="239"/>
      <c r="R1250" s="239"/>
      <c r="S1250" s="239"/>
    </row>
    <row r="1251" spans="6:19" s="293" customFormat="1" x14ac:dyDescent="0.25">
      <c r="F1251" s="196" t="s">
        <v>928</v>
      </c>
      <c r="G1251" s="196" t="s">
        <v>120</v>
      </c>
      <c r="H1251" s="196" t="s">
        <v>479</v>
      </c>
      <c r="I1251" s="66"/>
      <c r="J1251" s="233">
        <f t="shared" ref="J1251" si="121">CHOOSE(year_selection, L1251,M1251,N1251,O1251,P1251,Q1251,R1251,S1251)</f>
        <v>806.54381714995623</v>
      </c>
      <c r="K1251" s="234"/>
      <c r="L1251" s="330"/>
      <c r="M1251" s="330"/>
      <c r="N1251" s="330"/>
      <c r="O1251" s="330">
        <v>806.54381714995623</v>
      </c>
      <c r="P1251" s="330">
        <v>865.95793526118803</v>
      </c>
      <c r="Q1251" s="330">
        <v>902.04299620395091</v>
      </c>
      <c r="R1251" s="330">
        <v>929.32255966817786</v>
      </c>
      <c r="S1251" s="330">
        <v>956.6021231324047</v>
      </c>
    </row>
    <row r="1252" spans="6:19" s="293" customFormat="1" x14ac:dyDescent="0.25">
      <c r="F1252" s="196" t="s">
        <v>929</v>
      </c>
      <c r="G1252" s="196" t="s">
        <v>120</v>
      </c>
      <c r="H1252" s="196" t="s">
        <v>479</v>
      </c>
      <c r="I1252" s="66"/>
      <c r="J1252" s="239"/>
      <c r="K1252" s="234"/>
      <c r="L1252" s="239"/>
      <c r="M1252" s="239"/>
      <c r="N1252" s="239"/>
      <c r="O1252" s="239"/>
      <c r="P1252" s="239"/>
      <c r="Q1252" s="239"/>
      <c r="R1252" s="239"/>
      <c r="S1252" s="239"/>
    </row>
    <row r="1253" spans="6:19" s="293" customFormat="1" x14ac:dyDescent="0.25">
      <c r="F1253" s="196" t="s">
        <v>930</v>
      </c>
      <c r="G1253" s="196" t="s">
        <v>120</v>
      </c>
      <c r="H1253" s="196" t="s">
        <v>479</v>
      </c>
      <c r="I1253" s="66"/>
      <c r="J1253" s="233">
        <f t="shared" ref="J1253" si="122">CHOOSE(year_selection, L1253,M1253,N1253,O1253,P1253,Q1253,R1253,S1253)</f>
        <v>2773.9107022176709</v>
      </c>
      <c r="K1253" s="234"/>
      <c r="L1253" s="330"/>
      <c r="M1253" s="330"/>
      <c r="N1253" s="330"/>
      <c r="O1253" s="330">
        <v>2773.9107022176709</v>
      </c>
      <c r="P1253" s="330">
        <v>2837.6382784021657</v>
      </c>
      <c r="Q1253" s="330">
        <v>3061.9594143329664</v>
      </c>
      <c r="R1253" s="330">
        <v>3286.2805502637661</v>
      </c>
      <c r="S1253" s="330">
        <v>3510.6016861945659</v>
      </c>
    </row>
    <row r="1254" spans="6:19" s="293" customFormat="1" x14ac:dyDescent="0.25">
      <c r="F1254" s="196" t="s">
        <v>931</v>
      </c>
      <c r="G1254" s="196" t="s">
        <v>120</v>
      </c>
      <c r="H1254" s="196" t="s">
        <v>479</v>
      </c>
      <c r="I1254" s="66"/>
      <c r="J1254" s="239"/>
      <c r="K1254" s="234"/>
      <c r="L1254" s="239"/>
      <c r="M1254" s="239"/>
      <c r="N1254" s="239"/>
      <c r="O1254" s="239"/>
      <c r="P1254" s="239"/>
      <c r="Q1254" s="239"/>
      <c r="R1254" s="239"/>
      <c r="S1254" s="239"/>
    </row>
    <row r="1255" spans="6:19" s="293" customFormat="1" x14ac:dyDescent="0.25">
      <c r="F1255" s="196" t="s">
        <v>932</v>
      </c>
      <c r="G1255" s="196" t="s">
        <v>120</v>
      </c>
      <c r="H1255" s="196" t="s">
        <v>479</v>
      </c>
      <c r="I1255" s="66"/>
      <c r="J1255" s="239"/>
      <c r="K1255" s="234"/>
      <c r="L1255" s="239"/>
      <c r="M1255" s="239"/>
      <c r="N1255" s="239"/>
      <c r="O1255" s="239"/>
      <c r="P1255" s="239"/>
      <c r="Q1255" s="239"/>
      <c r="R1255" s="239"/>
      <c r="S1255" s="239"/>
    </row>
    <row r="1256" spans="6:19" s="293" customFormat="1" x14ac:dyDescent="0.25">
      <c r="F1256" s="196" t="s">
        <v>933</v>
      </c>
      <c r="G1256" s="196" t="s">
        <v>120</v>
      </c>
      <c r="H1256" s="196" t="s">
        <v>479</v>
      </c>
      <c r="I1256" s="66"/>
      <c r="J1256" s="239"/>
      <c r="K1256" s="234"/>
      <c r="L1256" s="239"/>
      <c r="M1256" s="239"/>
      <c r="N1256" s="239"/>
      <c r="O1256" s="239"/>
      <c r="P1256" s="239"/>
      <c r="Q1256" s="239"/>
      <c r="R1256" s="239"/>
      <c r="S1256" s="239"/>
    </row>
    <row r="1257" spans="6:19" s="293" customFormat="1" x14ac:dyDescent="0.25">
      <c r="F1257" s="196" t="s">
        <v>934</v>
      </c>
      <c r="G1257" s="196" t="s">
        <v>120</v>
      </c>
      <c r="H1257" s="196" t="s">
        <v>479</v>
      </c>
      <c r="I1257" s="66"/>
      <c r="J1257" s="239"/>
      <c r="K1257" s="234"/>
      <c r="L1257" s="239"/>
      <c r="M1257" s="239"/>
      <c r="N1257" s="239"/>
      <c r="O1257" s="239"/>
      <c r="P1257" s="239"/>
      <c r="Q1257" s="239"/>
      <c r="R1257" s="239"/>
      <c r="S1257" s="239"/>
    </row>
    <row r="1258" spans="6:19" s="293" customFormat="1" x14ac:dyDescent="0.25">
      <c r="F1258" s="196" t="s">
        <v>935</v>
      </c>
      <c r="G1258" s="196" t="s">
        <v>120</v>
      </c>
      <c r="H1258" s="196" t="s">
        <v>479</v>
      </c>
      <c r="I1258" s="66"/>
      <c r="J1258" s="239"/>
      <c r="K1258" s="234"/>
      <c r="L1258" s="239"/>
      <c r="M1258" s="239"/>
      <c r="N1258" s="239"/>
      <c r="O1258" s="239"/>
      <c r="P1258" s="239"/>
      <c r="Q1258" s="239"/>
      <c r="R1258" s="239"/>
      <c r="S1258" s="239"/>
    </row>
    <row r="1259" spans="6:19" s="293" customFormat="1" x14ac:dyDescent="0.25">
      <c r="F1259" s="196" t="s">
        <v>936</v>
      </c>
      <c r="G1259" s="196" t="s">
        <v>120</v>
      </c>
      <c r="H1259" s="196" t="s">
        <v>479</v>
      </c>
      <c r="I1259" s="66"/>
      <c r="J1259" s="239"/>
      <c r="K1259" s="234"/>
      <c r="L1259" s="239"/>
      <c r="M1259" s="239"/>
      <c r="N1259" s="239"/>
      <c r="O1259" s="239"/>
      <c r="P1259" s="239"/>
      <c r="Q1259" s="239"/>
      <c r="R1259" s="239"/>
      <c r="S1259" s="239"/>
    </row>
    <row r="1260" spans="6:19" s="293" customFormat="1" x14ac:dyDescent="0.25">
      <c r="F1260" s="196" t="s">
        <v>937</v>
      </c>
      <c r="G1260" s="196" t="s">
        <v>120</v>
      </c>
      <c r="H1260" s="196" t="s">
        <v>479</v>
      </c>
      <c r="I1260" s="66"/>
      <c r="J1260" s="239"/>
      <c r="K1260" s="234"/>
      <c r="L1260" s="239"/>
      <c r="M1260" s="239"/>
      <c r="N1260" s="239"/>
      <c r="O1260" s="239"/>
      <c r="P1260" s="239"/>
      <c r="Q1260" s="239"/>
      <c r="R1260" s="239"/>
      <c r="S1260" s="239"/>
    </row>
    <row r="1261" spans="6:19" s="293" customFormat="1" x14ac:dyDescent="0.25">
      <c r="F1261" s="196" t="s">
        <v>938</v>
      </c>
      <c r="G1261" s="196" t="s">
        <v>120</v>
      </c>
      <c r="H1261" s="196" t="s">
        <v>479</v>
      </c>
      <c r="I1261" s="66"/>
      <c r="J1261" s="239"/>
      <c r="K1261" s="234"/>
      <c r="L1261" s="239"/>
      <c r="M1261" s="239"/>
      <c r="N1261" s="239"/>
      <c r="O1261" s="239"/>
      <c r="P1261" s="239"/>
      <c r="Q1261" s="239"/>
      <c r="R1261" s="239"/>
      <c r="S1261" s="239"/>
    </row>
    <row r="1262" spans="6:19" s="293" customFormat="1" x14ac:dyDescent="0.25">
      <c r="F1262" s="196" t="s">
        <v>939</v>
      </c>
      <c r="G1262" s="196" t="s">
        <v>120</v>
      </c>
      <c r="H1262" s="196" t="s">
        <v>479</v>
      </c>
      <c r="I1262" s="66"/>
      <c r="J1262" s="239"/>
      <c r="K1262" s="234"/>
      <c r="L1262" s="239"/>
      <c r="M1262" s="239"/>
      <c r="N1262" s="239"/>
      <c r="O1262" s="239"/>
      <c r="P1262" s="239"/>
      <c r="Q1262" s="239"/>
      <c r="R1262" s="239"/>
      <c r="S1262" s="239"/>
    </row>
    <row r="1263" spans="6:19" s="293" customFormat="1" x14ac:dyDescent="0.25">
      <c r="F1263" s="196" t="s">
        <v>940</v>
      </c>
      <c r="G1263" s="196" t="s">
        <v>120</v>
      </c>
      <c r="H1263" s="196" t="s">
        <v>479</v>
      </c>
      <c r="I1263" s="66"/>
      <c r="J1263" s="239"/>
      <c r="K1263" s="234"/>
      <c r="L1263" s="239"/>
      <c r="M1263" s="239"/>
      <c r="N1263" s="239"/>
      <c r="O1263" s="239"/>
      <c r="P1263" s="239"/>
      <c r="Q1263" s="239"/>
      <c r="R1263" s="239"/>
      <c r="S1263" s="239"/>
    </row>
    <row r="1264" spans="6:19" s="293" customFormat="1" x14ac:dyDescent="0.25">
      <c r="F1264" s="93" t="s">
        <v>941</v>
      </c>
      <c r="G1264" s="93" t="s">
        <v>120</v>
      </c>
      <c r="H1264" s="93" t="s">
        <v>479</v>
      </c>
      <c r="I1264" s="145"/>
      <c r="J1264" s="240"/>
      <c r="K1264" s="236"/>
      <c r="L1264" s="240"/>
      <c r="M1264" s="240"/>
      <c r="N1264" s="240"/>
      <c r="O1264" s="240"/>
      <c r="P1264" s="240"/>
      <c r="Q1264" s="240"/>
      <c r="R1264" s="240"/>
      <c r="S1264" s="240"/>
    </row>
    <row r="1265" spans="5:19" s="293" customFormat="1" x14ac:dyDescent="0.25">
      <c r="I1265" s="111"/>
      <c r="J1265" s="237"/>
      <c r="K1265" s="237"/>
      <c r="L1265" s="237"/>
      <c r="M1265" s="237"/>
      <c r="N1265" s="237"/>
      <c r="O1265" s="237"/>
      <c r="P1265" s="237"/>
      <c r="Q1265" s="237"/>
      <c r="R1265" s="237"/>
      <c r="S1265" s="237"/>
    </row>
    <row r="1266" spans="5:19" s="293" customFormat="1" x14ac:dyDescent="0.25">
      <c r="E1266" s="144" t="s">
        <v>74</v>
      </c>
      <c r="I1266" s="111"/>
      <c r="J1266" s="237"/>
      <c r="K1266" s="237"/>
      <c r="L1266" s="237"/>
      <c r="M1266" s="237"/>
      <c r="N1266" s="237"/>
      <c r="O1266" s="237"/>
      <c r="P1266" s="237"/>
      <c r="Q1266" s="237"/>
      <c r="R1266" s="237"/>
      <c r="S1266" s="237"/>
    </row>
    <row r="1267" spans="5:19" s="293" customFormat="1" x14ac:dyDescent="0.25">
      <c r="F1267" s="91" t="s">
        <v>926</v>
      </c>
      <c r="G1267" s="91" t="s">
        <v>74</v>
      </c>
      <c r="H1267" s="91" t="s">
        <v>479</v>
      </c>
      <c r="I1267" s="112"/>
      <c r="J1267" s="238"/>
      <c r="K1267" s="232"/>
      <c r="L1267" s="238"/>
      <c r="M1267" s="238"/>
      <c r="N1267" s="238"/>
      <c r="O1267" s="238"/>
      <c r="P1267" s="238"/>
      <c r="Q1267" s="238"/>
      <c r="R1267" s="238"/>
      <c r="S1267" s="238"/>
    </row>
    <row r="1268" spans="5:19" s="293" customFormat="1" x14ac:dyDescent="0.25">
      <c r="F1268" s="196" t="s">
        <v>927</v>
      </c>
      <c r="G1268" s="196" t="s">
        <v>74</v>
      </c>
      <c r="H1268" s="196" t="s">
        <v>479</v>
      </c>
      <c r="I1268" s="66"/>
      <c r="J1268" s="239"/>
      <c r="K1268" s="234"/>
      <c r="L1268" s="239"/>
      <c r="M1268" s="239"/>
      <c r="N1268" s="239"/>
      <c r="O1268" s="239"/>
      <c r="P1268" s="239"/>
      <c r="Q1268" s="239"/>
      <c r="R1268" s="239"/>
      <c r="S1268" s="239"/>
    </row>
    <row r="1269" spans="5:19" s="293" customFormat="1" x14ac:dyDescent="0.25">
      <c r="F1269" s="196" t="s">
        <v>928</v>
      </c>
      <c r="G1269" s="196" t="s">
        <v>74</v>
      </c>
      <c r="H1269" s="196" t="s">
        <v>479</v>
      </c>
      <c r="I1269" s="66"/>
      <c r="J1269" s="233">
        <f t="shared" ref="J1269" si="123">CHOOSE(year_selection, L1269,M1269,N1269,O1269,P1269,Q1269,R1269,S1269)</f>
        <v>63.012024979810668</v>
      </c>
      <c r="K1269" s="234"/>
      <c r="L1269" s="330"/>
      <c r="M1269" s="330"/>
      <c r="N1269" s="330"/>
      <c r="O1269" s="330">
        <v>63.012024979810668</v>
      </c>
      <c r="P1269" s="330">
        <v>67.545351944707292</v>
      </c>
      <c r="Q1269" s="330">
        <v>70.314971549324511</v>
      </c>
      <c r="R1269" s="330">
        <v>72.42987663393005</v>
      </c>
      <c r="S1269" s="330">
        <v>74.544781718535589</v>
      </c>
    </row>
    <row r="1270" spans="5:19" s="293" customFormat="1" x14ac:dyDescent="0.25">
      <c r="F1270" s="196" t="s">
        <v>929</v>
      </c>
      <c r="G1270" s="196" t="s">
        <v>74</v>
      </c>
      <c r="H1270" s="196" t="s">
        <v>479</v>
      </c>
      <c r="I1270" s="66"/>
      <c r="J1270" s="239"/>
      <c r="K1270" s="234"/>
      <c r="L1270" s="239"/>
      <c r="M1270" s="239"/>
      <c r="N1270" s="239"/>
      <c r="O1270" s="239"/>
      <c r="P1270" s="239"/>
      <c r="Q1270" s="239"/>
      <c r="R1270" s="239"/>
      <c r="S1270" s="239"/>
    </row>
    <row r="1271" spans="5:19" s="293" customFormat="1" x14ac:dyDescent="0.25">
      <c r="F1271" s="196" t="s">
        <v>930</v>
      </c>
      <c r="G1271" s="196" t="s">
        <v>74</v>
      </c>
      <c r="H1271" s="196" t="s">
        <v>479</v>
      </c>
      <c r="I1271" s="66"/>
      <c r="J1271" s="233">
        <f t="shared" ref="J1271" si="124">CHOOSE(year_selection, L1271,M1271,N1271,O1271,P1271,Q1271,R1271,S1271)</f>
        <v>24.106550289142305</v>
      </c>
      <c r="K1271" s="234"/>
      <c r="L1271" s="330"/>
      <c r="M1271" s="330"/>
      <c r="N1271" s="330"/>
      <c r="O1271" s="330">
        <v>24.106550289142305</v>
      </c>
      <c r="P1271" s="330">
        <v>26.180232034444867</v>
      </c>
      <c r="Q1271" s="330">
        <v>28.253913779747432</v>
      </c>
      <c r="R1271" s="330">
        <v>30.327595525049997</v>
      </c>
      <c r="S1271" s="330">
        <v>32.401277270352558</v>
      </c>
    </row>
    <row r="1272" spans="5:19" s="293" customFormat="1" x14ac:dyDescent="0.25">
      <c r="F1272" s="196" t="s">
        <v>931</v>
      </c>
      <c r="G1272" s="196" t="s">
        <v>74</v>
      </c>
      <c r="H1272" s="196" t="s">
        <v>479</v>
      </c>
      <c r="I1272" s="66"/>
      <c r="J1272" s="239"/>
      <c r="K1272" s="234"/>
      <c r="L1272" s="239"/>
      <c r="M1272" s="239"/>
      <c r="N1272" s="239"/>
      <c r="O1272" s="239"/>
      <c r="P1272" s="239"/>
      <c r="Q1272" s="239"/>
      <c r="R1272" s="239"/>
      <c r="S1272" s="239"/>
    </row>
    <row r="1273" spans="5:19" s="293" customFormat="1" x14ac:dyDescent="0.25">
      <c r="F1273" s="196" t="s">
        <v>932</v>
      </c>
      <c r="G1273" s="196" t="s">
        <v>74</v>
      </c>
      <c r="H1273" s="196" t="s">
        <v>479</v>
      </c>
      <c r="I1273" s="66"/>
      <c r="J1273" s="239"/>
      <c r="K1273" s="234"/>
      <c r="L1273" s="239"/>
      <c r="M1273" s="239"/>
      <c r="N1273" s="239"/>
      <c r="O1273" s="239"/>
      <c r="P1273" s="239"/>
      <c r="Q1273" s="239"/>
      <c r="R1273" s="239"/>
      <c r="S1273" s="239"/>
    </row>
    <row r="1274" spans="5:19" s="293" customFormat="1" x14ac:dyDescent="0.25">
      <c r="F1274" s="196" t="s">
        <v>933</v>
      </c>
      <c r="G1274" s="196" t="s">
        <v>74</v>
      </c>
      <c r="H1274" s="196" t="s">
        <v>479</v>
      </c>
      <c r="I1274" s="66"/>
      <c r="J1274" s="239"/>
      <c r="K1274" s="234"/>
      <c r="L1274" s="239"/>
      <c r="M1274" s="239"/>
      <c r="N1274" s="239"/>
      <c r="O1274" s="239"/>
      <c r="P1274" s="239"/>
      <c r="Q1274" s="239"/>
      <c r="R1274" s="239"/>
      <c r="S1274" s="239"/>
    </row>
    <row r="1275" spans="5:19" s="293" customFormat="1" x14ac:dyDescent="0.25">
      <c r="F1275" s="196" t="s">
        <v>934</v>
      </c>
      <c r="G1275" s="196" t="s">
        <v>74</v>
      </c>
      <c r="H1275" s="196" t="s">
        <v>479</v>
      </c>
      <c r="I1275" s="66"/>
      <c r="J1275" s="239"/>
      <c r="K1275" s="234"/>
      <c r="L1275" s="239"/>
      <c r="M1275" s="239"/>
      <c r="N1275" s="239"/>
      <c r="O1275" s="239"/>
      <c r="P1275" s="239"/>
      <c r="Q1275" s="239"/>
      <c r="R1275" s="239"/>
      <c r="S1275" s="239"/>
    </row>
    <row r="1276" spans="5:19" s="293" customFormat="1" x14ac:dyDescent="0.25">
      <c r="F1276" s="196" t="s">
        <v>935</v>
      </c>
      <c r="G1276" s="196" t="s">
        <v>74</v>
      </c>
      <c r="H1276" s="196" t="s">
        <v>479</v>
      </c>
      <c r="I1276" s="66"/>
      <c r="J1276" s="239"/>
      <c r="K1276" s="234"/>
      <c r="L1276" s="239"/>
      <c r="M1276" s="239"/>
      <c r="N1276" s="239"/>
      <c r="O1276" s="239"/>
      <c r="P1276" s="239"/>
      <c r="Q1276" s="239"/>
      <c r="R1276" s="239"/>
      <c r="S1276" s="239"/>
    </row>
    <row r="1277" spans="5:19" s="293" customFormat="1" x14ac:dyDescent="0.25">
      <c r="F1277" s="196" t="s">
        <v>936</v>
      </c>
      <c r="G1277" s="196" t="s">
        <v>74</v>
      </c>
      <c r="H1277" s="196" t="s">
        <v>479</v>
      </c>
      <c r="I1277" s="66"/>
      <c r="J1277" s="239"/>
      <c r="K1277" s="234"/>
      <c r="L1277" s="239"/>
      <c r="M1277" s="239"/>
      <c r="N1277" s="239"/>
      <c r="O1277" s="239"/>
      <c r="P1277" s="239"/>
      <c r="Q1277" s="239"/>
      <c r="R1277" s="239"/>
      <c r="S1277" s="239"/>
    </row>
    <row r="1278" spans="5:19" s="293" customFormat="1" x14ac:dyDescent="0.25">
      <c r="F1278" s="196" t="s">
        <v>937</v>
      </c>
      <c r="G1278" s="196" t="s">
        <v>74</v>
      </c>
      <c r="H1278" s="196" t="s">
        <v>479</v>
      </c>
      <c r="I1278" s="66"/>
      <c r="J1278" s="239"/>
      <c r="K1278" s="234"/>
      <c r="L1278" s="239"/>
      <c r="M1278" s="239"/>
      <c r="N1278" s="239"/>
      <c r="O1278" s="239"/>
      <c r="P1278" s="239"/>
      <c r="Q1278" s="239"/>
      <c r="R1278" s="239"/>
      <c r="S1278" s="239"/>
    </row>
    <row r="1279" spans="5:19" s="293" customFormat="1" x14ac:dyDescent="0.25">
      <c r="F1279" s="196" t="s">
        <v>938</v>
      </c>
      <c r="G1279" s="196" t="s">
        <v>74</v>
      </c>
      <c r="H1279" s="196" t="s">
        <v>479</v>
      </c>
      <c r="I1279" s="66"/>
      <c r="J1279" s="239"/>
      <c r="K1279" s="234"/>
      <c r="L1279" s="239"/>
      <c r="M1279" s="239"/>
      <c r="N1279" s="239"/>
      <c r="O1279" s="239"/>
      <c r="P1279" s="239"/>
      <c r="Q1279" s="239"/>
      <c r="R1279" s="239"/>
      <c r="S1279" s="239"/>
    </row>
    <row r="1280" spans="5:19" s="293" customFormat="1" x14ac:dyDescent="0.25">
      <c r="F1280" s="196" t="s">
        <v>939</v>
      </c>
      <c r="G1280" s="196" t="s">
        <v>74</v>
      </c>
      <c r="H1280" s="196" t="s">
        <v>479</v>
      </c>
      <c r="I1280" s="66"/>
      <c r="J1280" s="239"/>
      <c r="K1280" s="234"/>
      <c r="L1280" s="239"/>
      <c r="M1280" s="239"/>
      <c r="N1280" s="239"/>
      <c r="O1280" s="239"/>
      <c r="P1280" s="239"/>
      <c r="Q1280" s="239"/>
      <c r="R1280" s="239"/>
      <c r="S1280" s="239"/>
    </row>
    <row r="1281" spans="5:19" s="293" customFormat="1" x14ac:dyDescent="0.25">
      <c r="F1281" s="196" t="s">
        <v>940</v>
      </c>
      <c r="G1281" s="196" t="s">
        <v>74</v>
      </c>
      <c r="H1281" s="196" t="s">
        <v>479</v>
      </c>
      <c r="I1281" s="66"/>
      <c r="J1281" s="239"/>
      <c r="K1281" s="234"/>
      <c r="L1281" s="239"/>
      <c r="M1281" s="239"/>
      <c r="N1281" s="239"/>
      <c r="O1281" s="239"/>
      <c r="P1281" s="239"/>
      <c r="Q1281" s="239"/>
      <c r="R1281" s="239"/>
      <c r="S1281" s="239"/>
    </row>
    <row r="1282" spans="5:19" s="293" customFormat="1" x14ac:dyDescent="0.25">
      <c r="F1282" s="93" t="s">
        <v>941</v>
      </c>
      <c r="G1282" s="93" t="s">
        <v>74</v>
      </c>
      <c r="H1282" s="93" t="s">
        <v>479</v>
      </c>
      <c r="I1282" s="145"/>
      <c r="J1282" s="240"/>
      <c r="K1282" s="236"/>
      <c r="L1282" s="240"/>
      <c r="M1282" s="240"/>
      <c r="N1282" s="240"/>
      <c r="O1282" s="240"/>
      <c r="P1282" s="240"/>
      <c r="Q1282" s="240"/>
      <c r="R1282" s="240"/>
      <c r="S1282" s="240"/>
    </row>
    <row r="1283" spans="5:19" s="293" customFormat="1" x14ac:dyDescent="0.25">
      <c r="I1283" s="111"/>
      <c r="J1283" s="237"/>
      <c r="K1283" s="237"/>
      <c r="L1283" s="237"/>
      <c r="M1283" s="237"/>
      <c r="N1283" s="237"/>
      <c r="O1283" s="237"/>
      <c r="P1283" s="237"/>
      <c r="Q1283" s="237"/>
      <c r="R1283" s="237"/>
      <c r="S1283" s="237"/>
    </row>
    <row r="1284" spans="5:19" s="293" customFormat="1" x14ac:dyDescent="0.25">
      <c r="E1284" s="144" t="s">
        <v>202</v>
      </c>
      <c r="I1284" s="111"/>
      <c r="J1284" s="237"/>
      <c r="K1284" s="237"/>
      <c r="L1284" s="237"/>
      <c r="M1284" s="237"/>
      <c r="N1284" s="237"/>
      <c r="O1284" s="237"/>
      <c r="P1284" s="237"/>
      <c r="Q1284" s="237"/>
      <c r="R1284" s="237"/>
      <c r="S1284" s="237"/>
    </row>
    <row r="1285" spans="5:19" s="293" customFormat="1" x14ac:dyDescent="0.25">
      <c r="F1285" s="91" t="s">
        <v>926</v>
      </c>
      <c r="G1285" s="91" t="s">
        <v>169</v>
      </c>
      <c r="H1285" s="91" t="s">
        <v>479</v>
      </c>
      <c r="I1285" s="112"/>
      <c r="J1285" s="238"/>
      <c r="K1285" s="232"/>
      <c r="L1285" s="238"/>
      <c r="M1285" s="238"/>
      <c r="N1285" s="238"/>
      <c r="O1285" s="238"/>
      <c r="P1285" s="238"/>
      <c r="Q1285" s="238"/>
      <c r="R1285" s="238"/>
      <c r="S1285" s="238"/>
    </row>
    <row r="1286" spans="5:19" s="293" customFormat="1" x14ac:dyDescent="0.25">
      <c r="F1286" s="196" t="s">
        <v>927</v>
      </c>
      <c r="G1286" s="196" t="s">
        <v>169</v>
      </c>
      <c r="H1286" s="196" t="s">
        <v>479</v>
      </c>
      <c r="I1286" s="66"/>
      <c r="J1286" s="239"/>
      <c r="K1286" s="234"/>
      <c r="L1286" s="239"/>
      <c r="M1286" s="239"/>
      <c r="N1286" s="239"/>
      <c r="O1286" s="239"/>
      <c r="P1286" s="239"/>
      <c r="Q1286" s="239"/>
      <c r="R1286" s="239"/>
      <c r="S1286" s="239"/>
    </row>
    <row r="1287" spans="5:19" s="293" customFormat="1" x14ac:dyDescent="0.25">
      <c r="F1287" s="196" t="s">
        <v>928</v>
      </c>
      <c r="G1287" s="196" t="s">
        <v>169</v>
      </c>
      <c r="H1287" s="196" t="s">
        <v>479</v>
      </c>
      <c r="I1287" s="66"/>
      <c r="J1287" s="239"/>
      <c r="K1287" s="234"/>
      <c r="L1287" s="239"/>
      <c r="M1287" s="239"/>
      <c r="N1287" s="239"/>
      <c r="O1287" s="239"/>
      <c r="P1287" s="239"/>
      <c r="Q1287" s="239"/>
      <c r="R1287" s="239"/>
      <c r="S1287" s="239"/>
    </row>
    <row r="1288" spans="5:19" s="293" customFormat="1" x14ac:dyDescent="0.25">
      <c r="F1288" s="196" t="s">
        <v>929</v>
      </c>
      <c r="G1288" s="196" t="s">
        <v>169</v>
      </c>
      <c r="H1288" s="196" t="s">
        <v>479</v>
      </c>
      <c r="I1288" s="66"/>
      <c r="J1288" s="239"/>
      <c r="K1288" s="234"/>
      <c r="L1288" s="239"/>
      <c r="M1288" s="239"/>
      <c r="N1288" s="239"/>
      <c r="O1288" s="239"/>
      <c r="P1288" s="239"/>
      <c r="Q1288" s="239"/>
      <c r="R1288" s="239"/>
      <c r="S1288" s="239"/>
    </row>
    <row r="1289" spans="5:19" s="293" customFormat="1" x14ac:dyDescent="0.25">
      <c r="F1289" s="196" t="s">
        <v>930</v>
      </c>
      <c r="G1289" s="196" t="s">
        <v>169</v>
      </c>
      <c r="H1289" s="196" t="s">
        <v>479</v>
      </c>
      <c r="I1289" s="66"/>
      <c r="J1289" s="233">
        <f t="shared" ref="J1289" si="125">CHOOSE(year_selection, L1289,M1289,N1289,O1289,P1289,Q1289,R1289,S1289)</f>
        <v>10026.163121719288</v>
      </c>
      <c r="K1289" s="234"/>
      <c r="L1289" s="330"/>
      <c r="M1289" s="330"/>
      <c r="N1289" s="330"/>
      <c r="O1289" s="330">
        <v>10026.163121719288</v>
      </c>
      <c r="P1289" s="330">
        <v>11751.094411477443</v>
      </c>
      <c r="Q1289" s="330">
        <v>11751.094411477443</v>
      </c>
      <c r="R1289" s="330">
        <v>12613.560056356524</v>
      </c>
      <c r="S1289" s="330">
        <v>13476.025701235603</v>
      </c>
    </row>
    <row r="1290" spans="5:19" s="293" customFormat="1" x14ac:dyDescent="0.25">
      <c r="F1290" s="196" t="s">
        <v>931</v>
      </c>
      <c r="G1290" s="196" t="s">
        <v>169</v>
      </c>
      <c r="H1290" s="196" t="s">
        <v>479</v>
      </c>
      <c r="I1290" s="66"/>
      <c r="J1290" s="239"/>
      <c r="K1290" s="234"/>
      <c r="L1290" s="239"/>
      <c r="M1290" s="239"/>
      <c r="N1290" s="239"/>
      <c r="O1290" s="239"/>
      <c r="P1290" s="239"/>
      <c r="Q1290" s="239"/>
      <c r="R1290" s="239"/>
      <c r="S1290" s="239"/>
    </row>
    <row r="1291" spans="5:19" s="293" customFormat="1" x14ac:dyDescent="0.25">
      <c r="F1291" s="196" t="s">
        <v>932</v>
      </c>
      <c r="G1291" s="196" t="s">
        <v>169</v>
      </c>
      <c r="H1291" s="196" t="s">
        <v>479</v>
      </c>
      <c r="I1291" s="66"/>
      <c r="J1291" s="239"/>
      <c r="K1291" s="234"/>
      <c r="L1291" s="239"/>
      <c r="M1291" s="239"/>
      <c r="N1291" s="239"/>
      <c r="O1291" s="239"/>
      <c r="P1291" s="239"/>
      <c r="Q1291" s="239"/>
      <c r="R1291" s="239"/>
      <c r="S1291" s="239"/>
    </row>
    <row r="1292" spans="5:19" s="293" customFormat="1" x14ac:dyDescent="0.25">
      <c r="F1292" s="196" t="s">
        <v>933</v>
      </c>
      <c r="G1292" s="196" t="s">
        <v>169</v>
      </c>
      <c r="H1292" s="196" t="s">
        <v>479</v>
      </c>
      <c r="I1292" s="66"/>
      <c r="J1292" s="239"/>
      <c r="K1292" s="234"/>
      <c r="L1292" s="239"/>
      <c r="M1292" s="239"/>
      <c r="N1292" s="239"/>
      <c r="O1292" s="239"/>
      <c r="P1292" s="239"/>
      <c r="Q1292" s="239"/>
      <c r="R1292" s="239"/>
      <c r="S1292" s="239"/>
    </row>
    <row r="1293" spans="5:19" s="293" customFormat="1" x14ac:dyDescent="0.25">
      <c r="F1293" s="196" t="s">
        <v>934</v>
      </c>
      <c r="G1293" s="196" t="s">
        <v>169</v>
      </c>
      <c r="H1293" s="196" t="s">
        <v>479</v>
      </c>
      <c r="I1293" s="66"/>
      <c r="J1293" s="239"/>
      <c r="K1293" s="234"/>
      <c r="L1293" s="239"/>
      <c r="M1293" s="239"/>
      <c r="N1293" s="239"/>
      <c r="O1293" s="239"/>
      <c r="P1293" s="239"/>
      <c r="Q1293" s="239"/>
      <c r="R1293" s="239"/>
      <c r="S1293" s="239"/>
    </row>
    <row r="1294" spans="5:19" s="293" customFormat="1" x14ac:dyDescent="0.25">
      <c r="F1294" s="196" t="s">
        <v>935</v>
      </c>
      <c r="G1294" s="196" t="s">
        <v>169</v>
      </c>
      <c r="H1294" s="196" t="s">
        <v>479</v>
      </c>
      <c r="I1294" s="66"/>
      <c r="J1294" s="239"/>
      <c r="K1294" s="234"/>
      <c r="L1294" s="239"/>
      <c r="M1294" s="239"/>
      <c r="N1294" s="239"/>
      <c r="O1294" s="239"/>
      <c r="P1294" s="239"/>
      <c r="Q1294" s="239"/>
      <c r="R1294" s="239"/>
      <c r="S1294" s="239"/>
    </row>
    <row r="1295" spans="5:19" s="293" customFormat="1" x14ac:dyDescent="0.25">
      <c r="F1295" s="196" t="s">
        <v>936</v>
      </c>
      <c r="G1295" s="196" t="s">
        <v>169</v>
      </c>
      <c r="H1295" s="196" t="s">
        <v>479</v>
      </c>
      <c r="I1295" s="66"/>
      <c r="J1295" s="239"/>
      <c r="K1295" s="234"/>
      <c r="L1295" s="239"/>
      <c r="M1295" s="239"/>
      <c r="N1295" s="239"/>
      <c r="O1295" s="239"/>
      <c r="P1295" s="239"/>
      <c r="Q1295" s="239"/>
      <c r="R1295" s="239"/>
      <c r="S1295" s="239"/>
    </row>
    <row r="1296" spans="5:19" s="293" customFormat="1" x14ac:dyDescent="0.25">
      <c r="F1296" s="196" t="s">
        <v>937</v>
      </c>
      <c r="G1296" s="196" t="s">
        <v>169</v>
      </c>
      <c r="H1296" s="196" t="s">
        <v>479</v>
      </c>
      <c r="I1296" s="66"/>
      <c r="J1296" s="239"/>
      <c r="K1296" s="234"/>
      <c r="L1296" s="239"/>
      <c r="M1296" s="239"/>
      <c r="N1296" s="239"/>
      <c r="O1296" s="239"/>
      <c r="P1296" s="239"/>
      <c r="Q1296" s="239"/>
      <c r="R1296" s="239"/>
      <c r="S1296" s="239"/>
    </row>
    <row r="1297" spans="5:19" s="293" customFormat="1" x14ac:dyDescent="0.25">
      <c r="F1297" s="196" t="s">
        <v>938</v>
      </c>
      <c r="G1297" s="196" t="s">
        <v>169</v>
      </c>
      <c r="H1297" s="196" t="s">
        <v>479</v>
      </c>
      <c r="I1297" s="66"/>
      <c r="J1297" s="239"/>
      <c r="K1297" s="234"/>
      <c r="L1297" s="239"/>
      <c r="M1297" s="239"/>
      <c r="N1297" s="239"/>
      <c r="O1297" s="239"/>
      <c r="P1297" s="239"/>
      <c r="Q1297" s="239"/>
      <c r="R1297" s="239"/>
      <c r="S1297" s="239"/>
    </row>
    <row r="1298" spans="5:19" s="293" customFormat="1" x14ac:dyDescent="0.25">
      <c r="F1298" s="196" t="s">
        <v>939</v>
      </c>
      <c r="G1298" s="196" t="s">
        <v>169</v>
      </c>
      <c r="H1298" s="196" t="s">
        <v>479</v>
      </c>
      <c r="I1298" s="66"/>
      <c r="J1298" s="239"/>
      <c r="K1298" s="234"/>
      <c r="L1298" s="239"/>
      <c r="M1298" s="239"/>
      <c r="N1298" s="239"/>
      <c r="O1298" s="239"/>
      <c r="P1298" s="239"/>
      <c r="Q1298" s="239"/>
      <c r="R1298" s="239"/>
      <c r="S1298" s="239"/>
    </row>
    <row r="1299" spans="5:19" s="293" customFormat="1" x14ac:dyDescent="0.25">
      <c r="F1299" s="196" t="s">
        <v>940</v>
      </c>
      <c r="G1299" s="196" t="s">
        <v>169</v>
      </c>
      <c r="H1299" s="196" t="s">
        <v>479</v>
      </c>
      <c r="I1299" s="66"/>
      <c r="J1299" s="239"/>
      <c r="K1299" s="234"/>
      <c r="L1299" s="239"/>
      <c r="M1299" s="239"/>
      <c r="N1299" s="239"/>
      <c r="O1299" s="239"/>
      <c r="P1299" s="239"/>
      <c r="Q1299" s="239"/>
      <c r="R1299" s="239"/>
      <c r="S1299" s="239"/>
    </row>
    <row r="1300" spans="5:19" s="293" customFormat="1" x14ac:dyDescent="0.25">
      <c r="F1300" s="93" t="s">
        <v>941</v>
      </c>
      <c r="G1300" s="93" t="s">
        <v>169</v>
      </c>
      <c r="H1300" s="93" t="s">
        <v>479</v>
      </c>
      <c r="I1300" s="145"/>
      <c r="J1300" s="240"/>
      <c r="K1300" s="236"/>
      <c r="L1300" s="240"/>
      <c r="M1300" s="240"/>
      <c r="N1300" s="240"/>
      <c r="O1300" s="240"/>
      <c r="P1300" s="240"/>
      <c r="Q1300" s="240"/>
      <c r="R1300" s="240"/>
      <c r="S1300" s="240"/>
    </row>
    <row r="1301" spans="5:19" s="293" customFormat="1" x14ac:dyDescent="0.25">
      <c r="I1301" s="111"/>
      <c r="J1301" s="237"/>
      <c r="K1301" s="237"/>
      <c r="L1301" s="237"/>
      <c r="M1301" s="237"/>
      <c r="N1301" s="237"/>
      <c r="O1301" s="237"/>
      <c r="P1301" s="237"/>
      <c r="Q1301" s="237"/>
      <c r="R1301" s="237"/>
      <c r="S1301" s="237"/>
    </row>
    <row r="1302" spans="5:19" s="293" customFormat="1" x14ac:dyDescent="0.25">
      <c r="E1302" s="144" t="s">
        <v>203</v>
      </c>
      <c r="I1302" s="111"/>
      <c r="J1302" s="237"/>
      <c r="K1302" s="237"/>
      <c r="L1302" s="237"/>
      <c r="M1302" s="237"/>
      <c r="N1302" s="237"/>
      <c r="O1302" s="237"/>
      <c r="P1302" s="237"/>
      <c r="Q1302" s="237"/>
      <c r="R1302" s="237"/>
      <c r="S1302" s="237"/>
    </row>
    <row r="1303" spans="5:19" s="293" customFormat="1" x14ac:dyDescent="0.25">
      <c r="F1303" s="91" t="s">
        <v>926</v>
      </c>
      <c r="G1303" s="91" t="s">
        <v>169</v>
      </c>
      <c r="H1303" s="91" t="s">
        <v>479</v>
      </c>
      <c r="I1303" s="112"/>
      <c r="J1303" s="238"/>
      <c r="K1303" s="232"/>
      <c r="L1303" s="238"/>
      <c r="M1303" s="238"/>
      <c r="N1303" s="238"/>
      <c r="O1303" s="238"/>
      <c r="P1303" s="238"/>
      <c r="Q1303" s="238"/>
      <c r="R1303" s="238"/>
      <c r="S1303" s="238"/>
    </row>
    <row r="1304" spans="5:19" s="293" customFormat="1" x14ac:dyDescent="0.25">
      <c r="F1304" s="196" t="s">
        <v>927</v>
      </c>
      <c r="G1304" s="196" t="s">
        <v>169</v>
      </c>
      <c r="H1304" s="196" t="s">
        <v>479</v>
      </c>
      <c r="I1304" s="66"/>
      <c r="J1304" s="239"/>
      <c r="K1304" s="234"/>
      <c r="L1304" s="239"/>
      <c r="M1304" s="239"/>
      <c r="N1304" s="239"/>
      <c r="O1304" s="239"/>
      <c r="P1304" s="239"/>
      <c r="Q1304" s="239"/>
      <c r="R1304" s="239"/>
      <c r="S1304" s="239"/>
    </row>
    <row r="1305" spans="5:19" s="293" customFormat="1" x14ac:dyDescent="0.25">
      <c r="F1305" s="196" t="s">
        <v>928</v>
      </c>
      <c r="G1305" s="196" t="s">
        <v>169</v>
      </c>
      <c r="H1305" s="196" t="s">
        <v>479</v>
      </c>
      <c r="I1305" s="66"/>
      <c r="J1305" s="239"/>
      <c r="K1305" s="234"/>
      <c r="L1305" s="239"/>
      <c r="M1305" s="239"/>
      <c r="N1305" s="239"/>
      <c r="O1305" s="239"/>
      <c r="P1305" s="239"/>
      <c r="Q1305" s="239"/>
      <c r="R1305" s="239"/>
      <c r="S1305" s="239"/>
    </row>
    <row r="1306" spans="5:19" s="293" customFormat="1" x14ac:dyDescent="0.25">
      <c r="F1306" s="196" t="s">
        <v>929</v>
      </c>
      <c r="G1306" s="196" t="s">
        <v>169</v>
      </c>
      <c r="H1306" s="196" t="s">
        <v>479</v>
      </c>
      <c r="I1306" s="66"/>
      <c r="J1306" s="239"/>
      <c r="K1306" s="234"/>
      <c r="L1306" s="239"/>
      <c r="M1306" s="239"/>
      <c r="N1306" s="239"/>
      <c r="O1306" s="239"/>
      <c r="P1306" s="239"/>
      <c r="Q1306" s="239"/>
      <c r="R1306" s="239"/>
      <c r="S1306" s="239"/>
    </row>
    <row r="1307" spans="5:19" s="293" customFormat="1" x14ac:dyDescent="0.25">
      <c r="F1307" s="196" t="s">
        <v>930</v>
      </c>
      <c r="G1307" s="196" t="s">
        <v>169</v>
      </c>
      <c r="H1307" s="196" t="s">
        <v>479</v>
      </c>
      <c r="I1307" s="66"/>
      <c r="J1307" s="233">
        <f t="shared" ref="J1307" si="126">CHOOSE(year_selection, L1307,M1307,N1307,O1307,P1307,Q1307,R1307,S1307)</f>
        <v>9.0619695604838029</v>
      </c>
      <c r="K1307" s="234"/>
      <c r="L1307" s="330"/>
      <c r="M1307" s="330"/>
      <c r="N1307" s="330"/>
      <c r="O1307" s="330">
        <v>9.0619695604838029</v>
      </c>
      <c r="P1307" s="330">
        <v>10.621018087018648</v>
      </c>
      <c r="Q1307" s="330">
        <v>10.621018087018648</v>
      </c>
      <c r="R1307" s="330">
        <v>11.400542350286068</v>
      </c>
      <c r="S1307" s="330">
        <v>12.180066613553493</v>
      </c>
    </row>
    <row r="1308" spans="5:19" s="293" customFormat="1" x14ac:dyDescent="0.25">
      <c r="F1308" s="196" t="s">
        <v>931</v>
      </c>
      <c r="G1308" s="196" t="s">
        <v>169</v>
      </c>
      <c r="H1308" s="196" t="s">
        <v>479</v>
      </c>
      <c r="I1308" s="66"/>
      <c r="J1308" s="239"/>
      <c r="K1308" s="234"/>
      <c r="L1308" s="239"/>
      <c r="M1308" s="239"/>
      <c r="N1308" s="239"/>
      <c r="O1308" s="239"/>
      <c r="P1308" s="239"/>
      <c r="Q1308" s="239"/>
      <c r="R1308" s="239"/>
      <c r="S1308" s="239"/>
    </row>
    <row r="1309" spans="5:19" s="293" customFormat="1" x14ac:dyDescent="0.25">
      <c r="F1309" s="196" t="s">
        <v>932</v>
      </c>
      <c r="G1309" s="196" t="s">
        <v>169</v>
      </c>
      <c r="H1309" s="196" t="s">
        <v>479</v>
      </c>
      <c r="I1309" s="66"/>
      <c r="J1309" s="239"/>
      <c r="K1309" s="234"/>
      <c r="L1309" s="239"/>
      <c r="M1309" s="239"/>
      <c r="N1309" s="239"/>
      <c r="O1309" s="239"/>
      <c r="P1309" s="239"/>
      <c r="Q1309" s="239"/>
      <c r="R1309" s="239"/>
      <c r="S1309" s="239"/>
    </row>
    <row r="1310" spans="5:19" s="293" customFormat="1" x14ac:dyDescent="0.25">
      <c r="F1310" s="196" t="s">
        <v>933</v>
      </c>
      <c r="G1310" s="196" t="s">
        <v>169</v>
      </c>
      <c r="H1310" s="196" t="s">
        <v>479</v>
      </c>
      <c r="I1310" s="66"/>
      <c r="J1310" s="239"/>
      <c r="K1310" s="234"/>
      <c r="L1310" s="239"/>
      <c r="M1310" s="239"/>
      <c r="N1310" s="239"/>
      <c r="O1310" s="239"/>
      <c r="P1310" s="239"/>
      <c r="Q1310" s="239"/>
      <c r="R1310" s="239"/>
      <c r="S1310" s="239"/>
    </row>
    <row r="1311" spans="5:19" s="293" customFormat="1" x14ac:dyDescent="0.25">
      <c r="F1311" s="196" t="s">
        <v>934</v>
      </c>
      <c r="G1311" s="196" t="s">
        <v>169</v>
      </c>
      <c r="H1311" s="196" t="s">
        <v>479</v>
      </c>
      <c r="I1311" s="66"/>
      <c r="J1311" s="239"/>
      <c r="K1311" s="234"/>
      <c r="L1311" s="239"/>
      <c r="M1311" s="239"/>
      <c r="N1311" s="239"/>
      <c r="O1311" s="239"/>
      <c r="P1311" s="239"/>
      <c r="Q1311" s="239"/>
      <c r="R1311" s="239"/>
      <c r="S1311" s="239"/>
    </row>
    <row r="1312" spans="5:19" s="293" customFormat="1" x14ac:dyDescent="0.25">
      <c r="F1312" s="196" t="s">
        <v>935</v>
      </c>
      <c r="G1312" s="196" t="s">
        <v>169</v>
      </c>
      <c r="H1312" s="196" t="s">
        <v>479</v>
      </c>
      <c r="I1312" s="66"/>
      <c r="J1312" s="239"/>
      <c r="K1312" s="234"/>
      <c r="L1312" s="239"/>
      <c r="M1312" s="239"/>
      <c r="N1312" s="239"/>
      <c r="O1312" s="239"/>
      <c r="P1312" s="239"/>
      <c r="Q1312" s="239"/>
      <c r="R1312" s="239"/>
      <c r="S1312" s="239"/>
    </row>
    <row r="1313" spans="5:19" s="293" customFormat="1" x14ac:dyDescent="0.25">
      <c r="F1313" s="196" t="s">
        <v>936</v>
      </c>
      <c r="G1313" s="196" t="s">
        <v>169</v>
      </c>
      <c r="H1313" s="196" t="s">
        <v>479</v>
      </c>
      <c r="I1313" s="66"/>
      <c r="J1313" s="239"/>
      <c r="K1313" s="234"/>
      <c r="L1313" s="239"/>
      <c r="M1313" s="239"/>
      <c r="N1313" s="239"/>
      <c r="O1313" s="239"/>
      <c r="P1313" s="239"/>
      <c r="Q1313" s="239"/>
      <c r="R1313" s="239"/>
      <c r="S1313" s="239"/>
    </row>
    <row r="1314" spans="5:19" s="293" customFormat="1" x14ac:dyDescent="0.25">
      <c r="F1314" s="196" t="s">
        <v>937</v>
      </c>
      <c r="G1314" s="196" t="s">
        <v>169</v>
      </c>
      <c r="H1314" s="196" t="s">
        <v>479</v>
      </c>
      <c r="I1314" s="66"/>
      <c r="J1314" s="239"/>
      <c r="K1314" s="234"/>
      <c r="L1314" s="239"/>
      <c r="M1314" s="239"/>
      <c r="N1314" s="239"/>
      <c r="O1314" s="239"/>
      <c r="P1314" s="239"/>
      <c r="Q1314" s="239"/>
      <c r="R1314" s="239"/>
      <c r="S1314" s="239"/>
    </row>
    <row r="1315" spans="5:19" s="293" customFormat="1" x14ac:dyDescent="0.25">
      <c r="F1315" s="196" t="s">
        <v>938</v>
      </c>
      <c r="G1315" s="196" t="s">
        <v>169</v>
      </c>
      <c r="H1315" s="196" t="s">
        <v>479</v>
      </c>
      <c r="I1315" s="66"/>
      <c r="J1315" s="239"/>
      <c r="K1315" s="234"/>
      <c r="L1315" s="239"/>
      <c r="M1315" s="239"/>
      <c r="N1315" s="239"/>
      <c r="O1315" s="239"/>
      <c r="P1315" s="239"/>
      <c r="Q1315" s="239"/>
      <c r="R1315" s="239"/>
      <c r="S1315" s="239"/>
    </row>
    <row r="1316" spans="5:19" s="293" customFormat="1" x14ac:dyDescent="0.25">
      <c r="F1316" s="196" t="s">
        <v>939</v>
      </c>
      <c r="G1316" s="196" t="s">
        <v>169</v>
      </c>
      <c r="H1316" s="196" t="s">
        <v>479</v>
      </c>
      <c r="I1316" s="66"/>
      <c r="J1316" s="239"/>
      <c r="K1316" s="234"/>
      <c r="L1316" s="239"/>
      <c r="M1316" s="239"/>
      <c r="N1316" s="239"/>
      <c r="O1316" s="239"/>
      <c r="P1316" s="239"/>
      <c r="Q1316" s="239"/>
      <c r="R1316" s="239"/>
      <c r="S1316" s="239"/>
    </row>
    <row r="1317" spans="5:19" s="293" customFormat="1" x14ac:dyDescent="0.25">
      <c r="F1317" s="196" t="s">
        <v>940</v>
      </c>
      <c r="G1317" s="196" t="s">
        <v>169</v>
      </c>
      <c r="H1317" s="196" t="s">
        <v>479</v>
      </c>
      <c r="I1317" s="66"/>
      <c r="J1317" s="239"/>
      <c r="K1317" s="234"/>
      <c r="L1317" s="239"/>
      <c r="M1317" s="239"/>
      <c r="N1317" s="239"/>
      <c r="O1317" s="239"/>
      <c r="P1317" s="239"/>
      <c r="Q1317" s="239"/>
      <c r="R1317" s="239"/>
      <c r="S1317" s="239"/>
    </row>
    <row r="1318" spans="5:19" s="293" customFormat="1" x14ac:dyDescent="0.25">
      <c r="F1318" s="93" t="s">
        <v>941</v>
      </c>
      <c r="G1318" s="93" t="s">
        <v>169</v>
      </c>
      <c r="H1318" s="93" t="s">
        <v>479</v>
      </c>
      <c r="I1318" s="145"/>
      <c r="J1318" s="240"/>
      <c r="K1318" s="236"/>
      <c r="L1318" s="240"/>
      <c r="M1318" s="240"/>
      <c r="N1318" s="240"/>
      <c r="O1318" s="240"/>
      <c r="P1318" s="240"/>
      <c r="Q1318" s="240"/>
      <c r="R1318" s="240"/>
      <c r="S1318" s="240"/>
    </row>
    <row r="1319" spans="5:19" s="293" customFormat="1" x14ac:dyDescent="0.25">
      <c r="I1319" s="111"/>
      <c r="J1319" s="237"/>
      <c r="K1319" s="237"/>
      <c r="L1319" s="237"/>
      <c r="M1319" s="237"/>
      <c r="N1319" s="237"/>
      <c r="O1319" s="237"/>
      <c r="P1319" s="237"/>
      <c r="Q1319" s="237"/>
      <c r="R1319" s="237"/>
      <c r="S1319" s="237"/>
    </row>
    <row r="1320" spans="5:19" s="293" customFormat="1" x14ac:dyDescent="0.25">
      <c r="E1320" s="144" t="s">
        <v>204</v>
      </c>
      <c r="I1320" s="111"/>
      <c r="J1320" s="237"/>
      <c r="K1320" s="237"/>
      <c r="L1320" s="237"/>
      <c r="M1320" s="237"/>
      <c r="N1320" s="237"/>
      <c r="O1320" s="237"/>
      <c r="P1320" s="237"/>
      <c r="Q1320" s="237"/>
      <c r="R1320" s="237"/>
      <c r="S1320" s="237"/>
    </row>
    <row r="1321" spans="5:19" s="293" customFormat="1" x14ac:dyDescent="0.25">
      <c r="F1321" s="91" t="s">
        <v>926</v>
      </c>
      <c r="G1321" s="91" t="s">
        <v>170</v>
      </c>
      <c r="H1321" s="91" t="s">
        <v>479</v>
      </c>
      <c r="I1321" s="112"/>
      <c r="J1321" s="238"/>
      <c r="K1321" s="232"/>
      <c r="L1321" s="238"/>
      <c r="M1321" s="238"/>
      <c r="N1321" s="238"/>
      <c r="O1321" s="238"/>
      <c r="P1321" s="238"/>
      <c r="Q1321" s="238"/>
      <c r="R1321" s="238"/>
      <c r="S1321" s="238"/>
    </row>
    <row r="1322" spans="5:19" s="293" customFormat="1" x14ac:dyDescent="0.25">
      <c r="F1322" s="196" t="s">
        <v>927</v>
      </c>
      <c r="G1322" s="196" t="s">
        <v>170</v>
      </c>
      <c r="H1322" s="196" t="s">
        <v>479</v>
      </c>
      <c r="I1322" s="66"/>
      <c r="J1322" s="239"/>
      <c r="K1322" s="234"/>
      <c r="L1322" s="239"/>
      <c r="M1322" s="239"/>
      <c r="N1322" s="239"/>
      <c r="O1322" s="239"/>
      <c r="P1322" s="239"/>
      <c r="Q1322" s="239"/>
      <c r="R1322" s="239"/>
      <c r="S1322" s="239"/>
    </row>
    <row r="1323" spans="5:19" s="293" customFormat="1" x14ac:dyDescent="0.25">
      <c r="F1323" s="196" t="s">
        <v>928</v>
      </c>
      <c r="G1323" s="196" t="s">
        <v>170</v>
      </c>
      <c r="H1323" s="196" t="s">
        <v>479</v>
      </c>
      <c r="I1323" s="66"/>
      <c r="J1323" s="239"/>
      <c r="K1323" s="234"/>
      <c r="L1323" s="239"/>
      <c r="M1323" s="239"/>
      <c r="N1323" s="239"/>
      <c r="O1323" s="239"/>
      <c r="P1323" s="239"/>
      <c r="Q1323" s="239"/>
      <c r="R1323" s="239"/>
      <c r="S1323" s="239"/>
    </row>
    <row r="1324" spans="5:19" s="293" customFormat="1" x14ac:dyDescent="0.25">
      <c r="F1324" s="196" t="s">
        <v>929</v>
      </c>
      <c r="G1324" s="196" t="s">
        <v>170</v>
      </c>
      <c r="H1324" s="196" t="s">
        <v>479</v>
      </c>
      <c r="I1324" s="66"/>
      <c r="J1324" s="239"/>
      <c r="K1324" s="234"/>
      <c r="L1324" s="239"/>
      <c r="M1324" s="239"/>
      <c r="N1324" s="239"/>
      <c r="O1324" s="239"/>
      <c r="P1324" s="239"/>
      <c r="Q1324" s="239"/>
      <c r="R1324" s="239"/>
      <c r="S1324" s="239"/>
    </row>
    <row r="1325" spans="5:19" s="293" customFormat="1" x14ac:dyDescent="0.25">
      <c r="F1325" s="196" t="s">
        <v>930</v>
      </c>
      <c r="G1325" s="196" t="s">
        <v>170</v>
      </c>
      <c r="H1325" s="196" t="s">
        <v>479</v>
      </c>
      <c r="I1325" s="66"/>
      <c r="J1325" s="233">
        <f t="shared" ref="J1325" si="127">CHOOSE(year_selection, L1325,M1325,N1325,O1325,P1325,Q1325,R1325,S1325)</f>
        <v>961.25880896042884</v>
      </c>
      <c r="K1325" s="234"/>
      <c r="L1325" s="330"/>
      <c r="M1325" s="330"/>
      <c r="N1325" s="330"/>
      <c r="O1325" s="330">
        <v>961.25880896042884</v>
      </c>
      <c r="P1325" s="330">
        <v>1043.7624515590503</v>
      </c>
      <c r="Q1325" s="330">
        <v>1043.7624515590503</v>
      </c>
      <c r="R1325" s="330">
        <v>1126.2660941576719</v>
      </c>
      <c r="S1325" s="330">
        <v>1208.7697367562935</v>
      </c>
    </row>
    <row r="1326" spans="5:19" s="293" customFormat="1" x14ac:dyDescent="0.25">
      <c r="F1326" s="196" t="s">
        <v>931</v>
      </c>
      <c r="G1326" s="196" t="s">
        <v>170</v>
      </c>
      <c r="H1326" s="196" t="s">
        <v>479</v>
      </c>
      <c r="I1326" s="66"/>
      <c r="J1326" s="239"/>
      <c r="K1326" s="234"/>
      <c r="L1326" s="239"/>
      <c r="M1326" s="239"/>
      <c r="N1326" s="239"/>
      <c r="O1326" s="239"/>
      <c r="P1326" s="239"/>
      <c r="Q1326" s="239"/>
      <c r="R1326" s="239"/>
      <c r="S1326" s="239"/>
    </row>
    <row r="1327" spans="5:19" s="293" customFormat="1" x14ac:dyDescent="0.25">
      <c r="F1327" s="196" t="s">
        <v>932</v>
      </c>
      <c r="G1327" s="196" t="s">
        <v>170</v>
      </c>
      <c r="H1327" s="196" t="s">
        <v>479</v>
      </c>
      <c r="I1327" s="66"/>
      <c r="J1327" s="239"/>
      <c r="K1327" s="234"/>
      <c r="L1327" s="239"/>
      <c r="M1327" s="239"/>
      <c r="N1327" s="239"/>
      <c r="O1327" s="239"/>
      <c r="P1327" s="239"/>
      <c r="Q1327" s="239"/>
      <c r="R1327" s="239"/>
      <c r="S1327" s="239"/>
    </row>
    <row r="1328" spans="5:19" s="293" customFormat="1" x14ac:dyDescent="0.25">
      <c r="F1328" s="196" t="s">
        <v>933</v>
      </c>
      <c r="G1328" s="196" t="s">
        <v>170</v>
      </c>
      <c r="H1328" s="196" t="s">
        <v>479</v>
      </c>
      <c r="I1328" s="66"/>
      <c r="J1328" s="239"/>
      <c r="K1328" s="234"/>
      <c r="L1328" s="239"/>
      <c r="M1328" s="239"/>
      <c r="N1328" s="239"/>
      <c r="O1328" s="239"/>
      <c r="P1328" s="239"/>
      <c r="Q1328" s="239"/>
      <c r="R1328" s="239"/>
      <c r="S1328" s="239"/>
    </row>
    <row r="1329" spans="3:21" s="293" customFormat="1" x14ac:dyDescent="0.25">
      <c r="F1329" s="196" t="s">
        <v>934</v>
      </c>
      <c r="G1329" s="196" t="s">
        <v>170</v>
      </c>
      <c r="H1329" s="196" t="s">
        <v>479</v>
      </c>
      <c r="I1329" s="66"/>
      <c r="J1329" s="239"/>
      <c r="K1329" s="234"/>
      <c r="L1329" s="239"/>
      <c r="M1329" s="239"/>
      <c r="N1329" s="239"/>
      <c r="O1329" s="239"/>
      <c r="P1329" s="239"/>
      <c r="Q1329" s="239"/>
      <c r="R1329" s="239"/>
      <c r="S1329" s="239"/>
    </row>
    <row r="1330" spans="3:21" s="293" customFormat="1" x14ac:dyDescent="0.25">
      <c r="F1330" s="196" t="s">
        <v>935</v>
      </c>
      <c r="G1330" s="196" t="s">
        <v>170</v>
      </c>
      <c r="H1330" s="196" t="s">
        <v>479</v>
      </c>
      <c r="I1330" s="66"/>
      <c r="J1330" s="239"/>
      <c r="K1330" s="234"/>
      <c r="L1330" s="239"/>
      <c r="M1330" s="239"/>
      <c r="N1330" s="239"/>
      <c r="O1330" s="239"/>
      <c r="P1330" s="239"/>
      <c r="Q1330" s="239"/>
      <c r="R1330" s="239"/>
      <c r="S1330" s="239"/>
    </row>
    <row r="1331" spans="3:21" s="293" customFormat="1" x14ac:dyDescent="0.25">
      <c r="F1331" s="196" t="s">
        <v>936</v>
      </c>
      <c r="G1331" s="196" t="s">
        <v>170</v>
      </c>
      <c r="H1331" s="196" t="s">
        <v>479</v>
      </c>
      <c r="I1331" s="66"/>
      <c r="J1331" s="239"/>
      <c r="K1331" s="234"/>
      <c r="L1331" s="239"/>
      <c r="M1331" s="239"/>
      <c r="N1331" s="239"/>
      <c r="O1331" s="239"/>
      <c r="P1331" s="239"/>
      <c r="Q1331" s="239"/>
      <c r="R1331" s="239"/>
      <c r="S1331" s="239"/>
    </row>
    <row r="1332" spans="3:21" s="293" customFormat="1" x14ac:dyDescent="0.25">
      <c r="F1332" s="196" t="s">
        <v>937</v>
      </c>
      <c r="G1332" s="196" t="s">
        <v>170</v>
      </c>
      <c r="H1332" s="196" t="s">
        <v>479</v>
      </c>
      <c r="I1332" s="66"/>
      <c r="J1332" s="239"/>
      <c r="K1332" s="234"/>
      <c r="L1332" s="239"/>
      <c r="M1332" s="239"/>
      <c r="N1332" s="239"/>
      <c r="O1332" s="239"/>
      <c r="P1332" s="239"/>
      <c r="Q1332" s="239"/>
      <c r="R1332" s="239"/>
      <c r="S1332" s="239"/>
    </row>
    <row r="1333" spans="3:21" s="293" customFormat="1" x14ac:dyDescent="0.25">
      <c r="F1333" s="196" t="s">
        <v>938</v>
      </c>
      <c r="G1333" s="196" t="s">
        <v>170</v>
      </c>
      <c r="H1333" s="196" t="s">
        <v>479</v>
      </c>
      <c r="I1333" s="66"/>
      <c r="J1333" s="239"/>
      <c r="K1333" s="234"/>
      <c r="L1333" s="239"/>
      <c r="M1333" s="239"/>
      <c r="N1333" s="239"/>
      <c r="O1333" s="239"/>
      <c r="P1333" s="239"/>
      <c r="Q1333" s="239"/>
      <c r="R1333" s="239"/>
      <c r="S1333" s="239"/>
    </row>
    <row r="1334" spans="3:21" s="293" customFormat="1" x14ac:dyDescent="0.25">
      <c r="F1334" s="196" t="s">
        <v>939</v>
      </c>
      <c r="G1334" s="196" t="s">
        <v>170</v>
      </c>
      <c r="H1334" s="196" t="s">
        <v>479</v>
      </c>
      <c r="I1334" s="66"/>
      <c r="J1334" s="239"/>
      <c r="K1334" s="234"/>
      <c r="L1334" s="239"/>
      <c r="M1334" s="239"/>
      <c r="N1334" s="239"/>
      <c r="O1334" s="239"/>
      <c r="P1334" s="239"/>
      <c r="Q1334" s="239"/>
      <c r="R1334" s="239"/>
      <c r="S1334" s="239"/>
    </row>
    <row r="1335" spans="3:21" s="293" customFormat="1" x14ac:dyDescent="0.25">
      <c r="F1335" s="196" t="s">
        <v>940</v>
      </c>
      <c r="G1335" s="196" t="s">
        <v>170</v>
      </c>
      <c r="H1335" s="196" t="s">
        <v>479</v>
      </c>
      <c r="I1335" s="66"/>
      <c r="J1335" s="239"/>
      <c r="K1335" s="234"/>
      <c r="L1335" s="239"/>
      <c r="M1335" s="239"/>
      <c r="N1335" s="239"/>
      <c r="O1335" s="239"/>
      <c r="P1335" s="239"/>
      <c r="Q1335" s="239"/>
      <c r="R1335" s="239"/>
      <c r="S1335" s="239"/>
    </row>
    <row r="1336" spans="3:21" s="293" customFormat="1" x14ac:dyDescent="0.25">
      <c r="F1336" s="93" t="s">
        <v>941</v>
      </c>
      <c r="G1336" s="93" t="s">
        <v>170</v>
      </c>
      <c r="H1336" s="93" t="s">
        <v>479</v>
      </c>
      <c r="I1336" s="145"/>
      <c r="J1336" s="240"/>
      <c r="K1336" s="236"/>
      <c r="L1336" s="240"/>
      <c r="M1336" s="240"/>
      <c r="N1336" s="240"/>
      <c r="O1336" s="240"/>
      <c r="P1336" s="240"/>
      <c r="Q1336" s="240"/>
      <c r="R1336" s="240"/>
      <c r="S1336" s="240"/>
    </row>
    <row r="1337" spans="3:21" s="293" customFormat="1" x14ac:dyDescent="0.25">
      <c r="I1337" s="111"/>
      <c r="J1337" s="237"/>
      <c r="K1337" s="237"/>
      <c r="L1337" s="237"/>
      <c r="M1337" s="237"/>
      <c r="N1337" s="237"/>
      <c r="O1337" s="237"/>
      <c r="P1337" s="237"/>
      <c r="Q1337" s="237"/>
      <c r="R1337" s="237"/>
      <c r="S1337" s="237"/>
    </row>
    <row r="1338" spans="3:21" x14ac:dyDescent="0.25">
      <c r="C1338" s="7" t="str">
        <f ca="1">INDEX('Version control'!$H$35:$H$61,MATCH($A$1,'Version control'!$F$35:$F$61,0),1)&amp;"-M: LDNO HV volumes - No residual"</f>
        <v>Input 501-M: LDNO HV volumes - No residual</v>
      </c>
      <c r="D1338" s="7"/>
      <c r="E1338" s="7"/>
      <c r="F1338" s="7"/>
      <c r="G1338" s="7"/>
      <c r="H1338" s="7"/>
      <c r="I1338" s="171"/>
      <c r="J1338" s="242"/>
      <c r="K1338" s="242"/>
      <c r="L1338" s="242"/>
      <c r="M1338" s="242"/>
      <c r="N1338" s="242"/>
      <c r="O1338" s="242"/>
      <c r="P1338" s="242"/>
      <c r="Q1338" s="242"/>
      <c r="R1338" s="242"/>
      <c r="S1338" s="242"/>
      <c r="T1338" s="7"/>
      <c r="U1338" s="7"/>
    </row>
    <row r="1339" spans="3:21" x14ac:dyDescent="0.25">
      <c r="D1339" s="96"/>
      <c r="L1339" s="293"/>
      <c r="M1339" s="293"/>
      <c r="N1339" s="293"/>
      <c r="P1339" s="293"/>
      <c r="Q1339" s="293"/>
      <c r="R1339" s="293"/>
      <c r="S1339" s="293"/>
    </row>
    <row r="1340" spans="3:21" x14ac:dyDescent="0.25">
      <c r="E1340" s="144" t="s">
        <v>199</v>
      </c>
      <c r="I1340" s="111" t="s">
        <v>359</v>
      </c>
      <c r="J1340" s="237"/>
      <c r="K1340" s="237"/>
      <c r="L1340" s="237"/>
      <c r="M1340" s="237"/>
      <c r="N1340" s="237"/>
      <c r="O1340" s="237"/>
      <c r="P1340" s="237"/>
      <c r="Q1340" s="237"/>
      <c r="R1340" s="237"/>
      <c r="S1340" s="237"/>
      <c r="U1340" s="85" t="s">
        <v>692</v>
      </c>
    </row>
    <row r="1341" spans="3:21" x14ac:dyDescent="0.25">
      <c r="F1341" s="91" t="s">
        <v>926</v>
      </c>
      <c r="G1341" s="91" t="s">
        <v>120</v>
      </c>
      <c r="H1341" s="91" t="s">
        <v>480</v>
      </c>
      <c r="I1341" s="112"/>
      <c r="J1341" s="238"/>
      <c r="K1341" s="232"/>
      <c r="L1341" s="238"/>
      <c r="M1341" s="238"/>
      <c r="N1341" s="238"/>
      <c r="O1341" s="238"/>
      <c r="P1341" s="238"/>
      <c r="Q1341" s="238"/>
      <c r="R1341" s="238"/>
      <c r="S1341" s="238"/>
    </row>
    <row r="1342" spans="3:21" x14ac:dyDescent="0.25">
      <c r="F1342" s="196" t="s">
        <v>927</v>
      </c>
      <c r="G1342" s="196" t="s">
        <v>120</v>
      </c>
      <c r="H1342" s="196" t="s">
        <v>480</v>
      </c>
      <c r="I1342" s="66"/>
      <c r="J1342" s="233">
        <f t="shared" ref="J1342:J1355" si="128">CHOOSE(year_selection, L1342,M1342,N1342,O1342,P1342,Q1342,R1342,S1342)</f>
        <v>179.77446786950873</v>
      </c>
      <c r="K1342" s="234"/>
      <c r="L1342" s="330"/>
      <c r="M1342" s="330"/>
      <c r="N1342" s="330"/>
      <c r="O1342" s="330">
        <v>179.77446786950873</v>
      </c>
      <c r="P1342" s="330">
        <v>169.08660620518614</v>
      </c>
      <c r="Q1342" s="330">
        <v>169.08660620518614</v>
      </c>
      <c r="R1342" s="330">
        <v>169.08660620518614</v>
      </c>
      <c r="S1342" s="330">
        <v>169.08660620518614</v>
      </c>
    </row>
    <row r="1343" spans="3:21" x14ac:dyDescent="0.25">
      <c r="F1343" s="196" t="s">
        <v>928</v>
      </c>
      <c r="G1343" s="196" t="s">
        <v>120</v>
      </c>
      <c r="H1343" s="196" t="s">
        <v>480</v>
      </c>
      <c r="I1343" s="66"/>
      <c r="J1343" s="233">
        <f t="shared" si="128"/>
        <v>8.5000605450719816E-2</v>
      </c>
      <c r="K1343" s="234"/>
      <c r="L1343" s="330"/>
      <c r="M1343" s="330"/>
      <c r="N1343" s="330"/>
      <c r="O1343" s="330">
        <v>8.5000605450719816E-2</v>
      </c>
      <c r="P1343" s="330">
        <v>9.4775407858996338E-2</v>
      </c>
      <c r="Q1343" s="330">
        <v>0.10455021026727282</v>
      </c>
      <c r="R1343" s="330">
        <v>0.11432501267554931</v>
      </c>
      <c r="S1343" s="330">
        <v>0.12409981508382578</v>
      </c>
    </row>
    <row r="1344" spans="3:21" x14ac:dyDescent="0.25">
      <c r="F1344" s="196" t="s">
        <v>929</v>
      </c>
      <c r="G1344" s="196" t="s">
        <v>120</v>
      </c>
      <c r="H1344" s="196" t="s">
        <v>480</v>
      </c>
      <c r="I1344" s="66"/>
      <c r="J1344" s="233">
        <f t="shared" si="128"/>
        <v>50.994806112427376</v>
      </c>
      <c r="K1344" s="234"/>
      <c r="L1344" s="330"/>
      <c r="M1344" s="330"/>
      <c r="N1344" s="330"/>
      <c r="O1344" s="330">
        <v>50.994806112427376</v>
      </c>
      <c r="P1344" s="330">
        <v>50.994806112427376</v>
      </c>
      <c r="Q1344" s="330">
        <v>50.994806112427376</v>
      </c>
      <c r="R1344" s="330">
        <v>50.994806112427376</v>
      </c>
      <c r="S1344" s="330">
        <v>50.994806112427376</v>
      </c>
    </row>
    <row r="1345" spans="5:19" x14ac:dyDescent="0.25">
      <c r="F1345" s="196" t="s">
        <v>930</v>
      </c>
      <c r="G1345" s="196" t="s">
        <v>120</v>
      </c>
      <c r="H1345" s="196" t="s">
        <v>480</v>
      </c>
      <c r="I1345" s="66"/>
      <c r="J1345" s="233">
        <f t="shared" si="128"/>
        <v>2.5727093827384553</v>
      </c>
      <c r="K1345" s="234"/>
      <c r="L1345" s="330"/>
      <c r="M1345" s="330"/>
      <c r="N1345" s="330"/>
      <c r="O1345" s="330">
        <v>2.5727093827384553</v>
      </c>
      <c r="P1345" s="330">
        <v>2.428659275482306</v>
      </c>
      <c r="Q1345" s="330">
        <v>2.4167808853066424</v>
      </c>
      <c r="R1345" s="330">
        <v>2.3934678730310366</v>
      </c>
      <c r="S1345" s="330">
        <v>2.3701548607554312</v>
      </c>
    </row>
    <row r="1346" spans="5:19" x14ac:dyDescent="0.25">
      <c r="F1346" s="196" t="s">
        <v>931</v>
      </c>
      <c r="G1346" s="196" t="s">
        <v>120</v>
      </c>
      <c r="H1346" s="196" t="s">
        <v>480</v>
      </c>
      <c r="I1346" s="66"/>
      <c r="J1346" s="233">
        <f t="shared" si="128"/>
        <v>0</v>
      </c>
      <c r="K1346" s="234"/>
      <c r="L1346" s="330"/>
      <c r="M1346" s="330"/>
      <c r="N1346" s="330"/>
      <c r="O1346" s="330">
        <v>0</v>
      </c>
      <c r="P1346" s="330">
        <v>0</v>
      </c>
      <c r="Q1346" s="330">
        <v>0</v>
      </c>
      <c r="R1346" s="330">
        <v>0</v>
      </c>
      <c r="S1346" s="330">
        <v>0</v>
      </c>
    </row>
    <row r="1347" spans="5:19" x14ac:dyDescent="0.25">
      <c r="F1347" s="196" t="s">
        <v>932</v>
      </c>
      <c r="G1347" s="196" t="s">
        <v>120</v>
      </c>
      <c r="H1347" s="196" t="s">
        <v>480</v>
      </c>
      <c r="I1347" s="66"/>
      <c r="J1347" s="233">
        <f t="shared" si="128"/>
        <v>1.946449261641106</v>
      </c>
      <c r="K1347" s="234"/>
      <c r="L1347" s="330"/>
      <c r="M1347" s="330"/>
      <c r="N1347" s="330"/>
      <c r="O1347" s="330">
        <v>1.946449261641106</v>
      </c>
      <c r="P1347" s="330">
        <v>1.946449261641106</v>
      </c>
      <c r="Q1347" s="330">
        <v>1.946449261641106</v>
      </c>
      <c r="R1347" s="330">
        <v>1.946449261641106</v>
      </c>
      <c r="S1347" s="330">
        <v>1.946449261641106</v>
      </c>
    </row>
    <row r="1348" spans="5:19" x14ac:dyDescent="0.25">
      <c r="F1348" s="196" t="s">
        <v>933</v>
      </c>
      <c r="G1348" s="196" t="s">
        <v>120</v>
      </c>
      <c r="H1348" s="196" t="s">
        <v>480</v>
      </c>
      <c r="I1348" s="66"/>
      <c r="J1348" s="239"/>
      <c r="K1348" s="234"/>
      <c r="L1348" s="239"/>
      <c r="M1348" s="239"/>
      <c r="N1348" s="239"/>
      <c r="O1348" s="239"/>
      <c r="P1348" s="239"/>
      <c r="Q1348" s="239"/>
      <c r="R1348" s="239"/>
      <c r="S1348" s="239"/>
    </row>
    <row r="1349" spans="5:19" x14ac:dyDescent="0.25">
      <c r="F1349" s="196" t="s">
        <v>934</v>
      </c>
      <c r="G1349" s="196" t="s">
        <v>120</v>
      </c>
      <c r="H1349" s="196" t="s">
        <v>480</v>
      </c>
      <c r="I1349" s="66"/>
      <c r="J1349" s="233">
        <f t="shared" si="128"/>
        <v>5.4054629554655884</v>
      </c>
      <c r="K1349" s="234"/>
      <c r="L1349" s="330"/>
      <c r="M1349" s="330"/>
      <c r="N1349" s="330"/>
      <c r="O1349" s="330">
        <v>5.4054629554655884</v>
      </c>
      <c r="P1349" s="330">
        <v>5.4054629554655884</v>
      </c>
      <c r="Q1349" s="330">
        <v>5.4054629554655884</v>
      </c>
      <c r="R1349" s="330">
        <v>5.4054629554655884</v>
      </c>
      <c r="S1349" s="330">
        <v>5.4054629554655884</v>
      </c>
    </row>
    <row r="1350" spans="5:19" x14ac:dyDescent="0.25">
      <c r="F1350" s="196" t="s">
        <v>935</v>
      </c>
      <c r="G1350" s="196" t="s">
        <v>120</v>
      </c>
      <c r="H1350" s="196" t="s">
        <v>480</v>
      </c>
      <c r="I1350" s="66"/>
      <c r="J1350" s="233">
        <f t="shared" si="128"/>
        <v>3.2511697241080468</v>
      </c>
      <c r="K1350" s="234"/>
      <c r="L1350" s="330"/>
      <c r="M1350" s="330"/>
      <c r="N1350" s="330"/>
      <c r="O1350" s="330">
        <v>3.2511697241080468</v>
      </c>
      <c r="P1350" s="330">
        <v>3.2511697241080468</v>
      </c>
      <c r="Q1350" s="330">
        <v>3.2511697241080468</v>
      </c>
      <c r="R1350" s="330">
        <v>3.2511697241080468</v>
      </c>
      <c r="S1350" s="330">
        <v>3.2511697241080468</v>
      </c>
    </row>
    <row r="1351" spans="5:19" x14ac:dyDescent="0.25">
      <c r="F1351" s="196" t="s">
        <v>936</v>
      </c>
      <c r="G1351" s="196" t="s">
        <v>120</v>
      </c>
      <c r="H1351" s="196" t="s">
        <v>480</v>
      </c>
      <c r="I1351" s="66"/>
      <c r="J1351" s="233">
        <f t="shared" si="128"/>
        <v>10.272978968253968</v>
      </c>
      <c r="K1351" s="234"/>
      <c r="L1351" s="330"/>
      <c r="M1351" s="330"/>
      <c r="N1351" s="330"/>
      <c r="O1351" s="330">
        <v>10.272978968253968</v>
      </c>
      <c r="P1351" s="330">
        <v>10.272978968253968</v>
      </c>
      <c r="Q1351" s="330">
        <v>10.272978968253968</v>
      </c>
      <c r="R1351" s="330">
        <v>10.272978968253968</v>
      </c>
      <c r="S1351" s="330">
        <v>10.272978968253968</v>
      </c>
    </row>
    <row r="1352" spans="5:19" x14ac:dyDescent="0.25">
      <c r="F1352" s="196" t="s">
        <v>937</v>
      </c>
      <c r="G1352" s="196" t="s">
        <v>120</v>
      </c>
      <c r="H1352" s="196" t="s">
        <v>480</v>
      </c>
      <c r="I1352" s="66"/>
      <c r="J1352" s="239"/>
      <c r="K1352" s="234"/>
      <c r="L1352" s="239"/>
      <c r="M1352" s="239"/>
      <c r="N1352" s="239"/>
      <c r="O1352" s="239"/>
      <c r="P1352" s="239"/>
      <c r="Q1352" s="239"/>
      <c r="R1352" s="239"/>
      <c r="S1352" s="239"/>
    </row>
    <row r="1353" spans="5:19" x14ac:dyDescent="0.25">
      <c r="F1353" s="196" t="s">
        <v>938</v>
      </c>
      <c r="G1353" s="196" t="s">
        <v>120</v>
      </c>
      <c r="H1353" s="196" t="s">
        <v>480</v>
      </c>
      <c r="I1353" s="66"/>
      <c r="J1353" s="233">
        <f t="shared" si="128"/>
        <v>0</v>
      </c>
      <c r="K1353" s="234"/>
      <c r="L1353" s="330"/>
      <c r="M1353" s="330"/>
      <c r="N1353" s="330"/>
      <c r="O1353" s="330">
        <v>0</v>
      </c>
      <c r="P1353" s="330">
        <v>0</v>
      </c>
      <c r="Q1353" s="330">
        <v>0</v>
      </c>
      <c r="R1353" s="330">
        <v>0</v>
      </c>
      <c r="S1353" s="330">
        <v>0</v>
      </c>
    </row>
    <row r="1354" spans="5:19" x14ac:dyDescent="0.25">
      <c r="F1354" s="196" t="s">
        <v>939</v>
      </c>
      <c r="G1354" s="196" t="s">
        <v>120</v>
      </c>
      <c r="H1354" s="196" t="s">
        <v>480</v>
      </c>
      <c r="I1354" s="66"/>
      <c r="J1354" s="239"/>
      <c r="K1354" s="234"/>
      <c r="L1354" s="239"/>
      <c r="M1354" s="239"/>
      <c r="N1354" s="239"/>
      <c r="O1354" s="239"/>
      <c r="P1354" s="239"/>
      <c r="Q1354" s="239"/>
      <c r="R1354" s="239"/>
      <c r="S1354" s="239"/>
    </row>
    <row r="1355" spans="5:19" x14ac:dyDescent="0.25">
      <c r="F1355" s="196" t="s">
        <v>940</v>
      </c>
      <c r="G1355" s="196" t="s">
        <v>120</v>
      </c>
      <c r="H1355" s="196" t="s">
        <v>480</v>
      </c>
      <c r="I1355" s="66"/>
      <c r="J1355" s="233">
        <f t="shared" si="128"/>
        <v>25.409700000000001</v>
      </c>
      <c r="K1355" s="234"/>
      <c r="L1355" s="330"/>
      <c r="M1355" s="330"/>
      <c r="N1355" s="330"/>
      <c r="O1355" s="330">
        <v>25.409700000000001</v>
      </c>
      <c r="P1355" s="330">
        <v>25.409700000000001</v>
      </c>
      <c r="Q1355" s="330">
        <v>25.409700000000001</v>
      </c>
      <c r="R1355" s="330">
        <v>25.409700000000001</v>
      </c>
      <c r="S1355" s="330">
        <v>25.409700000000001</v>
      </c>
    </row>
    <row r="1356" spans="5:19" x14ac:dyDescent="0.25">
      <c r="F1356" s="93" t="s">
        <v>941</v>
      </c>
      <c r="G1356" s="93" t="s">
        <v>120</v>
      </c>
      <c r="H1356" s="93" t="s">
        <v>480</v>
      </c>
      <c r="I1356" s="145"/>
      <c r="J1356" s="240"/>
      <c r="K1356" s="236"/>
      <c r="L1356" s="240"/>
      <c r="M1356" s="240"/>
      <c r="N1356" s="240"/>
      <c r="O1356" s="240"/>
      <c r="P1356" s="240"/>
      <c r="Q1356" s="240"/>
      <c r="R1356" s="240"/>
      <c r="S1356" s="240"/>
    </row>
    <row r="1357" spans="5:19" x14ac:dyDescent="0.25">
      <c r="J1357" s="237"/>
      <c r="K1357" s="237"/>
      <c r="L1357" s="237"/>
      <c r="M1357" s="237"/>
      <c r="N1357" s="237"/>
      <c r="O1357" s="237"/>
      <c r="P1357" s="237"/>
      <c r="Q1357" s="237"/>
      <c r="R1357" s="237"/>
      <c r="S1357" s="237"/>
    </row>
    <row r="1358" spans="5:19" x14ac:dyDescent="0.25">
      <c r="E1358" s="144" t="s">
        <v>200</v>
      </c>
      <c r="J1358" s="237"/>
      <c r="K1358" s="237"/>
      <c r="L1358" s="237"/>
      <c r="M1358" s="237"/>
      <c r="N1358" s="237"/>
      <c r="O1358" s="237"/>
      <c r="P1358" s="237"/>
      <c r="Q1358" s="237"/>
      <c r="R1358" s="237"/>
      <c r="S1358" s="237"/>
    </row>
    <row r="1359" spans="5:19" x14ac:dyDescent="0.25">
      <c r="F1359" s="91" t="s">
        <v>926</v>
      </c>
      <c r="G1359" s="91" t="s">
        <v>120</v>
      </c>
      <c r="H1359" s="91" t="s">
        <v>480</v>
      </c>
      <c r="I1359" s="112"/>
      <c r="J1359" s="238"/>
      <c r="K1359" s="232"/>
      <c r="L1359" s="238"/>
      <c r="M1359" s="238"/>
      <c r="N1359" s="238"/>
      <c r="O1359" s="238"/>
      <c r="P1359" s="238"/>
      <c r="Q1359" s="238"/>
      <c r="R1359" s="238"/>
      <c r="S1359" s="238"/>
    </row>
    <row r="1360" spans="5:19" x14ac:dyDescent="0.25">
      <c r="F1360" s="196" t="s">
        <v>927</v>
      </c>
      <c r="G1360" s="196" t="s">
        <v>120</v>
      </c>
      <c r="H1360" s="196" t="s">
        <v>480</v>
      </c>
      <c r="I1360" s="66"/>
      <c r="J1360" s="233">
        <f t="shared" ref="J1360:J1365" si="129">CHOOSE(year_selection, L1360,M1360,N1360,O1360,P1360,Q1360,R1360,S1360)</f>
        <v>844.36342956518479</v>
      </c>
      <c r="K1360" s="234"/>
      <c r="L1360" s="330"/>
      <c r="M1360" s="330"/>
      <c r="N1360" s="330"/>
      <c r="O1360" s="330">
        <v>844.36342956518479</v>
      </c>
      <c r="P1360" s="330">
        <v>794.16475765947121</v>
      </c>
      <c r="Q1360" s="330">
        <v>794.16475765947121</v>
      </c>
      <c r="R1360" s="330">
        <v>794.16475765947121</v>
      </c>
      <c r="S1360" s="330">
        <v>794.16475765947121</v>
      </c>
    </row>
    <row r="1361" spans="5:19" x14ac:dyDescent="0.25">
      <c r="F1361" s="196" t="s">
        <v>928</v>
      </c>
      <c r="G1361" s="196" t="s">
        <v>120</v>
      </c>
      <c r="H1361" s="196" t="s">
        <v>480</v>
      </c>
      <c r="I1361" s="66"/>
      <c r="J1361" s="233">
        <f t="shared" si="129"/>
        <v>0.58630721734623636</v>
      </c>
      <c r="K1361" s="234"/>
      <c r="L1361" s="330"/>
      <c r="M1361" s="330"/>
      <c r="N1361" s="330"/>
      <c r="O1361" s="330">
        <v>0.58630721734623636</v>
      </c>
      <c r="P1361" s="330">
        <v>0.65724561382991653</v>
      </c>
      <c r="Q1361" s="330">
        <v>0.72734225804550556</v>
      </c>
      <c r="R1361" s="330">
        <v>0.79708340213581108</v>
      </c>
      <c r="S1361" s="330">
        <v>0.86682454622611671</v>
      </c>
    </row>
    <row r="1362" spans="5:19" x14ac:dyDescent="0.25">
      <c r="F1362" s="196" t="s">
        <v>929</v>
      </c>
      <c r="G1362" s="196" t="s">
        <v>120</v>
      </c>
      <c r="H1362" s="196" t="s">
        <v>480</v>
      </c>
      <c r="I1362" s="66"/>
      <c r="J1362" s="233">
        <f t="shared" si="129"/>
        <v>311.10576867355189</v>
      </c>
      <c r="K1362" s="234"/>
      <c r="L1362" s="330"/>
      <c r="M1362" s="330"/>
      <c r="N1362" s="330"/>
      <c r="O1362" s="330">
        <v>311.10576867355189</v>
      </c>
      <c r="P1362" s="330">
        <v>311.10576867355189</v>
      </c>
      <c r="Q1362" s="330">
        <v>311.10576867355189</v>
      </c>
      <c r="R1362" s="330">
        <v>311.10576867355189</v>
      </c>
      <c r="S1362" s="330">
        <v>311.10576867355189</v>
      </c>
    </row>
    <row r="1363" spans="5:19" x14ac:dyDescent="0.25">
      <c r="F1363" s="196" t="s">
        <v>930</v>
      </c>
      <c r="G1363" s="196" t="s">
        <v>120</v>
      </c>
      <c r="H1363" s="196" t="s">
        <v>480</v>
      </c>
      <c r="I1363" s="66"/>
      <c r="J1363" s="233">
        <f t="shared" si="129"/>
        <v>13.832706372048838</v>
      </c>
      <c r="K1363" s="234"/>
      <c r="L1363" s="330"/>
      <c r="M1363" s="330"/>
      <c r="N1363" s="330"/>
      <c r="O1363" s="330">
        <v>13.832706372048838</v>
      </c>
      <c r="P1363" s="330">
        <v>12.975007089400043</v>
      </c>
      <c r="Q1363" s="330">
        <v>12.850613578529924</v>
      </c>
      <c r="R1363" s="330">
        <v>12.67434693171489</v>
      </c>
      <c r="S1363" s="330">
        <v>12.498080284899856</v>
      </c>
    </row>
    <row r="1364" spans="5:19" x14ac:dyDescent="0.25">
      <c r="F1364" s="196" t="s">
        <v>931</v>
      </c>
      <c r="G1364" s="196" t="s">
        <v>120</v>
      </c>
      <c r="H1364" s="196" t="s">
        <v>480</v>
      </c>
      <c r="I1364" s="66"/>
      <c r="J1364" s="233">
        <f t="shared" si="129"/>
        <v>0</v>
      </c>
      <c r="K1364" s="234"/>
      <c r="L1364" s="330"/>
      <c r="M1364" s="330"/>
      <c r="N1364" s="330"/>
      <c r="O1364" s="330">
        <v>0</v>
      </c>
      <c r="P1364" s="330">
        <v>0</v>
      </c>
      <c r="Q1364" s="330">
        <v>0</v>
      </c>
      <c r="R1364" s="330">
        <v>0</v>
      </c>
      <c r="S1364" s="330">
        <v>0</v>
      </c>
    </row>
    <row r="1365" spans="5:19" x14ac:dyDescent="0.25">
      <c r="F1365" s="196" t="s">
        <v>932</v>
      </c>
      <c r="G1365" s="196" t="s">
        <v>120</v>
      </c>
      <c r="H1365" s="196" t="s">
        <v>480</v>
      </c>
      <c r="I1365" s="66"/>
      <c r="J1365" s="233">
        <f t="shared" si="129"/>
        <v>8.0794601484360076</v>
      </c>
      <c r="K1365" s="234"/>
      <c r="L1365" s="330"/>
      <c r="M1365" s="330"/>
      <c r="N1365" s="330"/>
      <c r="O1365" s="330">
        <v>8.0794601484360076</v>
      </c>
      <c r="P1365" s="330">
        <v>7.1108483352503713</v>
      </c>
      <c r="Q1365" s="330">
        <v>6.1422365220647359</v>
      </c>
      <c r="R1365" s="330">
        <v>6.1422365220647359</v>
      </c>
      <c r="S1365" s="330">
        <v>6.1422365220647359</v>
      </c>
    </row>
    <row r="1366" spans="5:19" x14ac:dyDescent="0.25">
      <c r="F1366" s="196" t="s">
        <v>933</v>
      </c>
      <c r="G1366" s="196" t="s">
        <v>120</v>
      </c>
      <c r="H1366" s="196" t="s">
        <v>480</v>
      </c>
      <c r="I1366" s="66"/>
      <c r="J1366" s="239"/>
      <c r="K1366" s="234"/>
      <c r="L1366" s="239"/>
      <c r="M1366" s="239"/>
      <c r="N1366" s="239"/>
      <c r="O1366" s="239"/>
      <c r="P1366" s="239"/>
      <c r="Q1366" s="239"/>
      <c r="R1366" s="239"/>
      <c r="S1366" s="239"/>
    </row>
    <row r="1367" spans="5:19" x14ac:dyDescent="0.25">
      <c r="F1367" s="196" t="s">
        <v>934</v>
      </c>
      <c r="G1367" s="196" t="s">
        <v>120</v>
      </c>
      <c r="H1367" s="196" t="s">
        <v>480</v>
      </c>
      <c r="I1367" s="66"/>
      <c r="J1367" s="233">
        <f t="shared" ref="J1367:J1369" si="130">CHOOSE(year_selection, L1367,M1367,N1367,O1367,P1367,Q1367,R1367,S1367)</f>
        <v>46.327257006571251</v>
      </c>
      <c r="K1367" s="234"/>
      <c r="L1367" s="330"/>
      <c r="M1367" s="330"/>
      <c r="N1367" s="330"/>
      <c r="O1367" s="330">
        <v>46.327257006571251</v>
      </c>
      <c r="P1367" s="330">
        <v>46.327257006571251</v>
      </c>
      <c r="Q1367" s="330">
        <v>46.327257006571251</v>
      </c>
      <c r="R1367" s="330">
        <v>46.327257006571251</v>
      </c>
      <c r="S1367" s="330">
        <v>46.327257006571251</v>
      </c>
    </row>
    <row r="1368" spans="5:19" x14ac:dyDescent="0.25">
      <c r="F1368" s="196" t="s">
        <v>935</v>
      </c>
      <c r="G1368" s="196" t="s">
        <v>120</v>
      </c>
      <c r="H1368" s="196" t="s">
        <v>480</v>
      </c>
      <c r="I1368" s="66"/>
      <c r="J1368" s="233">
        <f t="shared" si="130"/>
        <v>12.776181565765997</v>
      </c>
      <c r="K1368" s="234"/>
      <c r="L1368" s="330"/>
      <c r="M1368" s="330"/>
      <c r="N1368" s="330"/>
      <c r="O1368" s="330">
        <v>12.776181565765997</v>
      </c>
      <c r="P1368" s="330">
        <v>12.776181565765997</v>
      </c>
      <c r="Q1368" s="330">
        <v>12.776181565765997</v>
      </c>
      <c r="R1368" s="330">
        <v>12.776181565765997</v>
      </c>
      <c r="S1368" s="330">
        <v>12.776181565765997</v>
      </c>
    </row>
    <row r="1369" spans="5:19" x14ac:dyDescent="0.25">
      <c r="F1369" s="196" t="s">
        <v>936</v>
      </c>
      <c r="G1369" s="196" t="s">
        <v>120</v>
      </c>
      <c r="H1369" s="196" t="s">
        <v>480</v>
      </c>
      <c r="I1369" s="66"/>
      <c r="J1369" s="233">
        <f t="shared" si="130"/>
        <v>44.359057142857147</v>
      </c>
      <c r="K1369" s="234"/>
      <c r="L1369" s="330"/>
      <c r="M1369" s="330"/>
      <c r="N1369" s="330"/>
      <c r="O1369" s="330">
        <v>44.359057142857147</v>
      </c>
      <c r="P1369" s="330">
        <v>44.359057142857147</v>
      </c>
      <c r="Q1369" s="330">
        <v>44.359057142857147</v>
      </c>
      <c r="R1369" s="330">
        <v>44.359057142857147</v>
      </c>
      <c r="S1369" s="330">
        <v>44.359057142857147</v>
      </c>
    </row>
    <row r="1370" spans="5:19" x14ac:dyDescent="0.25">
      <c r="F1370" s="196" t="s">
        <v>937</v>
      </c>
      <c r="G1370" s="196" t="s">
        <v>120</v>
      </c>
      <c r="H1370" s="196" t="s">
        <v>480</v>
      </c>
      <c r="I1370" s="66"/>
      <c r="J1370" s="239"/>
      <c r="K1370" s="234"/>
      <c r="L1370" s="239"/>
      <c r="M1370" s="239"/>
      <c r="N1370" s="239"/>
      <c r="O1370" s="239"/>
      <c r="P1370" s="239"/>
      <c r="Q1370" s="239"/>
      <c r="R1370" s="239"/>
      <c r="S1370" s="239"/>
    </row>
    <row r="1371" spans="5:19" x14ac:dyDescent="0.25">
      <c r="F1371" s="196" t="s">
        <v>938</v>
      </c>
      <c r="G1371" s="196" t="s">
        <v>120</v>
      </c>
      <c r="H1371" s="196" t="s">
        <v>480</v>
      </c>
      <c r="I1371" s="66"/>
      <c r="J1371" s="233">
        <f t="shared" ref="J1371" si="131">CHOOSE(year_selection, L1371,M1371,N1371,O1371,P1371,Q1371,R1371,S1371)</f>
        <v>0</v>
      </c>
      <c r="K1371" s="234"/>
      <c r="L1371" s="330"/>
      <c r="M1371" s="330"/>
      <c r="N1371" s="330"/>
      <c r="O1371" s="330">
        <v>0</v>
      </c>
      <c r="P1371" s="330">
        <v>0</v>
      </c>
      <c r="Q1371" s="330">
        <v>0</v>
      </c>
      <c r="R1371" s="330">
        <v>0</v>
      </c>
      <c r="S1371" s="330">
        <v>0</v>
      </c>
    </row>
    <row r="1372" spans="5:19" x14ac:dyDescent="0.25">
      <c r="F1372" s="196" t="s">
        <v>939</v>
      </c>
      <c r="G1372" s="196" t="s">
        <v>120</v>
      </c>
      <c r="H1372" s="196" t="s">
        <v>480</v>
      </c>
      <c r="I1372" s="66"/>
      <c r="J1372" s="239"/>
      <c r="K1372" s="234"/>
      <c r="L1372" s="239"/>
      <c r="M1372" s="239"/>
      <c r="N1372" s="239"/>
      <c r="O1372" s="239"/>
      <c r="P1372" s="239"/>
      <c r="Q1372" s="239"/>
      <c r="R1372" s="239"/>
      <c r="S1372" s="239"/>
    </row>
    <row r="1373" spans="5:19" x14ac:dyDescent="0.25">
      <c r="F1373" s="196" t="s">
        <v>940</v>
      </c>
      <c r="G1373" s="196" t="s">
        <v>120</v>
      </c>
      <c r="H1373" s="196" t="s">
        <v>480</v>
      </c>
      <c r="I1373" s="66"/>
      <c r="J1373" s="233">
        <f t="shared" ref="J1373" si="132">CHOOSE(year_selection, L1373,M1373,N1373,O1373,P1373,Q1373,R1373,S1373)</f>
        <v>1.0569</v>
      </c>
      <c r="K1373" s="234"/>
      <c r="L1373" s="330"/>
      <c r="M1373" s="330"/>
      <c r="N1373" s="330"/>
      <c r="O1373" s="330">
        <v>1.0569</v>
      </c>
      <c r="P1373" s="330">
        <v>1.0569</v>
      </c>
      <c r="Q1373" s="330">
        <v>1.0569</v>
      </c>
      <c r="R1373" s="330">
        <v>1.0569</v>
      </c>
      <c r="S1373" s="330">
        <v>1.0569</v>
      </c>
    </row>
    <row r="1374" spans="5:19" x14ac:dyDescent="0.25">
      <c r="F1374" s="93" t="s">
        <v>941</v>
      </c>
      <c r="G1374" s="93" t="s">
        <v>120</v>
      </c>
      <c r="H1374" s="93" t="s">
        <v>480</v>
      </c>
      <c r="I1374" s="145"/>
      <c r="J1374" s="240"/>
      <c r="K1374" s="236"/>
      <c r="L1374" s="240"/>
      <c r="M1374" s="240"/>
      <c r="N1374" s="240"/>
      <c r="O1374" s="240"/>
      <c r="P1374" s="240"/>
      <c r="Q1374" s="240"/>
      <c r="R1374" s="240"/>
      <c r="S1374" s="240"/>
    </row>
    <row r="1375" spans="5:19" x14ac:dyDescent="0.25">
      <c r="J1375" s="237"/>
      <c r="K1375" s="237"/>
      <c r="L1375" s="237"/>
      <c r="M1375" s="237"/>
      <c r="N1375" s="237"/>
      <c r="O1375" s="237"/>
      <c r="P1375" s="237"/>
      <c r="Q1375" s="237"/>
      <c r="R1375" s="237"/>
      <c r="S1375" s="237"/>
    </row>
    <row r="1376" spans="5:19" x14ac:dyDescent="0.25">
      <c r="E1376" s="144" t="s">
        <v>201</v>
      </c>
      <c r="J1376" s="237"/>
      <c r="K1376" s="237"/>
      <c r="L1376" s="237"/>
      <c r="M1376" s="237"/>
      <c r="N1376" s="237"/>
      <c r="O1376" s="237"/>
      <c r="P1376" s="237"/>
      <c r="Q1376" s="237"/>
      <c r="R1376" s="237"/>
      <c r="S1376" s="237"/>
    </row>
    <row r="1377" spans="6:19" x14ac:dyDescent="0.25">
      <c r="F1377" s="91" t="s">
        <v>926</v>
      </c>
      <c r="G1377" s="91" t="s">
        <v>120</v>
      </c>
      <c r="H1377" s="91" t="s">
        <v>480</v>
      </c>
      <c r="I1377" s="112"/>
      <c r="J1377" s="238"/>
      <c r="K1377" s="232"/>
      <c r="L1377" s="238"/>
      <c r="M1377" s="238"/>
      <c r="N1377" s="238"/>
      <c r="O1377" s="238"/>
      <c r="P1377" s="238"/>
      <c r="Q1377" s="238"/>
      <c r="R1377" s="238"/>
      <c r="S1377" s="238"/>
    </row>
    <row r="1378" spans="6:19" x14ac:dyDescent="0.25">
      <c r="F1378" s="196" t="s">
        <v>927</v>
      </c>
      <c r="G1378" s="196" t="s">
        <v>120</v>
      </c>
      <c r="H1378" s="196" t="s">
        <v>480</v>
      </c>
      <c r="I1378" s="66"/>
      <c r="J1378" s="233">
        <f t="shared" ref="J1378:J1383" si="133">CHOOSE(year_selection, L1378,M1378,N1378,O1378,P1378,Q1378,R1378,S1378)</f>
        <v>757.85400103071845</v>
      </c>
      <c r="K1378" s="234"/>
      <c r="L1378" s="330"/>
      <c r="M1378" s="330"/>
      <c r="N1378" s="330"/>
      <c r="O1378" s="330">
        <v>757.85400103071845</v>
      </c>
      <c r="P1378" s="330">
        <v>712.79844436151961</v>
      </c>
      <c r="Q1378" s="330">
        <v>712.79844436151961</v>
      </c>
      <c r="R1378" s="330">
        <v>712.79844436151961</v>
      </c>
      <c r="S1378" s="330">
        <v>712.79844436151961</v>
      </c>
    </row>
    <row r="1379" spans="6:19" x14ac:dyDescent="0.25">
      <c r="F1379" s="196" t="s">
        <v>928</v>
      </c>
      <c r="G1379" s="196" t="s">
        <v>120</v>
      </c>
      <c r="H1379" s="196" t="s">
        <v>480</v>
      </c>
      <c r="I1379" s="66"/>
      <c r="J1379" s="233">
        <f t="shared" si="133"/>
        <v>0.22915121924768586</v>
      </c>
      <c r="K1379" s="234"/>
      <c r="L1379" s="330"/>
      <c r="M1379" s="330"/>
      <c r="N1379" s="330"/>
      <c r="O1379" s="330">
        <v>0.22915121924768586</v>
      </c>
      <c r="P1379" s="330">
        <v>0.25553296460649683</v>
      </c>
      <c r="Q1379" s="330">
        <v>0.28191470996530782</v>
      </c>
      <c r="R1379" s="330">
        <v>0.30829645532411876</v>
      </c>
      <c r="S1379" s="330">
        <v>0.33467820068292969</v>
      </c>
    </row>
    <row r="1380" spans="6:19" x14ac:dyDescent="0.25">
      <c r="F1380" s="196" t="s">
        <v>929</v>
      </c>
      <c r="G1380" s="196" t="s">
        <v>120</v>
      </c>
      <c r="H1380" s="196" t="s">
        <v>480</v>
      </c>
      <c r="I1380" s="66"/>
      <c r="J1380" s="233">
        <f t="shared" si="133"/>
        <v>157.64075203394657</v>
      </c>
      <c r="K1380" s="234"/>
      <c r="L1380" s="330"/>
      <c r="M1380" s="330"/>
      <c r="N1380" s="330"/>
      <c r="O1380" s="330">
        <v>157.64075203394657</v>
      </c>
      <c r="P1380" s="330">
        <v>157.64075203394657</v>
      </c>
      <c r="Q1380" s="330">
        <v>157.64075203394657</v>
      </c>
      <c r="R1380" s="330">
        <v>157.64075203394657</v>
      </c>
      <c r="S1380" s="330">
        <v>157.64075203394657</v>
      </c>
    </row>
    <row r="1381" spans="6:19" x14ac:dyDescent="0.25">
      <c r="F1381" s="196" t="s">
        <v>930</v>
      </c>
      <c r="G1381" s="196" t="s">
        <v>120</v>
      </c>
      <c r="H1381" s="196" t="s">
        <v>480</v>
      </c>
      <c r="I1381" s="66"/>
      <c r="J1381" s="233">
        <f t="shared" si="133"/>
        <v>7.6232102440074456</v>
      </c>
      <c r="K1381" s="234"/>
      <c r="L1381" s="330"/>
      <c r="M1381" s="330"/>
      <c r="N1381" s="330"/>
      <c r="O1381" s="330">
        <v>7.6232102440074456</v>
      </c>
      <c r="P1381" s="330">
        <v>7.3335240422839592</v>
      </c>
      <c r="Q1381" s="330">
        <v>7.4473995131878761</v>
      </c>
      <c r="R1381" s="330">
        <v>7.5373654443265918</v>
      </c>
      <c r="S1381" s="330">
        <v>7.6273313754653085</v>
      </c>
    </row>
    <row r="1382" spans="6:19" x14ac:dyDescent="0.25">
      <c r="F1382" s="196" t="s">
        <v>931</v>
      </c>
      <c r="G1382" s="196" t="s">
        <v>120</v>
      </c>
      <c r="H1382" s="196" t="s">
        <v>480</v>
      </c>
      <c r="I1382" s="66"/>
      <c r="J1382" s="233">
        <f t="shared" si="133"/>
        <v>0</v>
      </c>
      <c r="K1382" s="234"/>
      <c r="L1382" s="330"/>
      <c r="M1382" s="330"/>
      <c r="N1382" s="330"/>
      <c r="O1382" s="330">
        <v>0</v>
      </c>
      <c r="P1382" s="330">
        <v>0</v>
      </c>
      <c r="Q1382" s="330">
        <v>0</v>
      </c>
      <c r="R1382" s="330">
        <v>0</v>
      </c>
      <c r="S1382" s="330">
        <v>0</v>
      </c>
    </row>
    <row r="1383" spans="6:19" x14ac:dyDescent="0.25">
      <c r="F1383" s="196" t="s">
        <v>932</v>
      </c>
      <c r="G1383" s="196" t="s">
        <v>120</v>
      </c>
      <c r="H1383" s="196" t="s">
        <v>480</v>
      </c>
      <c r="I1383" s="66"/>
      <c r="J1383" s="233">
        <f t="shared" si="133"/>
        <v>5.7613474219684608</v>
      </c>
      <c r="K1383" s="234"/>
      <c r="L1383" s="330"/>
      <c r="M1383" s="330"/>
      <c r="N1383" s="330"/>
      <c r="O1383" s="330">
        <v>5.7613474219684608</v>
      </c>
      <c r="P1383" s="330">
        <v>4.9864579714199504</v>
      </c>
      <c r="Q1383" s="330">
        <v>4.2115685208714417</v>
      </c>
      <c r="R1383" s="330">
        <v>4.2115685208714417</v>
      </c>
      <c r="S1383" s="330">
        <v>4.2115685208714417</v>
      </c>
    </row>
    <row r="1384" spans="6:19" x14ac:dyDescent="0.25">
      <c r="F1384" s="196" t="s">
        <v>933</v>
      </c>
      <c r="G1384" s="196" t="s">
        <v>120</v>
      </c>
      <c r="H1384" s="196" t="s">
        <v>480</v>
      </c>
      <c r="I1384" s="66"/>
      <c r="J1384" s="239"/>
      <c r="K1384" s="234"/>
      <c r="L1384" s="239"/>
      <c r="M1384" s="239"/>
      <c r="N1384" s="239"/>
      <c r="O1384" s="239"/>
      <c r="P1384" s="239"/>
      <c r="Q1384" s="239"/>
      <c r="R1384" s="239"/>
      <c r="S1384" s="239"/>
    </row>
    <row r="1385" spans="6:19" x14ac:dyDescent="0.25">
      <c r="F1385" s="196" t="s">
        <v>934</v>
      </c>
      <c r="G1385" s="196" t="s">
        <v>120</v>
      </c>
      <c r="H1385" s="196" t="s">
        <v>480</v>
      </c>
      <c r="I1385" s="66"/>
      <c r="J1385" s="233">
        <f t="shared" ref="J1385:J1387" si="134">CHOOSE(year_selection, L1385,M1385,N1385,O1385,P1385,Q1385,R1385,S1385)</f>
        <v>4.5925501092132963</v>
      </c>
      <c r="K1385" s="234"/>
      <c r="L1385" s="330"/>
      <c r="M1385" s="330"/>
      <c r="N1385" s="330"/>
      <c r="O1385" s="330">
        <v>4.5925501092132963</v>
      </c>
      <c r="P1385" s="330">
        <v>4.5925501092132963</v>
      </c>
      <c r="Q1385" s="330">
        <v>4.5925501092132963</v>
      </c>
      <c r="R1385" s="330">
        <v>4.5925501092132963</v>
      </c>
      <c r="S1385" s="330">
        <v>4.5925501092132963</v>
      </c>
    </row>
    <row r="1386" spans="6:19" x14ac:dyDescent="0.25">
      <c r="F1386" s="196" t="s">
        <v>935</v>
      </c>
      <c r="G1386" s="196" t="s">
        <v>120</v>
      </c>
      <c r="H1386" s="196" t="s">
        <v>480</v>
      </c>
      <c r="I1386" s="66"/>
      <c r="J1386" s="233">
        <f t="shared" si="134"/>
        <v>4.3867903210204036</v>
      </c>
      <c r="K1386" s="234"/>
      <c r="L1386" s="330"/>
      <c r="M1386" s="330"/>
      <c r="N1386" s="330"/>
      <c r="O1386" s="330">
        <v>4.3867903210204036</v>
      </c>
      <c r="P1386" s="330">
        <v>4.3867903210204036</v>
      </c>
      <c r="Q1386" s="330">
        <v>4.3867903210204036</v>
      </c>
      <c r="R1386" s="330">
        <v>4.3867903210204036</v>
      </c>
      <c r="S1386" s="330">
        <v>4.3867903210204036</v>
      </c>
    </row>
    <row r="1387" spans="6:19" x14ac:dyDescent="0.25">
      <c r="F1387" s="196" t="s">
        <v>936</v>
      </c>
      <c r="G1387" s="196" t="s">
        <v>120</v>
      </c>
      <c r="H1387" s="196" t="s">
        <v>480</v>
      </c>
      <c r="I1387" s="66"/>
      <c r="J1387" s="233">
        <f t="shared" si="134"/>
        <v>30.278270238095242</v>
      </c>
      <c r="K1387" s="234"/>
      <c r="L1387" s="330"/>
      <c r="M1387" s="330"/>
      <c r="N1387" s="330"/>
      <c r="O1387" s="330">
        <v>30.278270238095242</v>
      </c>
      <c r="P1387" s="330">
        <v>30.278270238095242</v>
      </c>
      <c r="Q1387" s="330">
        <v>30.278270238095242</v>
      </c>
      <c r="R1387" s="330">
        <v>30.278270238095242</v>
      </c>
      <c r="S1387" s="330">
        <v>30.278270238095242</v>
      </c>
    </row>
    <row r="1388" spans="6:19" x14ac:dyDescent="0.25">
      <c r="F1388" s="196" t="s">
        <v>937</v>
      </c>
      <c r="G1388" s="196" t="s">
        <v>120</v>
      </c>
      <c r="H1388" s="196" t="s">
        <v>480</v>
      </c>
      <c r="I1388" s="66"/>
      <c r="J1388" s="239"/>
      <c r="K1388" s="234"/>
      <c r="L1388" s="239"/>
      <c r="M1388" s="239"/>
      <c r="N1388" s="239"/>
      <c r="O1388" s="239"/>
      <c r="P1388" s="239"/>
      <c r="Q1388" s="239"/>
      <c r="R1388" s="239"/>
      <c r="S1388" s="239"/>
    </row>
    <row r="1389" spans="6:19" x14ac:dyDescent="0.25">
      <c r="F1389" s="196" t="s">
        <v>938</v>
      </c>
      <c r="G1389" s="196" t="s">
        <v>120</v>
      </c>
      <c r="H1389" s="196" t="s">
        <v>480</v>
      </c>
      <c r="I1389" s="66"/>
      <c r="J1389" s="233">
        <f t="shared" ref="J1389" si="135">CHOOSE(year_selection, L1389,M1389,N1389,O1389,P1389,Q1389,R1389,S1389)</f>
        <v>0</v>
      </c>
      <c r="K1389" s="234"/>
      <c r="L1389" s="330"/>
      <c r="M1389" s="330"/>
      <c r="N1389" s="330"/>
      <c r="O1389" s="330">
        <v>0</v>
      </c>
      <c r="P1389" s="330">
        <v>0</v>
      </c>
      <c r="Q1389" s="330">
        <v>0</v>
      </c>
      <c r="R1389" s="330">
        <v>0</v>
      </c>
      <c r="S1389" s="330">
        <v>0</v>
      </c>
    </row>
    <row r="1390" spans="6:19" x14ac:dyDescent="0.25">
      <c r="F1390" s="196" t="s">
        <v>939</v>
      </c>
      <c r="G1390" s="196" t="s">
        <v>120</v>
      </c>
      <c r="H1390" s="196" t="s">
        <v>480</v>
      </c>
      <c r="I1390" s="66"/>
      <c r="J1390" s="239"/>
      <c r="K1390" s="234"/>
      <c r="L1390" s="239"/>
      <c r="M1390" s="239"/>
      <c r="N1390" s="239"/>
      <c r="O1390" s="239"/>
      <c r="P1390" s="239"/>
      <c r="Q1390" s="239"/>
      <c r="R1390" s="239"/>
      <c r="S1390" s="239"/>
    </row>
    <row r="1391" spans="6:19" x14ac:dyDescent="0.25">
      <c r="F1391" s="196" t="s">
        <v>940</v>
      </c>
      <c r="G1391" s="196" t="s">
        <v>120</v>
      </c>
      <c r="H1391" s="196" t="s">
        <v>480</v>
      </c>
      <c r="I1391" s="66"/>
      <c r="J1391" s="233">
        <f t="shared" ref="J1391" si="136">CHOOSE(year_selection, L1391,M1391,N1391,O1391,P1391,Q1391,R1391,S1391)</f>
        <v>0</v>
      </c>
      <c r="K1391" s="234"/>
      <c r="L1391" s="330"/>
      <c r="M1391" s="330"/>
      <c r="N1391" s="330"/>
      <c r="O1391" s="330">
        <v>0</v>
      </c>
      <c r="P1391" s="330">
        <v>0</v>
      </c>
      <c r="Q1391" s="330">
        <v>0</v>
      </c>
      <c r="R1391" s="330">
        <v>0</v>
      </c>
      <c r="S1391" s="330">
        <v>0</v>
      </c>
    </row>
    <row r="1392" spans="6:19" x14ac:dyDescent="0.25">
      <c r="F1392" s="93" t="s">
        <v>941</v>
      </c>
      <c r="G1392" s="93" t="s">
        <v>120</v>
      </c>
      <c r="H1392" s="93" t="s">
        <v>480</v>
      </c>
      <c r="I1392" s="145"/>
      <c r="J1392" s="240"/>
      <c r="K1392" s="236"/>
      <c r="L1392" s="240"/>
      <c r="M1392" s="240"/>
      <c r="N1392" s="240"/>
      <c r="O1392" s="240"/>
      <c r="P1392" s="240"/>
      <c r="Q1392" s="240"/>
      <c r="R1392" s="240"/>
      <c r="S1392" s="240"/>
    </row>
    <row r="1393" spans="5:19" x14ac:dyDescent="0.25">
      <c r="J1393" s="237"/>
      <c r="K1393" s="237"/>
      <c r="L1393" s="237"/>
      <c r="M1393" s="237"/>
      <c r="N1393" s="237"/>
      <c r="O1393" s="237"/>
      <c r="P1393" s="237"/>
      <c r="Q1393" s="237"/>
      <c r="R1393" s="237"/>
      <c r="S1393" s="237"/>
    </row>
    <row r="1394" spans="5:19" x14ac:dyDescent="0.25">
      <c r="E1394" s="144" t="s">
        <v>74</v>
      </c>
      <c r="J1394" s="237"/>
      <c r="K1394" s="237"/>
      <c r="L1394" s="237"/>
      <c r="M1394" s="237"/>
      <c r="N1394" s="237"/>
      <c r="O1394" s="237"/>
      <c r="P1394" s="237"/>
      <c r="Q1394" s="237"/>
      <c r="R1394" s="237"/>
      <c r="S1394" s="237"/>
    </row>
    <row r="1395" spans="5:19" x14ac:dyDescent="0.25">
      <c r="F1395" s="91" t="s">
        <v>926</v>
      </c>
      <c r="G1395" s="91" t="s">
        <v>74</v>
      </c>
      <c r="H1395" s="91" t="s">
        <v>480</v>
      </c>
      <c r="I1395" s="112"/>
      <c r="J1395" s="238"/>
      <c r="K1395" s="232"/>
      <c r="L1395" s="238"/>
      <c r="M1395" s="238"/>
      <c r="N1395" s="238"/>
      <c r="O1395" s="238"/>
      <c r="P1395" s="238"/>
      <c r="Q1395" s="238"/>
      <c r="R1395" s="238"/>
      <c r="S1395" s="238"/>
    </row>
    <row r="1396" spans="5:19" x14ac:dyDescent="0.25">
      <c r="F1396" s="196" t="s">
        <v>927</v>
      </c>
      <c r="G1396" s="196" t="s">
        <v>74</v>
      </c>
      <c r="H1396" s="196" t="s">
        <v>480</v>
      </c>
      <c r="I1396" s="66"/>
      <c r="J1396" s="233">
        <f t="shared" ref="J1396:J1401" si="137">CHOOSE(year_selection, L1396,M1396,N1396,O1396,P1396,Q1396,R1396,S1396)</f>
        <v>532</v>
      </c>
      <c r="K1396" s="234"/>
      <c r="L1396" s="330"/>
      <c r="M1396" s="330"/>
      <c r="N1396" s="330"/>
      <c r="O1396" s="330">
        <v>532</v>
      </c>
      <c r="P1396" s="330">
        <v>532</v>
      </c>
      <c r="Q1396" s="330">
        <v>532</v>
      </c>
      <c r="R1396" s="330">
        <v>532</v>
      </c>
      <c r="S1396" s="330">
        <v>532</v>
      </c>
    </row>
    <row r="1397" spans="5:19" x14ac:dyDescent="0.25">
      <c r="F1397" s="196" t="s">
        <v>928</v>
      </c>
      <c r="G1397" s="196" t="s">
        <v>74</v>
      </c>
      <c r="H1397" s="196" t="s">
        <v>480</v>
      </c>
      <c r="I1397" s="66"/>
      <c r="J1397" s="233">
        <f t="shared" si="137"/>
        <v>5.6530833804223767E-2</v>
      </c>
      <c r="K1397" s="234"/>
      <c r="L1397" s="330"/>
      <c r="M1397" s="330"/>
      <c r="N1397" s="330"/>
      <c r="O1397" s="330">
        <v>5.6530833804223767E-2</v>
      </c>
      <c r="P1397" s="330">
        <v>6.3055861759232654E-2</v>
      </c>
      <c r="Q1397" s="330">
        <v>6.958088971424152E-2</v>
      </c>
      <c r="R1397" s="330">
        <v>7.6105917669250386E-2</v>
      </c>
      <c r="S1397" s="330">
        <v>8.2630945624259239E-2</v>
      </c>
    </row>
    <row r="1398" spans="5:19" x14ac:dyDescent="0.25">
      <c r="F1398" s="196" t="s">
        <v>929</v>
      </c>
      <c r="G1398" s="196" t="s">
        <v>74</v>
      </c>
      <c r="H1398" s="196" t="s">
        <v>480</v>
      </c>
      <c r="I1398" s="66"/>
      <c r="J1398" s="233">
        <f t="shared" si="137"/>
        <v>9.5483870967741939</v>
      </c>
      <c r="K1398" s="234"/>
      <c r="L1398" s="330"/>
      <c r="M1398" s="330"/>
      <c r="N1398" s="330"/>
      <c r="O1398" s="330">
        <v>9.5483870967741939</v>
      </c>
      <c r="P1398" s="330">
        <v>9.5483870967741939</v>
      </c>
      <c r="Q1398" s="330">
        <v>9.5483870967741939</v>
      </c>
      <c r="R1398" s="330">
        <v>9.5483870967741939</v>
      </c>
      <c r="S1398" s="330">
        <v>9.5483870967741939</v>
      </c>
    </row>
    <row r="1399" spans="5:19" x14ac:dyDescent="0.25">
      <c r="F1399" s="196" t="s">
        <v>930</v>
      </c>
      <c r="G1399" s="196" t="s">
        <v>74</v>
      </c>
      <c r="H1399" s="196" t="s">
        <v>480</v>
      </c>
      <c r="I1399" s="66"/>
      <c r="J1399" s="233">
        <f t="shared" si="137"/>
        <v>0.35071356901386325</v>
      </c>
      <c r="K1399" s="234"/>
      <c r="L1399" s="330"/>
      <c r="M1399" s="330"/>
      <c r="N1399" s="330"/>
      <c r="O1399" s="330">
        <v>0.35071356901386325</v>
      </c>
      <c r="P1399" s="330">
        <v>0.36111050448352888</v>
      </c>
      <c r="Q1399" s="330">
        <v>0.37158271891511074</v>
      </c>
      <c r="R1399" s="330">
        <v>0.38197965438477632</v>
      </c>
      <c r="S1399" s="330">
        <v>0.39237658985444185</v>
      </c>
    </row>
    <row r="1400" spans="5:19" x14ac:dyDescent="0.25">
      <c r="F1400" s="196" t="s">
        <v>931</v>
      </c>
      <c r="G1400" s="196" t="s">
        <v>74</v>
      </c>
      <c r="H1400" s="196" t="s">
        <v>480</v>
      </c>
      <c r="I1400" s="66"/>
      <c r="J1400" s="233">
        <f t="shared" si="137"/>
        <v>0</v>
      </c>
      <c r="K1400" s="234"/>
      <c r="L1400" s="330"/>
      <c r="M1400" s="330"/>
      <c r="N1400" s="330"/>
      <c r="O1400" s="330">
        <v>0</v>
      </c>
      <c r="P1400" s="330">
        <v>0</v>
      </c>
      <c r="Q1400" s="330">
        <v>0</v>
      </c>
      <c r="R1400" s="330">
        <v>0</v>
      </c>
      <c r="S1400" s="330">
        <v>0</v>
      </c>
    </row>
    <row r="1401" spans="5:19" x14ac:dyDescent="0.25">
      <c r="F1401" s="196" t="s">
        <v>932</v>
      </c>
      <c r="G1401" s="196" t="s">
        <v>74</v>
      </c>
      <c r="H1401" s="196" t="s">
        <v>480</v>
      </c>
      <c r="I1401" s="66"/>
      <c r="J1401" s="233">
        <f t="shared" si="137"/>
        <v>0.59631521013407429</v>
      </c>
      <c r="K1401" s="234"/>
      <c r="L1401" s="330"/>
      <c r="M1401" s="330"/>
      <c r="N1401" s="330"/>
      <c r="O1401" s="330">
        <v>0.59631521013407429</v>
      </c>
      <c r="P1401" s="330">
        <v>0.59631521013407429</v>
      </c>
      <c r="Q1401" s="330">
        <v>0.59631521013407429</v>
      </c>
      <c r="R1401" s="330">
        <v>0.59631521013407429</v>
      </c>
      <c r="S1401" s="330">
        <v>0.59631521013407429</v>
      </c>
    </row>
    <row r="1402" spans="5:19" x14ac:dyDescent="0.25">
      <c r="F1402" s="196" t="s">
        <v>933</v>
      </c>
      <c r="G1402" s="196" t="s">
        <v>74</v>
      </c>
      <c r="H1402" s="196" t="s">
        <v>480</v>
      </c>
      <c r="I1402" s="66"/>
      <c r="J1402" s="239"/>
      <c r="K1402" s="234"/>
      <c r="L1402" s="239"/>
      <c r="M1402" s="239"/>
      <c r="N1402" s="239"/>
      <c r="O1402" s="239"/>
      <c r="P1402" s="239"/>
      <c r="Q1402" s="239"/>
      <c r="R1402" s="239"/>
      <c r="S1402" s="239"/>
    </row>
    <row r="1403" spans="5:19" x14ac:dyDescent="0.25">
      <c r="F1403" s="196" t="s">
        <v>934</v>
      </c>
      <c r="G1403" s="196" t="s">
        <v>74</v>
      </c>
      <c r="H1403" s="196" t="s">
        <v>480</v>
      </c>
      <c r="I1403" s="66"/>
      <c r="J1403" s="233">
        <f t="shared" ref="J1403:J1405" si="138">CHOOSE(year_selection, L1403,M1403,N1403,O1403,P1403,Q1403,R1403,S1403)</f>
        <v>6</v>
      </c>
      <c r="K1403" s="234"/>
      <c r="L1403" s="330"/>
      <c r="M1403" s="330"/>
      <c r="N1403" s="330"/>
      <c r="O1403" s="330">
        <v>6</v>
      </c>
      <c r="P1403" s="330">
        <v>6</v>
      </c>
      <c r="Q1403" s="330">
        <v>6</v>
      </c>
      <c r="R1403" s="330">
        <v>6</v>
      </c>
      <c r="S1403" s="330">
        <v>6</v>
      </c>
    </row>
    <row r="1404" spans="5:19" x14ac:dyDescent="0.25">
      <c r="F1404" s="196" t="s">
        <v>935</v>
      </c>
      <c r="G1404" s="196" t="s">
        <v>74</v>
      </c>
      <c r="H1404" s="196" t="s">
        <v>480</v>
      </c>
      <c r="I1404" s="66"/>
      <c r="J1404" s="233">
        <f t="shared" si="138"/>
        <v>6</v>
      </c>
      <c r="K1404" s="234"/>
      <c r="L1404" s="330"/>
      <c r="M1404" s="330"/>
      <c r="N1404" s="330"/>
      <c r="O1404" s="330">
        <v>6</v>
      </c>
      <c r="P1404" s="330">
        <v>6</v>
      </c>
      <c r="Q1404" s="330">
        <v>6</v>
      </c>
      <c r="R1404" s="330">
        <v>6</v>
      </c>
      <c r="S1404" s="330">
        <v>6</v>
      </c>
    </row>
    <row r="1405" spans="5:19" x14ac:dyDescent="0.25">
      <c r="F1405" s="196" t="s">
        <v>936</v>
      </c>
      <c r="G1405" s="196" t="s">
        <v>74</v>
      </c>
      <c r="H1405" s="196" t="s">
        <v>480</v>
      </c>
      <c r="I1405" s="66"/>
      <c r="J1405" s="233">
        <f t="shared" si="138"/>
        <v>1</v>
      </c>
      <c r="K1405" s="234"/>
      <c r="L1405" s="330"/>
      <c r="M1405" s="330"/>
      <c r="N1405" s="330"/>
      <c r="O1405" s="330">
        <v>1</v>
      </c>
      <c r="P1405" s="330">
        <v>1</v>
      </c>
      <c r="Q1405" s="330">
        <v>1</v>
      </c>
      <c r="R1405" s="330">
        <v>1</v>
      </c>
      <c r="S1405" s="330">
        <v>1</v>
      </c>
    </row>
    <row r="1406" spans="5:19" x14ac:dyDescent="0.25">
      <c r="F1406" s="196" t="s">
        <v>937</v>
      </c>
      <c r="G1406" s="196" t="s">
        <v>74</v>
      </c>
      <c r="H1406" s="196" t="s">
        <v>480</v>
      </c>
      <c r="I1406" s="66"/>
      <c r="J1406" s="239"/>
      <c r="K1406" s="234"/>
      <c r="L1406" s="239"/>
      <c r="M1406" s="239"/>
      <c r="N1406" s="239"/>
      <c r="O1406" s="239"/>
      <c r="P1406" s="239"/>
      <c r="Q1406" s="239"/>
      <c r="R1406" s="239"/>
      <c r="S1406" s="239"/>
    </row>
    <row r="1407" spans="5:19" x14ac:dyDescent="0.25">
      <c r="F1407" s="196" t="s">
        <v>938</v>
      </c>
      <c r="G1407" s="196" t="s">
        <v>74</v>
      </c>
      <c r="H1407" s="196" t="s">
        <v>480</v>
      </c>
      <c r="I1407" s="66"/>
      <c r="J1407" s="233">
        <f t="shared" ref="J1407" si="139">CHOOSE(year_selection, L1407,M1407,N1407,O1407,P1407,Q1407,R1407,S1407)</f>
        <v>1</v>
      </c>
      <c r="K1407" s="234"/>
      <c r="L1407" s="330"/>
      <c r="M1407" s="330"/>
      <c r="N1407" s="330"/>
      <c r="O1407" s="330">
        <v>1</v>
      </c>
      <c r="P1407" s="330">
        <v>1</v>
      </c>
      <c r="Q1407" s="330">
        <v>1</v>
      </c>
      <c r="R1407" s="330">
        <v>1</v>
      </c>
      <c r="S1407" s="330">
        <v>1</v>
      </c>
    </row>
    <row r="1408" spans="5:19" x14ac:dyDescent="0.25">
      <c r="F1408" s="196" t="s">
        <v>939</v>
      </c>
      <c r="G1408" s="196" t="s">
        <v>74</v>
      </c>
      <c r="H1408" s="196" t="s">
        <v>480</v>
      </c>
      <c r="I1408" s="66"/>
      <c r="J1408" s="239"/>
      <c r="K1408" s="234"/>
      <c r="L1408" s="239"/>
      <c r="M1408" s="239"/>
      <c r="N1408" s="239"/>
      <c r="O1408" s="239"/>
      <c r="P1408" s="239"/>
      <c r="Q1408" s="239"/>
      <c r="R1408" s="239"/>
      <c r="S1408" s="239"/>
    </row>
    <row r="1409" spans="5:19" x14ac:dyDescent="0.25">
      <c r="F1409" s="196" t="s">
        <v>940</v>
      </c>
      <c r="G1409" s="196" t="s">
        <v>74</v>
      </c>
      <c r="H1409" s="196" t="s">
        <v>480</v>
      </c>
      <c r="I1409" s="66"/>
      <c r="J1409" s="233">
        <f t="shared" ref="J1409" si="140">CHOOSE(year_selection, L1409,M1409,N1409,O1409,P1409,Q1409,R1409,S1409)</f>
        <v>1</v>
      </c>
      <c r="K1409" s="234"/>
      <c r="L1409" s="330"/>
      <c r="M1409" s="330"/>
      <c r="N1409" s="330"/>
      <c r="O1409" s="330">
        <v>1</v>
      </c>
      <c r="P1409" s="330">
        <v>1</v>
      </c>
      <c r="Q1409" s="330">
        <v>1</v>
      </c>
      <c r="R1409" s="330">
        <v>1</v>
      </c>
      <c r="S1409" s="330">
        <v>1</v>
      </c>
    </row>
    <row r="1410" spans="5:19" x14ac:dyDescent="0.25">
      <c r="F1410" s="93" t="s">
        <v>941</v>
      </c>
      <c r="G1410" s="93" t="s">
        <v>74</v>
      </c>
      <c r="H1410" s="93" t="s">
        <v>480</v>
      </c>
      <c r="I1410" s="145"/>
      <c r="J1410" s="240"/>
      <c r="K1410" s="236"/>
      <c r="L1410" s="240"/>
      <c r="M1410" s="240"/>
      <c r="N1410" s="240"/>
      <c r="O1410" s="240"/>
      <c r="P1410" s="240"/>
      <c r="Q1410" s="240"/>
      <c r="R1410" s="240"/>
      <c r="S1410" s="240"/>
    </row>
    <row r="1411" spans="5:19" x14ac:dyDescent="0.25">
      <c r="J1411" s="237"/>
      <c r="K1411" s="237"/>
      <c r="L1411" s="237"/>
      <c r="M1411" s="237"/>
      <c r="N1411" s="237"/>
      <c r="O1411" s="237"/>
      <c r="P1411" s="237"/>
      <c r="Q1411" s="237"/>
      <c r="R1411" s="237"/>
      <c r="S1411" s="237"/>
    </row>
    <row r="1412" spans="5:19" x14ac:dyDescent="0.25">
      <c r="E1412" s="144" t="s">
        <v>202</v>
      </c>
      <c r="J1412" s="237"/>
      <c r="K1412" s="237"/>
      <c r="L1412" s="237"/>
      <c r="M1412" s="237"/>
      <c r="N1412" s="237"/>
      <c r="O1412" s="237"/>
      <c r="P1412" s="237"/>
      <c r="Q1412" s="237"/>
      <c r="R1412" s="237"/>
      <c r="S1412" s="237"/>
    </row>
    <row r="1413" spans="5:19" x14ac:dyDescent="0.25">
      <c r="F1413" s="91" t="s">
        <v>926</v>
      </c>
      <c r="G1413" s="91" t="s">
        <v>169</v>
      </c>
      <c r="H1413" s="91" t="s">
        <v>480</v>
      </c>
      <c r="I1413" s="112"/>
      <c r="J1413" s="238"/>
      <c r="K1413" s="232"/>
      <c r="L1413" s="238"/>
      <c r="M1413" s="238"/>
      <c r="N1413" s="238"/>
      <c r="O1413" s="238"/>
      <c r="P1413" s="238"/>
      <c r="Q1413" s="238"/>
      <c r="R1413" s="238"/>
      <c r="S1413" s="238"/>
    </row>
    <row r="1414" spans="5:19" x14ac:dyDescent="0.25">
      <c r="F1414" s="196" t="s">
        <v>927</v>
      </c>
      <c r="G1414" s="196" t="s">
        <v>169</v>
      </c>
      <c r="H1414" s="196" t="s">
        <v>480</v>
      </c>
      <c r="I1414" s="66"/>
      <c r="J1414" s="239"/>
      <c r="K1414" s="234"/>
      <c r="L1414" s="239"/>
      <c r="M1414" s="239"/>
      <c r="N1414" s="239"/>
      <c r="O1414" s="239"/>
      <c r="P1414" s="239"/>
      <c r="Q1414" s="239"/>
      <c r="R1414" s="239"/>
      <c r="S1414" s="239"/>
    </row>
    <row r="1415" spans="5:19" x14ac:dyDescent="0.25">
      <c r="F1415" s="196" t="s">
        <v>928</v>
      </c>
      <c r="G1415" s="196" t="s">
        <v>169</v>
      </c>
      <c r="H1415" s="196" t="s">
        <v>480</v>
      </c>
      <c r="I1415" s="66"/>
      <c r="J1415" s="239"/>
      <c r="K1415" s="234"/>
      <c r="L1415" s="239"/>
      <c r="M1415" s="239"/>
      <c r="N1415" s="239"/>
      <c r="O1415" s="239"/>
      <c r="P1415" s="239"/>
      <c r="Q1415" s="239"/>
      <c r="R1415" s="239"/>
      <c r="S1415" s="239"/>
    </row>
    <row r="1416" spans="5:19" x14ac:dyDescent="0.25">
      <c r="F1416" s="196" t="s">
        <v>929</v>
      </c>
      <c r="G1416" s="196" t="s">
        <v>169</v>
      </c>
      <c r="H1416" s="196" t="s">
        <v>480</v>
      </c>
      <c r="I1416" s="66"/>
      <c r="J1416" s="239"/>
      <c r="K1416" s="234"/>
      <c r="L1416" s="239"/>
      <c r="M1416" s="239"/>
      <c r="N1416" s="239"/>
      <c r="O1416" s="239"/>
      <c r="P1416" s="239"/>
      <c r="Q1416" s="239"/>
      <c r="R1416" s="239"/>
      <c r="S1416" s="239"/>
    </row>
    <row r="1417" spans="5:19" x14ac:dyDescent="0.25">
      <c r="F1417" s="196" t="s">
        <v>930</v>
      </c>
      <c r="G1417" s="196" t="s">
        <v>169</v>
      </c>
      <c r="H1417" s="196" t="s">
        <v>480</v>
      </c>
      <c r="I1417" s="66"/>
      <c r="J1417" s="233">
        <f t="shared" ref="J1417:J1419" si="141">CHOOSE(year_selection, L1417,M1417,N1417,O1417,P1417,Q1417,R1417,S1417)</f>
        <v>28.28566208954037</v>
      </c>
      <c r="K1417" s="234"/>
      <c r="L1417" s="330"/>
      <c r="M1417" s="330"/>
      <c r="N1417" s="330"/>
      <c r="O1417" s="330">
        <v>28.28566208954037</v>
      </c>
      <c r="P1417" s="330">
        <v>29.968795490573161</v>
      </c>
      <c r="Q1417" s="330">
        <v>29.968795490573161</v>
      </c>
      <c r="R1417" s="330">
        <v>30.807326501188534</v>
      </c>
      <c r="S1417" s="330">
        <v>31.645857511803907</v>
      </c>
    </row>
    <row r="1418" spans="5:19" x14ac:dyDescent="0.25">
      <c r="F1418" s="196" t="s">
        <v>931</v>
      </c>
      <c r="G1418" s="196" t="s">
        <v>169</v>
      </c>
      <c r="H1418" s="196" t="s">
        <v>480</v>
      </c>
      <c r="I1418" s="66"/>
      <c r="J1418" s="233">
        <f t="shared" si="141"/>
        <v>0</v>
      </c>
      <c r="K1418" s="234"/>
      <c r="L1418" s="330"/>
      <c r="M1418" s="330"/>
      <c r="N1418" s="330"/>
      <c r="O1418" s="330">
        <v>0</v>
      </c>
      <c r="P1418" s="330">
        <v>0</v>
      </c>
      <c r="Q1418" s="330">
        <v>0</v>
      </c>
      <c r="R1418" s="330">
        <v>0</v>
      </c>
      <c r="S1418" s="330">
        <v>0</v>
      </c>
    </row>
    <row r="1419" spans="5:19" x14ac:dyDescent="0.25">
      <c r="F1419" s="196" t="s">
        <v>932</v>
      </c>
      <c r="G1419" s="196" t="s">
        <v>169</v>
      </c>
      <c r="H1419" s="196" t="s">
        <v>480</v>
      </c>
      <c r="I1419" s="66"/>
      <c r="J1419" s="233">
        <f t="shared" si="141"/>
        <v>15.015345819402729</v>
      </c>
      <c r="K1419" s="234"/>
      <c r="L1419" s="330"/>
      <c r="M1419" s="330"/>
      <c r="N1419" s="330"/>
      <c r="O1419" s="330">
        <v>15.015345819402729</v>
      </c>
      <c r="P1419" s="330">
        <v>15.015345819402729</v>
      </c>
      <c r="Q1419" s="330">
        <v>15.015345819402729</v>
      </c>
      <c r="R1419" s="330">
        <v>15.015345819402729</v>
      </c>
      <c r="S1419" s="330">
        <v>15.015345819402729</v>
      </c>
    </row>
    <row r="1420" spans="5:19" x14ac:dyDescent="0.25">
      <c r="F1420" s="196" t="s">
        <v>933</v>
      </c>
      <c r="G1420" s="196" t="s">
        <v>169</v>
      </c>
      <c r="H1420" s="196" t="s">
        <v>480</v>
      </c>
      <c r="I1420" s="66"/>
      <c r="J1420" s="239"/>
      <c r="K1420" s="234"/>
      <c r="L1420" s="239"/>
      <c r="M1420" s="239"/>
      <c r="N1420" s="239"/>
      <c r="O1420" s="239"/>
      <c r="P1420" s="239"/>
      <c r="Q1420" s="239"/>
      <c r="R1420" s="239"/>
      <c r="S1420" s="239"/>
    </row>
    <row r="1421" spans="5:19" x14ac:dyDescent="0.25">
      <c r="F1421" s="196" t="s">
        <v>934</v>
      </c>
      <c r="G1421" s="196" t="s">
        <v>169</v>
      </c>
      <c r="H1421" s="196" t="s">
        <v>480</v>
      </c>
      <c r="I1421" s="66"/>
      <c r="J1421" s="239"/>
      <c r="K1421" s="234"/>
      <c r="L1421" s="239"/>
      <c r="M1421" s="239"/>
      <c r="N1421" s="239"/>
      <c r="O1421" s="239"/>
      <c r="P1421" s="239"/>
      <c r="Q1421" s="239"/>
      <c r="R1421" s="239"/>
      <c r="S1421" s="239"/>
    </row>
    <row r="1422" spans="5:19" x14ac:dyDescent="0.25">
      <c r="F1422" s="196" t="s">
        <v>935</v>
      </c>
      <c r="G1422" s="196" t="s">
        <v>169</v>
      </c>
      <c r="H1422" s="196" t="s">
        <v>480</v>
      </c>
      <c r="I1422" s="66"/>
      <c r="J1422" s="239"/>
      <c r="K1422" s="234"/>
      <c r="L1422" s="239"/>
      <c r="M1422" s="239"/>
      <c r="N1422" s="239"/>
      <c r="O1422" s="239"/>
      <c r="P1422" s="239"/>
      <c r="Q1422" s="239"/>
      <c r="R1422" s="239"/>
      <c r="S1422" s="239"/>
    </row>
    <row r="1423" spans="5:19" x14ac:dyDescent="0.25">
      <c r="F1423" s="196" t="s">
        <v>936</v>
      </c>
      <c r="G1423" s="196" t="s">
        <v>169</v>
      </c>
      <c r="H1423" s="196" t="s">
        <v>480</v>
      </c>
      <c r="I1423" s="66"/>
      <c r="J1423" s="239"/>
      <c r="K1423" s="234"/>
      <c r="L1423" s="239"/>
      <c r="M1423" s="239"/>
      <c r="N1423" s="239"/>
      <c r="O1423" s="239"/>
      <c r="P1423" s="239"/>
      <c r="Q1423" s="239"/>
      <c r="R1423" s="239"/>
      <c r="S1423" s="239"/>
    </row>
    <row r="1424" spans="5:19" x14ac:dyDescent="0.25">
      <c r="F1424" s="196" t="s">
        <v>937</v>
      </c>
      <c r="G1424" s="196" t="s">
        <v>169</v>
      </c>
      <c r="H1424" s="196" t="s">
        <v>480</v>
      </c>
      <c r="I1424" s="66"/>
      <c r="J1424" s="239"/>
      <c r="K1424" s="234"/>
      <c r="L1424" s="239"/>
      <c r="M1424" s="239"/>
      <c r="N1424" s="239"/>
      <c r="O1424" s="239"/>
      <c r="P1424" s="239"/>
      <c r="Q1424" s="239"/>
      <c r="R1424" s="239"/>
      <c r="S1424" s="239"/>
    </row>
    <row r="1425" spans="5:19" x14ac:dyDescent="0.25">
      <c r="F1425" s="196" t="s">
        <v>938</v>
      </c>
      <c r="G1425" s="196" t="s">
        <v>169</v>
      </c>
      <c r="H1425" s="196" t="s">
        <v>480</v>
      </c>
      <c r="I1425" s="66"/>
      <c r="J1425" s="239"/>
      <c r="K1425" s="234"/>
      <c r="L1425" s="239"/>
      <c r="M1425" s="239"/>
      <c r="N1425" s="239"/>
      <c r="O1425" s="239"/>
      <c r="P1425" s="239"/>
      <c r="Q1425" s="239"/>
      <c r="R1425" s="239"/>
      <c r="S1425" s="239"/>
    </row>
    <row r="1426" spans="5:19" x14ac:dyDescent="0.25">
      <c r="F1426" s="196" t="s">
        <v>939</v>
      </c>
      <c r="G1426" s="196" t="s">
        <v>169</v>
      </c>
      <c r="H1426" s="196" t="s">
        <v>480</v>
      </c>
      <c r="I1426" s="66"/>
      <c r="J1426" s="239"/>
      <c r="K1426" s="234"/>
      <c r="L1426" s="239"/>
      <c r="M1426" s="239"/>
      <c r="N1426" s="239"/>
      <c r="O1426" s="239"/>
      <c r="P1426" s="239"/>
      <c r="Q1426" s="239"/>
      <c r="R1426" s="239"/>
      <c r="S1426" s="239"/>
    </row>
    <row r="1427" spans="5:19" x14ac:dyDescent="0.25">
      <c r="F1427" s="196" t="s">
        <v>940</v>
      </c>
      <c r="G1427" s="196" t="s">
        <v>169</v>
      </c>
      <c r="H1427" s="196" t="s">
        <v>480</v>
      </c>
      <c r="I1427" s="66"/>
      <c r="J1427" s="239"/>
      <c r="K1427" s="234"/>
      <c r="L1427" s="239"/>
      <c r="M1427" s="239"/>
      <c r="N1427" s="239"/>
      <c r="O1427" s="239"/>
      <c r="P1427" s="239"/>
      <c r="Q1427" s="239"/>
      <c r="R1427" s="239"/>
      <c r="S1427" s="239"/>
    </row>
    <row r="1428" spans="5:19" x14ac:dyDescent="0.25">
      <c r="F1428" s="93" t="s">
        <v>941</v>
      </c>
      <c r="G1428" s="93" t="s">
        <v>169</v>
      </c>
      <c r="H1428" s="93" t="s">
        <v>480</v>
      </c>
      <c r="I1428" s="145"/>
      <c r="J1428" s="240"/>
      <c r="K1428" s="236"/>
      <c r="L1428" s="240"/>
      <c r="M1428" s="240"/>
      <c r="N1428" s="240"/>
      <c r="O1428" s="240"/>
      <c r="P1428" s="240"/>
      <c r="Q1428" s="240"/>
      <c r="R1428" s="240"/>
      <c r="S1428" s="240"/>
    </row>
    <row r="1429" spans="5:19" x14ac:dyDescent="0.25">
      <c r="J1429" s="237"/>
      <c r="K1429" s="237"/>
      <c r="L1429" s="237"/>
      <c r="M1429" s="237"/>
      <c r="N1429" s="237"/>
      <c r="O1429" s="237"/>
      <c r="P1429" s="237"/>
      <c r="Q1429" s="237"/>
      <c r="R1429" s="237"/>
      <c r="S1429" s="237"/>
    </row>
    <row r="1430" spans="5:19" x14ac:dyDescent="0.25">
      <c r="E1430" s="144" t="s">
        <v>203</v>
      </c>
      <c r="J1430" s="237"/>
      <c r="K1430" s="237"/>
      <c r="L1430" s="237"/>
      <c r="M1430" s="237"/>
      <c r="N1430" s="237"/>
      <c r="O1430" s="237"/>
      <c r="P1430" s="237"/>
      <c r="Q1430" s="237"/>
      <c r="R1430" s="237"/>
      <c r="S1430" s="237"/>
    </row>
    <row r="1431" spans="5:19" x14ac:dyDescent="0.25">
      <c r="F1431" s="91" t="s">
        <v>926</v>
      </c>
      <c r="G1431" s="91" t="s">
        <v>169</v>
      </c>
      <c r="H1431" s="91" t="s">
        <v>480</v>
      </c>
      <c r="I1431" s="112"/>
      <c r="J1431" s="238"/>
      <c r="K1431" s="232"/>
      <c r="L1431" s="238"/>
      <c r="M1431" s="238"/>
      <c r="N1431" s="238"/>
      <c r="O1431" s="238"/>
      <c r="P1431" s="238"/>
      <c r="Q1431" s="238"/>
      <c r="R1431" s="238"/>
      <c r="S1431" s="238"/>
    </row>
    <row r="1432" spans="5:19" x14ac:dyDescent="0.25">
      <c r="F1432" s="196" t="s">
        <v>927</v>
      </c>
      <c r="G1432" s="196" t="s">
        <v>169</v>
      </c>
      <c r="H1432" s="196" t="s">
        <v>480</v>
      </c>
      <c r="I1432" s="66"/>
      <c r="J1432" s="239"/>
      <c r="K1432" s="234"/>
      <c r="L1432" s="239"/>
      <c r="M1432" s="239"/>
      <c r="N1432" s="239"/>
      <c r="O1432" s="239"/>
      <c r="P1432" s="239"/>
      <c r="Q1432" s="239"/>
      <c r="R1432" s="239"/>
      <c r="S1432" s="239"/>
    </row>
    <row r="1433" spans="5:19" x14ac:dyDescent="0.25">
      <c r="F1433" s="196" t="s">
        <v>928</v>
      </c>
      <c r="G1433" s="196" t="s">
        <v>169</v>
      </c>
      <c r="H1433" s="196" t="s">
        <v>480</v>
      </c>
      <c r="I1433" s="66"/>
      <c r="J1433" s="239"/>
      <c r="K1433" s="234"/>
      <c r="L1433" s="239"/>
      <c r="M1433" s="239"/>
      <c r="N1433" s="239"/>
      <c r="O1433" s="239"/>
      <c r="P1433" s="239"/>
      <c r="Q1433" s="239"/>
      <c r="R1433" s="239"/>
      <c r="S1433" s="239"/>
    </row>
    <row r="1434" spans="5:19" x14ac:dyDescent="0.25">
      <c r="F1434" s="196" t="s">
        <v>929</v>
      </c>
      <c r="G1434" s="196" t="s">
        <v>169</v>
      </c>
      <c r="H1434" s="196" t="s">
        <v>480</v>
      </c>
      <c r="I1434" s="66"/>
      <c r="J1434" s="239"/>
      <c r="K1434" s="234"/>
      <c r="L1434" s="239"/>
      <c r="M1434" s="239"/>
      <c r="N1434" s="239"/>
      <c r="O1434" s="239"/>
      <c r="P1434" s="239"/>
      <c r="Q1434" s="239"/>
      <c r="R1434" s="239"/>
      <c r="S1434" s="239"/>
    </row>
    <row r="1435" spans="5:19" x14ac:dyDescent="0.25">
      <c r="F1435" s="196" t="s">
        <v>930</v>
      </c>
      <c r="G1435" s="196" t="s">
        <v>169</v>
      </c>
      <c r="H1435" s="196" t="s">
        <v>480</v>
      </c>
      <c r="I1435" s="66"/>
      <c r="J1435" s="233">
        <f t="shared" ref="J1435:J1437" si="142">CHOOSE(year_selection, L1435,M1435,N1435,O1435,P1435,Q1435,R1435,S1435)</f>
        <v>1.6630050077685223E-2</v>
      </c>
      <c r="K1435" s="234"/>
      <c r="L1435" s="330"/>
      <c r="M1435" s="330"/>
      <c r="N1435" s="330"/>
      <c r="O1435" s="330">
        <v>1.6630050077685223E-2</v>
      </c>
      <c r="P1435" s="330">
        <v>1.7619618313987902E-2</v>
      </c>
      <c r="Q1435" s="330">
        <v>1.7619618313987902E-2</v>
      </c>
      <c r="R1435" s="330">
        <v>1.8112617652454227E-2</v>
      </c>
      <c r="S1435" s="330">
        <v>1.8605616990920552E-2</v>
      </c>
    </row>
    <row r="1436" spans="5:19" x14ac:dyDescent="0.25">
      <c r="F1436" s="196" t="s">
        <v>931</v>
      </c>
      <c r="G1436" s="196" t="s">
        <v>169</v>
      </c>
      <c r="H1436" s="196" t="s">
        <v>480</v>
      </c>
      <c r="I1436" s="66"/>
      <c r="J1436" s="233">
        <f t="shared" si="142"/>
        <v>0</v>
      </c>
      <c r="K1436" s="234"/>
      <c r="L1436" s="330"/>
      <c r="M1436" s="330"/>
      <c r="N1436" s="330"/>
      <c r="O1436" s="330">
        <v>0</v>
      </c>
      <c r="P1436" s="330">
        <v>0</v>
      </c>
      <c r="Q1436" s="330">
        <v>0</v>
      </c>
      <c r="R1436" s="330">
        <v>0</v>
      </c>
      <c r="S1436" s="330">
        <v>0</v>
      </c>
    </row>
    <row r="1437" spans="5:19" x14ac:dyDescent="0.25">
      <c r="F1437" s="196" t="s">
        <v>932</v>
      </c>
      <c r="G1437" s="196" t="s">
        <v>169</v>
      </c>
      <c r="H1437" s="196" t="s">
        <v>480</v>
      </c>
      <c r="I1437" s="66"/>
      <c r="J1437" s="233">
        <f t="shared" si="142"/>
        <v>1.9248055262022282E-2</v>
      </c>
      <c r="K1437" s="234"/>
      <c r="L1437" s="330"/>
      <c r="M1437" s="330"/>
      <c r="N1437" s="330"/>
      <c r="O1437" s="330">
        <v>1.9248055262022282E-2</v>
      </c>
      <c r="P1437" s="330">
        <v>1.9248055262022282E-2</v>
      </c>
      <c r="Q1437" s="330">
        <v>1.9248055262022282E-2</v>
      </c>
      <c r="R1437" s="330">
        <v>1.9248055262022282E-2</v>
      </c>
      <c r="S1437" s="330">
        <v>1.9248055262022282E-2</v>
      </c>
    </row>
    <row r="1438" spans="5:19" x14ac:dyDescent="0.25">
      <c r="F1438" s="196" t="s">
        <v>933</v>
      </c>
      <c r="G1438" s="196" t="s">
        <v>169</v>
      </c>
      <c r="H1438" s="196" t="s">
        <v>480</v>
      </c>
      <c r="I1438" s="66"/>
      <c r="J1438" s="239"/>
      <c r="K1438" s="234"/>
      <c r="L1438" s="239"/>
      <c r="M1438" s="239"/>
      <c r="N1438" s="239"/>
      <c r="O1438" s="239"/>
      <c r="P1438" s="239"/>
      <c r="Q1438" s="239"/>
      <c r="R1438" s="239"/>
      <c r="S1438" s="239"/>
    </row>
    <row r="1439" spans="5:19" x14ac:dyDescent="0.25">
      <c r="F1439" s="196" t="s">
        <v>934</v>
      </c>
      <c r="G1439" s="196" t="s">
        <v>169</v>
      </c>
      <c r="H1439" s="196" t="s">
        <v>480</v>
      </c>
      <c r="I1439" s="66"/>
      <c r="J1439" s="239"/>
      <c r="K1439" s="234"/>
      <c r="L1439" s="239"/>
      <c r="M1439" s="239"/>
      <c r="N1439" s="239"/>
      <c r="O1439" s="239"/>
      <c r="P1439" s="239"/>
      <c r="Q1439" s="239"/>
      <c r="R1439" s="239"/>
      <c r="S1439" s="239"/>
    </row>
    <row r="1440" spans="5:19" x14ac:dyDescent="0.25">
      <c r="F1440" s="196" t="s">
        <v>935</v>
      </c>
      <c r="G1440" s="196" t="s">
        <v>169</v>
      </c>
      <c r="H1440" s="196" t="s">
        <v>480</v>
      </c>
      <c r="I1440" s="66"/>
      <c r="J1440" s="239"/>
      <c r="K1440" s="234"/>
      <c r="L1440" s="239"/>
      <c r="M1440" s="239"/>
      <c r="N1440" s="239"/>
      <c r="O1440" s="239"/>
      <c r="P1440" s="239"/>
      <c r="Q1440" s="239"/>
      <c r="R1440" s="239"/>
      <c r="S1440" s="239"/>
    </row>
    <row r="1441" spans="5:19" x14ac:dyDescent="0.25">
      <c r="F1441" s="196" t="s">
        <v>936</v>
      </c>
      <c r="G1441" s="196" t="s">
        <v>169</v>
      </c>
      <c r="H1441" s="196" t="s">
        <v>480</v>
      </c>
      <c r="I1441" s="66"/>
      <c r="J1441" s="239"/>
      <c r="K1441" s="234"/>
      <c r="L1441" s="239"/>
      <c r="M1441" s="239"/>
      <c r="N1441" s="239"/>
      <c r="O1441" s="239"/>
      <c r="P1441" s="239"/>
      <c r="Q1441" s="239"/>
      <c r="R1441" s="239"/>
      <c r="S1441" s="239"/>
    </row>
    <row r="1442" spans="5:19" x14ac:dyDescent="0.25">
      <c r="F1442" s="196" t="s">
        <v>937</v>
      </c>
      <c r="G1442" s="196" t="s">
        <v>169</v>
      </c>
      <c r="H1442" s="196" t="s">
        <v>480</v>
      </c>
      <c r="I1442" s="66"/>
      <c r="J1442" s="239"/>
      <c r="K1442" s="234"/>
      <c r="L1442" s="239"/>
      <c r="M1442" s="239"/>
      <c r="N1442" s="239"/>
      <c r="O1442" s="239"/>
      <c r="P1442" s="239"/>
      <c r="Q1442" s="239"/>
      <c r="R1442" s="239"/>
      <c r="S1442" s="239"/>
    </row>
    <row r="1443" spans="5:19" x14ac:dyDescent="0.25">
      <c r="F1443" s="196" t="s">
        <v>938</v>
      </c>
      <c r="G1443" s="196" t="s">
        <v>169</v>
      </c>
      <c r="H1443" s="196" t="s">
        <v>480</v>
      </c>
      <c r="I1443" s="66"/>
      <c r="J1443" s="239"/>
      <c r="K1443" s="234"/>
      <c r="L1443" s="239"/>
      <c r="M1443" s="239"/>
      <c r="N1443" s="239"/>
      <c r="O1443" s="239"/>
      <c r="P1443" s="239"/>
      <c r="Q1443" s="239"/>
      <c r="R1443" s="239"/>
      <c r="S1443" s="239"/>
    </row>
    <row r="1444" spans="5:19" x14ac:dyDescent="0.25">
      <c r="F1444" s="196" t="s">
        <v>939</v>
      </c>
      <c r="G1444" s="196" t="s">
        <v>169</v>
      </c>
      <c r="H1444" s="196" t="s">
        <v>480</v>
      </c>
      <c r="I1444" s="66"/>
      <c r="J1444" s="239"/>
      <c r="K1444" s="234"/>
      <c r="L1444" s="239"/>
      <c r="M1444" s="239"/>
      <c r="N1444" s="239"/>
      <c r="O1444" s="239"/>
      <c r="P1444" s="239"/>
      <c r="Q1444" s="239"/>
      <c r="R1444" s="239"/>
      <c r="S1444" s="239"/>
    </row>
    <row r="1445" spans="5:19" x14ac:dyDescent="0.25">
      <c r="F1445" s="196" t="s">
        <v>940</v>
      </c>
      <c r="G1445" s="196" t="s">
        <v>169</v>
      </c>
      <c r="H1445" s="196" t="s">
        <v>480</v>
      </c>
      <c r="I1445" s="66"/>
      <c r="J1445" s="239"/>
      <c r="K1445" s="234"/>
      <c r="L1445" s="239"/>
      <c r="M1445" s="239"/>
      <c r="N1445" s="239"/>
      <c r="O1445" s="239"/>
      <c r="P1445" s="239"/>
      <c r="Q1445" s="239"/>
      <c r="R1445" s="239"/>
      <c r="S1445" s="239"/>
    </row>
    <row r="1446" spans="5:19" x14ac:dyDescent="0.25">
      <c r="F1446" s="93" t="s">
        <v>941</v>
      </c>
      <c r="G1446" s="93" t="s">
        <v>169</v>
      </c>
      <c r="H1446" s="93" t="s">
        <v>480</v>
      </c>
      <c r="I1446" s="145"/>
      <c r="J1446" s="240"/>
      <c r="K1446" s="236"/>
      <c r="L1446" s="240"/>
      <c r="M1446" s="240"/>
      <c r="N1446" s="240"/>
      <c r="O1446" s="240"/>
      <c r="P1446" s="240"/>
      <c r="Q1446" s="240"/>
      <c r="R1446" s="240"/>
      <c r="S1446" s="240"/>
    </row>
    <row r="1447" spans="5:19" x14ac:dyDescent="0.25">
      <c r="J1447" s="237"/>
      <c r="K1447" s="237"/>
      <c r="L1447" s="237"/>
      <c r="M1447" s="237"/>
      <c r="N1447" s="237"/>
      <c r="O1447" s="237"/>
      <c r="P1447" s="237"/>
      <c r="Q1447" s="237"/>
      <c r="R1447" s="237"/>
      <c r="S1447" s="237"/>
    </row>
    <row r="1448" spans="5:19" x14ac:dyDescent="0.25">
      <c r="E1448" s="144" t="s">
        <v>204</v>
      </c>
      <c r="J1448" s="237"/>
      <c r="K1448" s="237"/>
      <c r="L1448" s="237"/>
      <c r="M1448" s="237"/>
      <c r="N1448" s="237"/>
      <c r="O1448" s="237"/>
      <c r="P1448" s="237"/>
      <c r="Q1448" s="237"/>
      <c r="R1448" s="237"/>
      <c r="S1448" s="237"/>
    </row>
    <row r="1449" spans="5:19" x14ac:dyDescent="0.25">
      <c r="F1449" s="91" t="s">
        <v>926</v>
      </c>
      <c r="G1449" s="91" t="s">
        <v>170</v>
      </c>
      <c r="H1449" s="91" t="s">
        <v>480</v>
      </c>
      <c r="I1449" s="112"/>
      <c r="J1449" s="238"/>
      <c r="K1449" s="232"/>
      <c r="L1449" s="238"/>
      <c r="M1449" s="238"/>
      <c r="N1449" s="238"/>
      <c r="O1449" s="238"/>
      <c r="P1449" s="238"/>
      <c r="Q1449" s="238"/>
      <c r="R1449" s="238"/>
      <c r="S1449" s="238"/>
    </row>
    <row r="1450" spans="5:19" x14ac:dyDescent="0.25">
      <c r="F1450" s="196" t="s">
        <v>927</v>
      </c>
      <c r="G1450" s="196" t="s">
        <v>170</v>
      </c>
      <c r="H1450" s="196" t="s">
        <v>480</v>
      </c>
      <c r="I1450" s="66"/>
      <c r="J1450" s="239"/>
      <c r="K1450" s="234"/>
      <c r="L1450" s="239"/>
      <c r="M1450" s="239"/>
      <c r="N1450" s="239"/>
      <c r="O1450" s="239"/>
      <c r="P1450" s="239"/>
      <c r="Q1450" s="239"/>
      <c r="R1450" s="239"/>
      <c r="S1450" s="239"/>
    </row>
    <row r="1451" spans="5:19" x14ac:dyDescent="0.25">
      <c r="F1451" s="196" t="s">
        <v>928</v>
      </c>
      <c r="G1451" s="196" t="s">
        <v>170</v>
      </c>
      <c r="H1451" s="196" t="s">
        <v>480</v>
      </c>
      <c r="I1451" s="66"/>
      <c r="J1451" s="239"/>
      <c r="K1451" s="234"/>
      <c r="L1451" s="239"/>
      <c r="M1451" s="239"/>
      <c r="N1451" s="239"/>
      <c r="O1451" s="239"/>
      <c r="P1451" s="239"/>
      <c r="Q1451" s="239"/>
      <c r="R1451" s="239"/>
      <c r="S1451" s="239"/>
    </row>
    <row r="1452" spans="5:19" x14ac:dyDescent="0.25">
      <c r="F1452" s="196" t="s">
        <v>929</v>
      </c>
      <c r="G1452" s="196" t="s">
        <v>170</v>
      </c>
      <c r="H1452" s="196" t="s">
        <v>480</v>
      </c>
      <c r="I1452" s="66"/>
      <c r="J1452" s="239"/>
      <c r="K1452" s="234"/>
      <c r="L1452" s="239"/>
      <c r="M1452" s="239"/>
      <c r="N1452" s="239"/>
      <c r="O1452" s="239"/>
      <c r="P1452" s="239"/>
      <c r="Q1452" s="239"/>
      <c r="R1452" s="239"/>
      <c r="S1452" s="239"/>
    </row>
    <row r="1453" spans="5:19" x14ac:dyDescent="0.25">
      <c r="F1453" s="196" t="s">
        <v>930</v>
      </c>
      <c r="G1453" s="196" t="s">
        <v>170</v>
      </c>
      <c r="H1453" s="196" t="s">
        <v>480</v>
      </c>
      <c r="I1453" s="66"/>
      <c r="J1453" s="233">
        <f t="shared" ref="J1453:J1455" si="143">CHOOSE(year_selection, L1453,M1453,N1453,O1453,P1453,Q1453,R1453,S1453)</f>
        <v>2.4262549284479116</v>
      </c>
      <c r="K1453" s="234"/>
      <c r="L1453" s="330"/>
      <c r="M1453" s="330"/>
      <c r="N1453" s="330"/>
      <c r="O1453" s="330">
        <v>2.4262549284479116</v>
      </c>
      <c r="P1453" s="330">
        <v>2.4369389554181158</v>
      </c>
      <c r="Q1453" s="330">
        <v>2.4369389554181158</v>
      </c>
      <c r="R1453" s="330">
        <v>2.4476229823883191</v>
      </c>
      <c r="S1453" s="330">
        <v>2.4583070093585229</v>
      </c>
    </row>
    <row r="1454" spans="5:19" x14ac:dyDescent="0.25">
      <c r="F1454" s="196" t="s">
        <v>931</v>
      </c>
      <c r="G1454" s="196" t="s">
        <v>170</v>
      </c>
      <c r="H1454" s="196" t="s">
        <v>480</v>
      </c>
      <c r="I1454" s="66"/>
      <c r="J1454" s="233">
        <f t="shared" si="143"/>
        <v>0</v>
      </c>
      <c r="K1454" s="234"/>
      <c r="L1454" s="330"/>
      <c r="M1454" s="330"/>
      <c r="N1454" s="330"/>
      <c r="O1454" s="330">
        <v>0</v>
      </c>
      <c r="P1454" s="330">
        <v>0</v>
      </c>
      <c r="Q1454" s="330">
        <v>0</v>
      </c>
      <c r="R1454" s="330">
        <v>0</v>
      </c>
      <c r="S1454" s="330">
        <v>0</v>
      </c>
    </row>
    <row r="1455" spans="5:19" x14ac:dyDescent="0.25">
      <c r="F1455" s="196" t="s">
        <v>932</v>
      </c>
      <c r="G1455" s="196" t="s">
        <v>170</v>
      </c>
      <c r="H1455" s="196" t="s">
        <v>480</v>
      </c>
      <c r="I1455" s="66"/>
      <c r="J1455" s="233">
        <f t="shared" si="143"/>
        <v>0.94088390787221343</v>
      </c>
      <c r="K1455" s="234"/>
      <c r="L1455" s="330"/>
      <c r="M1455" s="330"/>
      <c r="N1455" s="330"/>
      <c r="O1455" s="330">
        <v>0.94088390787221343</v>
      </c>
      <c r="P1455" s="330">
        <v>0.83697527448173614</v>
      </c>
      <c r="Q1455" s="330">
        <v>0.83697527448173614</v>
      </c>
      <c r="R1455" s="330">
        <v>0.73306664109125885</v>
      </c>
      <c r="S1455" s="330">
        <v>0.62915800770078167</v>
      </c>
    </row>
    <row r="1456" spans="5:19" x14ac:dyDescent="0.25">
      <c r="F1456" s="196" t="s">
        <v>933</v>
      </c>
      <c r="G1456" s="196" t="s">
        <v>170</v>
      </c>
      <c r="H1456" s="196" t="s">
        <v>480</v>
      </c>
      <c r="I1456" s="66"/>
      <c r="J1456" s="239"/>
      <c r="K1456" s="234"/>
      <c r="L1456" s="239"/>
      <c r="M1456" s="239"/>
      <c r="N1456" s="239"/>
      <c r="O1456" s="239"/>
      <c r="P1456" s="239"/>
      <c r="Q1456" s="239"/>
      <c r="R1456" s="239"/>
      <c r="S1456" s="239"/>
    </row>
    <row r="1457" spans="3:21" x14ac:dyDescent="0.25">
      <c r="F1457" s="196" t="s">
        <v>934</v>
      </c>
      <c r="G1457" s="196" t="s">
        <v>170</v>
      </c>
      <c r="H1457" s="196" t="s">
        <v>480</v>
      </c>
      <c r="I1457" s="66"/>
      <c r="J1457" s="239"/>
      <c r="K1457" s="234"/>
      <c r="L1457" s="239"/>
      <c r="M1457" s="239"/>
      <c r="N1457" s="239"/>
      <c r="O1457" s="239"/>
      <c r="P1457" s="239"/>
      <c r="Q1457" s="239"/>
      <c r="R1457" s="239"/>
      <c r="S1457" s="239"/>
    </row>
    <row r="1458" spans="3:21" x14ac:dyDescent="0.25">
      <c r="F1458" s="196" t="s">
        <v>935</v>
      </c>
      <c r="G1458" s="196" t="s">
        <v>170</v>
      </c>
      <c r="H1458" s="196" t="s">
        <v>480</v>
      </c>
      <c r="I1458" s="66"/>
      <c r="J1458" s="239"/>
      <c r="K1458" s="234"/>
      <c r="L1458" s="239"/>
      <c r="M1458" s="239"/>
      <c r="N1458" s="239"/>
      <c r="O1458" s="239"/>
      <c r="P1458" s="239"/>
      <c r="Q1458" s="239"/>
      <c r="R1458" s="239"/>
      <c r="S1458" s="239"/>
    </row>
    <row r="1459" spans="3:21" x14ac:dyDescent="0.25">
      <c r="F1459" s="196" t="s">
        <v>936</v>
      </c>
      <c r="G1459" s="196" t="s">
        <v>170</v>
      </c>
      <c r="H1459" s="196" t="s">
        <v>480</v>
      </c>
      <c r="I1459" s="66"/>
      <c r="J1459" s="233">
        <f t="shared" ref="J1459" si="144">CHOOSE(year_selection, L1459,M1459,N1459,O1459,P1459,Q1459,R1459,S1459)</f>
        <v>0</v>
      </c>
      <c r="K1459" s="234"/>
      <c r="L1459" s="330"/>
      <c r="M1459" s="330"/>
      <c r="N1459" s="330"/>
      <c r="O1459" s="330">
        <v>0</v>
      </c>
      <c r="P1459" s="330">
        <v>0</v>
      </c>
      <c r="Q1459" s="330">
        <v>0</v>
      </c>
      <c r="R1459" s="330">
        <v>0</v>
      </c>
      <c r="S1459" s="330">
        <v>0</v>
      </c>
    </row>
    <row r="1460" spans="3:21" x14ac:dyDescent="0.25">
      <c r="F1460" s="196" t="s">
        <v>937</v>
      </c>
      <c r="G1460" s="196" t="s">
        <v>170</v>
      </c>
      <c r="H1460" s="196" t="s">
        <v>480</v>
      </c>
      <c r="I1460" s="66"/>
      <c r="J1460" s="239"/>
      <c r="K1460" s="234"/>
      <c r="L1460" s="239"/>
      <c r="M1460" s="239"/>
      <c r="N1460" s="239"/>
      <c r="O1460" s="239"/>
      <c r="P1460" s="239"/>
      <c r="Q1460" s="239"/>
      <c r="R1460" s="239"/>
      <c r="S1460" s="239"/>
    </row>
    <row r="1461" spans="3:21" x14ac:dyDescent="0.25">
      <c r="F1461" s="196" t="s">
        <v>938</v>
      </c>
      <c r="G1461" s="196" t="s">
        <v>170</v>
      </c>
      <c r="H1461" s="196" t="s">
        <v>480</v>
      </c>
      <c r="I1461" s="66"/>
      <c r="J1461" s="233">
        <f t="shared" ref="J1461" si="145">CHOOSE(year_selection, L1461,M1461,N1461,O1461,P1461,Q1461,R1461,S1461)</f>
        <v>0</v>
      </c>
      <c r="K1461" s="234"/>
      <c r="L1461" s="330"/>
      <c r="M1461" s="330"/>
      <c r="N1461" s="330"/>
      <c r="O1461" s="330">
        <v>0</v>
      </c>
      <c r="P1461" s="330">
        <v>0</v>
      </c>
      <c r="Q1461" s="330">
        <v>0</v>
      </c>
      <c r="R1461" s="330">
        <v>0</v>
      </c>
      <c r="S1461" s="330">
        <v>0</v>
      </c>
    </row>
    <row r="1462" spans="3:21" x14ac:dyDescent="0.25">
      <c r="F1462" s="196" t="s">
        <v>939</v>
      </c>
      <c r="G1462" s="196" t="s">
        <v>170</v>
      </c>
      <c r="H1462" s="196" t="s">
        <v>480</v>
      </c>
      <c r="I1462" s="66"/>
      <c r="J1462" s="239"/>
      <c r="K1462" s="234"/>
      <c r="L1462" s="239"/>
      <c r="M1462" s="239"/>
      <c r="N1462" s="239"/>
      <c r="O1462" s="239"/>
      <c r="P1462" s="239"/>
      <c r="Q1462" s="239"/>
      <c r="R1462" s="239"/>
      <c r="S1462" s="239"/>
    </row>
    <row r="1463" spans="3:21" x14ac:dyDescent="0.25">
      <c r="F1463" s="196" t="s">
        <v>940</v>
      </c>
      <c r="G1463" s="196" t="s">
        <v>170</v>
      </c>
      <c r="H1463" s="196" t="s">
        <v>480</v>
      </c>
      <c r="I1463" s="66"/>
      <c r="J1463" s="233">
        <f t="shared" ref="J1463" si="146">CHOOSE(year_selection, L1463,M1463,N1463,O1463,P1463,Q1463,R1463,S1463)</f>
        <v>0</v>
      </c>
      <c r="K1463" s="234"/>
      <c r="L1463" s="330"/>
      <c r="M1463" s="330"/>
      <c r="N1463" s="330"/>
      <c r="O1463" s="330">
        <v>0</v>
      </c>
      <c r="P1463" s="330">
        <v>0</v>
      </c>
      <c r="Q1463" s="330">
        <v>0</v>
      </c>
      <c r="R1463" s="330">
        <v>0</v>
      </c>
      <c r="S1463" s="330">
        <v>0</v>
      </c>
    </row>
    <row r="1464" spans="3:21" x14ac:dyDescent="0.25">
      <c r="F1464" s="93" t="s">
        <v>941</v>
      </c>
      <c r="G1464" s="93" t="s">
        <v>170</v>
      </c>
      <c r="H1464" s="93" t="s">
        <v>480</v>
      </c>
      <c r="I1464" s="145"/>
      <c r="J1464" s="240"/>
      <c r="K1464" s="236"/>
      <c r="L1464" s="240"/>
      <c r="M1464" s="240"/>
      <c r="N1464" s="240"/>
      <c r="O1464" s="240"/>
      <c r="P1464" s="240"/>
      <c r="Q1464" s="240"/>
      <c r="R1464" s="240"/>
      <c r="S1464" s="240"/>
    </row>
    <row r="1465" spans="3:21" x14ac:dyDescent="0.25">
      <c r="J1465" s="111"/>
      <c r="K1465" s="111"/>
      <c r="L1465" s="111"/>
      <c r="M1465" s="111"/>
      <c r="N1465" s="111"/>
      <c r="O1465" s="111"/>
      <c r="P1465" s="111"/>
      <c r="Q1465" s="111"/>
      <c r="R1465" s="111"/>
      <c r="S1465" s="111"/>
    </row>
    <row r="1466" spans="3:21" s="293" customFormat="1" x14ac:dyDescent="0.25">
      <c r="C1466" s="7" t="str">
        <f ca="1">INDEX('Version control'!$H$35:$H$61,MATCH($A$1,'Version control'!$F$35:$F$61,0),1)&amp;"-N: LDNO HV volumes - Residual band 1"</f>
        <v>Input 501-N: LDNO HV volumes - Residual band 1</v>
      </c>
      <c r="D1466" s="7"/>
      <c r="E1466" s="7"/>
      <c r="F1466" s="7"/>
      <c r="G1466" s="7"/>
      <c r="H1466" s="7"/>
      <c r="I1466" s="171"/>
      <c r="J1466" s="242"/>
      <c r="K1466" s="242"/>
      <c r="L1466" s="242"/>
      <c r="M1466" s="242"/>
      <c r="N1466" s="242"/>
      <c r="O1466" s="242"/>
      <c r="P1466" s="242"/>
      <c r="Q1466" s="242"/>
      <c r="R1466" s="242"/>
      <c r="S1466" s="242"/>
      <c r="T1466" s="7"/>
      <c r="U1466" s="7"/>
    </row>
    <row r="1467" spans="3:21" s="293" customFormat="1" x14ac:dyDescent="0.25">
      <c r="D1467" s="96"/>
      <c r="I1467" s="111"/>
    </row>
    <row r="1468" spans="3:21" s="293" customFormat="1" x14ac:dyDescent="0.25">
      <c r="E1468" s="144" t="s">
        <v>199</v>
      </c>
      <c r="I1468" s="111" t="s">
        <v>359</v>
      </c>
      <c r="J1468" s="237"/>
      <c r="K1468" s="237"/>
      <c r="L1468" s="237"/>
      <c r="M1468" s="237"/>
      <c r="N1468" s="237"/>
      <c r="O1468" s="237"/>
      <c r="P1468" s="237"/>
      <c r="Q1468" s="237"/>
      <c r="R1468" s="237"/>
      <c r="S1468" s="237"/>
      <c r="U1468" s="293" t="s">
        <v>692</v>
      </c>
    </row>
    <row r="1469" spans="3:21" s="293" customFormat="1" x14ac:dyDescent="0.25">
      <c r="F1469" s="91" t="s">
        <v>926</v>
      </c>
      <c r="G1469" s="91" t="s">
        <v>120</v>
      </c>
      <c r="H1469" s="91" t="s">
        <v>480</v>
      </c>
      <c r="I1469" s="112"/>
      <c r="J1469" s="231">
        <f t="shared" ref="J1469:J1476" si="147">CHOOSE(year_selection, L1469,M1469,N1469,O1469,P1469,Q1469,R1469,S1469)</f>
        <v>44670.593528846104</v>
      </c>
      <c r="K1469" s="232"/>
      <c r="L1469" s="329"/>
      <c r="M1469" s="329"/>
      <c r="N1469" s="329"/>
      <c r="O1469" s="329">
        <v>44670.593528846104</v>
      </c>
      <c r="P1469" s="329">
        <v>47185.21913676204</v>
      </c>
      <c r="Q1469" s="329">
        <v>52596.449877328625</v>
      </c>
      <c r="R1469" s="329">
        <v>58173.722855418149</v>
      </c>
      <c r="S1469" s="329">
        <v>63750.995833507674</v>
      </c>
    </row>
    <row r="1470" spans="3:21" s="293" customFormat="1" x14ac:dyDescent="0.25">
      <c r="F1470" s="196" t="s">
        <v>927</v>
      </c>
      <c r="G1470" s="196" t="s">
        <v>120</v>
      </c>
      <c r="H1470" s="196" t="s">
        <v>480</v>
      </c>
      <c r="I1470" s="66"/>
      <c r="J1470" s="239"/>
      <c r="K1470" s="234"/>
      <c r="L1470" s="239"/>
      <c r="M1470" s="239"/>
      <c r="N1470" s="239"/>
      <c r="O1470" s="239"/>
      <c r="P1470" s="239"/>
      <c r="Q1470" s="239"/>
      <c r="R1470" s="239"/>
      <c r="S1470" s="239"/>
    </row>
    <row r="1471" spans="3:21" s="293" customFormat="1" x14ac:dyDescent="0.25">
      <c r="F1471" s="196" t="s">
        <v>928</v>
      </c>
      <c r="G1471" s="196" t="s">
        <v>120</v>
      </c>
      <c r="H1471" s="196" t="s">
        <v>480</v>
      </c>
      <c r="I1471" s="66"/>
      <c r="J1471" s="233">
        <f t="shared" si="147"/>
        <v>105.97944758038054</v>
      </c>
      <c r="K1471" s="234"/>
      <c r="L1471" s="330"/>
      <c r="M1471" s="330"/>
      <c r="N1471" s="330"/>
      <c r="O1471" s="330">
        <v>105.97944758038054</v>
      </c>
      <c r="P1471" s="330">
        <v>118.16675088185067</v>
      </c>
      <c r="Q1471" s="330">
        <v>130.35405418332078</v>
      </c>
      <c r="R1471" s="330">
        <v>142.54135748479089</v>
      </c>
      <c r="S1471" s="330">
        <v>154.72866078626097</v>
      </c>
    </row>
    <row r="1472" spans="3:21" s="293" customFormat="1" x14ac:dyDescent="0.25">
      <c r="F1472" s="196" t="s">
        <v>929</v>
      </c>
      <c r="G1472" s="196" t="s">
        <v>120</v>
      </c>
      <c r="H1472" s="196" t="s">
        <v>480</v>
      </c>
      <c r="I1472" s="66"/>
      <c r="J1472" s="239"/>
      <c r="K1472" s="234"/>
      <c r="L1472" s="239"/>
      <c r="M1472" s="239"/>
      <c r="N1472" s="239"/>
      <c r="O1472" s="239"/>
      <c r="P1472" s="239"/>
      <c r="Q1472" s="239"/>
      <c r="R1472" s="239"/>
      <c r="S1472" s="239"/>
    </row>
    <row r="1473" spans="5:19" s="293" customFormat="1" x14ac:dyDescent="0.25">
      <c r="F1473" s="196" t="s">
        <v>930</v>
      </c>
      <c r="G1473" s="196" t="s">
        <v>120</v>
      </c>
      <c r="H1473" s="196" t="s">
        <v>480</v>
      </c>
      <c r="I1473" s="66"/>
      <c r="J1473" s="233">
        <f t="shared" si="147"/>
        <v>2564.8908079741745</v>
      </c>
      <c r="K1473" s="234"/>
      <c r="L1473" s="330"/>
      <c r="M1473" s="330"/>
      <c r="N1473" s="330"/>
      <c r="O1473" s="330">
        <v>2564.8908079741745</v>
      </c>
      <c r="P1473" s="330">
        <v>2421.2784752062521</v>
      </c>
      <c r="Q1473" s="330">
        <v>2409.4361839705971</v>
      </c>
      <c r="R1473" s="330">
        <v>2386.1940209446893</v>
      </c>
      <c r="S1473" s="330">
        <v>2362.9518579187816</v>
      </c>
    </row>
    <row r="1474" spans="5:19" s="293" customFormat="1" x14ac:dyDescent="0.25">
      <c r="F1474" s="196" t="s">
        <v>931</v>
      </c>
      <c r="G1474" s="196" t="s">
        <v>120</v>
      </c>
      <c r="H1474" s="196" t="s">
        <v>480</v>
      </c>
      <c r="I1474" s="66"/>
      <c r="J1474" s="233">
        <f t="shared" si="147"/>
        <v>10.208910205854352</v>
      </c>
      <c r="K1474" s="234"/>
      <c r="L1474" s="330"/>
      <c r="M1474" s="330"/>
      <c r="N1474" s="330"/>
      <c r="O1474" s="330">
        <v>10.208910205854352</v>
      </c>
      <c r="P1474" s="330">
        <v>12.147613925882329</v>
      </c>
      <c r="Q1474" s="330">
        <v>14.677355140296042</v>
      </c>
      <c r="R1474" s="330">
        <v>17.207096354709766</v>
      </c>
      <c r="S1474" s="330">
        <v>19.736837569123487</v>
      </c>
    </row>
    <row r="1475" spans="5:19" s="293" customFormat="1" x14ac:dyDescent="0.25">
      <c r="F1475" s="196" t="s">
        <v>932</v>
      </c>
      <c r="G1475" s="196" t="s">
        <v>120</v>
      </c>
      <c r="H1475" s="196" t="s">
        <v>480</v>
      </c>
      <c r="I1475" s="66"/>
      <c r="J1475" s="233">
        <f t="shared" si="147"/>
        <v>215.5864947703501</v>
      </c>
      <c r="K1475" s="234"/>
      <c r="L1475" s="330"/>
      <c r="M1475" s="330"/>
      <c r="N1475" s="330"/>
      <c r="O1475" s="330">
        <v>215.5864947703501</v>
      </c>
      <c r="P1475" s="330">
        <v>215.5864947703501</v>
      </c>
      <c r="Q1475" s="330">
        <v>215.5864947703501</v>
      </c>
      <c r="R1475" s="330">
        <v>215.5864947703501</v>
      </c>
      <c r="S1475" s="330">
        <v>215.5864947703501</v>
      </c>
    </row>
    <row r="1476" spans="5:19" s="293" customFormat="1" x14ac:dyDescent="0.25">
      <c r="F1476" s="196" t="s">
        <v>933</v>
      </c>
      <c r="G1476" s="196" t="s">
        <v>120</v>
      </c>
      <c r="H1476" s="196" t="s">
        <v>480</v>
      </c>
      <c r="I1476" s="66"/>
      <c r="J1476" s="233">
        <f t="shared" si="147"/>
        <v>93.792650881413181</v>
      </c>
      <c r="K1476" s="234"/>
      <c r="L1476" s="330"/>
      <c r="M1476" s="330"/>
      <c r="N1476" s="330"/>
      <c r="O1476" s="330">
        <v>93.792650881413181</v>
      </c>
      <c r="P1476" s="330">
        <v>93.792650881413181</v>
      </c>
      <c r="Q1476" s="330">
        <v>93.792650881413181</v>
      </c>
      <c r="R1476" s="330">
        <v>93.792650881413181</v>
      </c>
      <c r="S1476" s="330">
        <v>93.792650881413181</v>
      </c>
    </row>
    <row r="1477" spans="5:19" s="293" customFormat="1" x14ac:dyDescent="0.25">
      <c r="F1477" s="196" t="s">
        <v>934</v>
      </c>
      <c r="G1477" s="196" t="s">
        <v>120</v>
      </c>
      <c r="H1477" s="196" t="s">
        <v>480</v>
      </c>
      <c r="I1477" s="66"/>
      <c r="J1477" s="239"/>
      <c r="K1477" s="234"/>
      <c r="L1477" s="239"/>
      <c r="M1477" s="239"/>
      <c r="N1477" s="239"/>
      <c r="O1477" s="239"/>
      <c r="P1477" s="239"/>
      <c r="Q1477" s="239"/>
      <c r="R1477" s="239"/>
      <c r="S1477" s="239"/>
    </row>
    <row r="1478" spans="5:19" s="293" customFormat="1" x14ac:dyDescent="0.25">
      <c r="F1478" s="196" t="s">
        <v>935</v>
      </c>
      <c r="G1478" s="196" t="s">
        <v>120</v>
      </c>
      <c r="H1478" s="196" t="s">
        <v>480</v>
      </c>
      <c r="I1478" s="66"/>
      <c r="J1478" s="239"/>
      <c r="K1478" s="234"/>
      <c r="L1478" s="239"/>
      <c r="M1478" s="239"/>
      <c r="N1478" s="239"/>
      <c r="O1478" s="239"/>
      <c r="P1478" s="239"/>
      <c r="Q1478" s="239"/>
      <c r="R1478" s="239"/>
      <c r="S1478" s="239"/>
    </row>
    <row r="1479" spans="5:19" s="293" customFormat="1" x14ac:dyDescent="0.25">
      <c r="F1479" s="196" t="s">
        <v>936</v>
      </c>
      <c r="G1479" s="196" t="s">
        <v>120</v>
      </c>
      <c r="H1479" s="196" t="s">
        <v>480</v>
      </c>
      <c r="I1479" s="66"/>
      <c r="J1479" s="239"/>
      <c r="K1479" s="234"/>
      <c r="L1479" s="239"/>
      <c r="M1479" s="239"/>
      <c r="N1479" s="239"/>
      <c r="O1479" s="239"/>
      <c r="P1479" s="239"/>
      <c r="Q1479" s="239"/>
      <c r="R1479" s="239"/>
      <c r="S1479" s="239"/>
    </row>
    <row r="1480" spans="5:19" s="293" customFormat="1" x14ac:dyDescent="0.25">
      <c r="F1480" s="196" t="s">
        <v>937</v>
      </c>
      <c r="G1480" s="196" t="s">
        <v>120</v>
      </c>
      <c r="H1480" s="196" t="s">
        <v>480</v>
      </c>
      <c r="I1480" s="66"/>
      <c r="J1480" s="239"/>
      <c r="K1480" s="234"/>
      <c r="L1480" s="239"/>
      <c r="M1480" s="239"/>
      <c r="N1480" s="239"/>
      <c r="O1480" s="239"/>
      <c r="P1480" s="239"/>
      <c r="Q1480" s="239"/>
      <c r="R1480" s="239"/>
      <c r="S1480" s="239"/>
    </row>
    <row r="1481" spans="5:19" s="293" customFormat="1" x14ac:dyDescent="0.25">
      <c r="F1481" s="196" t="s">
        <v>938</v>
      </c>
      <c r="G1481" s="196" t="s">
        <v>120</v>
      </c>
      <c r="H1481" s="196" t="s">
        <v>480</v>
      </c>
      <c r="I1481" s="66"/>
      <c r="J1481" s="239"/>
      <c r="K1481" s="234"/>
      <c r="L1481" s="239"/>
      <c r="M1481" s="239"/>
      <c r="N1481" s="239"/>
      <c r="O1481" s="239"/>
      <c r="P1481" s="239"/>
      <c r="Q1481" s="239"/>
      <c r="R1481" s="239"/>
      <c r="S1481" s="239"/>
    </row>
    <row r="1482" spans="5:19" s="293" customFormat="1" x14ac:dyDescent="0.25">
      <c r="F1482" s="196" t="s">
        <v>939</v>
      </c>
      <c r="G1482" s="196" t="s">
        <v>120</v>
      </c>
      <c r="H1482" s="196" t="s">
        <v>480</v>
      </c>
      <c r="I1482" s="66"/>
      <c r="J1482" s="239"/>
      <c r="K1482" s="234"/>
      <c r="L1482" s="239"/>
      <c r="M1482" s="239"/>
      <c r="N1482" s="239"/>
      <c r="O1482" s="239"/>
      <c r="P1482" s="239"/>
      <c r="Q1482" s="239"/>
      <c r="R1482" s="239"/>
      <c r="S1482" s="239"/>
    </row>
    <row r="1483" spans="5:19" s="293" customFormat="1" x14ac:dyDescent="0.25">
      <c r="F1483" s="196" t="s">
        <v>940</v>
      </c>
      <c r="G1483" s="196" t="s">
        <v>120</v>
      </c>
      <c r="H1483" s="196" t="s">
        <v>480</v>
      </c>
      <c r="I1483" s="66"/>
      <c r="J1483" s="239"/>
      <c r="K1483" s="234"/>
      <c r="L1483" s="239"/>
      <c r="M1483" s="239"/>
      <c r="N1483" s="239"/>
      <c r="O1483" s="239"/>
      <c r="P1483" s="239"/>
      <c r="Q1483" s="239"/>
      <c r="R1483" s="239"/>
      <c r="S1483" s="239"/>
    </row>
    <row r="1484" spans="5:19" s="293" customFormat="1" x14ac:dyDescent="0.25">
      <c r="F1484" s="93" t="s">
        <v>941</v>
      </c>
      <c r="G1484" s="93" t="s">
        <v>120</v>
      </c>
      <c r="H1484" s="93" t="s">
        <v>480</v>
      </c>
      <c r="I1484" s="145"/>
      <c r="J1484" s="240"/>
      <c r="K1484" s="236"/>
      <c r="L1484" s="240"/>
      <c r="M1484" s="240"/>
      <c r="N1484" s="240"/>
      <c r="O1484" s="240"/>
      <c r="P1484" s="240"/>
      <c r="Q1484" s="240"/>
      <c r="R1484" s="240"/>
      <c r="S1484" s="240"/>
    </row>
    <row r="1485" spans="5:19" s="293" customFormat="1" x14ac:dyDescent="0.25">
      <c r="I1485" s="111"/>
      <c r="J1485" s="237"/>
      <c r="K1485" s="237"/>
      <c r="L1485" s="237"/>
      <c r="M1485" s="237"/>
      <c r="N1485" s="237"/>
      <c r="O1485" s="237"/>
      <c r="P1485" s="237"/>
      <c r="Q1485" s="237"/>
      <c r="R1485" s="237"/>
      <c r="S1485" s="237"/>
    </row>
    <row r="1486" spans="5:19" s="293" customFormat="1" x14ac:dyDescent="0.25">
      <c r="E1486" s="144" t="s">
        <v>200</v>
      </c>
      <c r="I1486" s="111"/>
      <c r="J1486" s="237"/>
      <c r="K1486" s="237"/>
      <c r="L1486" s="237"/>
      <c r="M1486" s="237"/>
      <c r="N1486" s="237"/>
      <c r="O1486" s="237"/>
      <c r="P1486" s="237"/>
      <c r="Q1486" s="237"/>
      <c r="R1486" s="237"/>
      <c r="S1486" s="237"/>
    </row>
    <row r="1487" spans="5:19" s="293" customFormat="1" x14ac:dyDescent="0.25">
      <c r="F1487" s="91" t="s">
        <v>926</v>
      </c>
      <c r="G1487" s="91" t="s">
        <v>120</v>
      </c>
      <c r="H1487" s="91" t="s">
        <v>480</v>
      </c>
      <c r="I1487" s="112"/>
      <c r="J1487" s="231">
        <f t="shared" ref="J1487" si="148">CHOOSE(year_selection, L1487,M1487,N1487,O1487,P1487,Q1487,R1487,S1487)</f>
        <v>188586.48344018924</v>
      </c>
      <c r="K1487" s="232"/>
      <c r="L1487" s="329"/>
      <c r="M1487" s="329"/>
      <c r="N1487" s="329"/>
      <c r="O1487" s="329">
        <v>188586.48344018924</v>
      </c>
      <c r="P1487" s="329">
        <v>196449.89570526889</v>
      </c>
      <c r="Q1487" s="329">
        <v>215866.46266677178</v>
      </c>
      <c r="R1487" s="329">
        <v>235325.11859484584</v>
      </c>
      <c r="S1487" s="329">
        <v>254783.77452291988</v>
      </c>
    </row>
    <row r="1488" spans="5:19" s="293" customFormat="1" x14ac:dyDescent="0.25">
      <c r="F1488" s="196" t="s">
        <v>927</v>
      </c>
      <c r="G1488" s="196" t="s">
        <v>120</v>
      </c>
      <c r="H1488" s="196" t="s">
        <v>480</v>
      </c>
      <c r="I1488" s="66"/>
      <c r="J1488" s="239"/>
      <c r="K1488" s="234"/>
      <c r="L1488" s="239"/>
      <c r="M1488" s="239"/>
      <c r="N1488" s="239"/>
      <c r="O1488" s="239"/>
      <c r="P1488" s="239"/>
      <c r="Q1488" s="239"/>
      <c r="R1488" s="239"/>
      <c r="S1488" s="239"/>
    </row>
    <row r="1489" spans="5:19" s="293" customFormat="1" x14ac:dyDescent="0.25">
      <c r="F1489" s="196" t="s">
        <v>928</v>
      </c>
      <c r="G1489" s="196" t="s">
        <v>120</v>
      </c>
      <c r="H1489" s="196" t="s">
        <v>480</v>
      </c>
      <c r="I1489" s="66"/>
      <c r="J1489" s="233">
        <f t="shared" ref="J1489" si="149">CHOOSE(year_selection, L1489,M1489,N1489,O1489,P1489,Q1489,R1489,S1489)</f>
        <v>731.01261664269748</v>
      </c>
      <c r="K1489" s="234"/>
      <c r="L1489" s="330"/>
      <c r="M1489" s="330"/>
      <c r="N1489" s="330"/>
      <c r="O1489" s="330">
        <v>731.01261664269748</v>
      </c>
      <c r="P1489" s="330">
        <v>819.45918748432643</v>
      </c>
      <c r="Q1489" s="330">
        <v>906.8562547383184</v>
      </c>
      <c r="R1489" s="330">
        <v>993.81008153899222</v>
      </c>
      <c r="S1489" s="330">
        <v>1080.7639083396662</v>
      </c>
    </row>
    <row r="1490" spans="5:19" s="293" customFormat="1" x14ac:dyDescent="0.25">
      <c r="F1490" s="196" t="s">
        <v>929</v>
      </c>
      <c r="G1490" s="196" t="s">
        <v>120</v>
      </c>
      <c r="H1490" s="196" t="s">
        <v>480</v>
      </c>
      <c r="I1490" s="66"/>
      <c r="J1490" s="239"/>
      <c r="K1490" s="234"/>
      <c r="L1490" s="239"/>
      <c r="M1490" s="239"/>
      <c r="N1490" s="239"/>
      <c r="O1490" s="239"/>
      <c r="P1490" s="239"/>
      <c r="Q1490" s="239"/>
      <c r="R1490" s="239"/>
      <c r="S1490" s="239"/>
    </row>
    <row r="1491" spans="5:19" s="293" customFormat="1" x14ac:dyDescent="0.25">
      <c r="F1491" s="196" t="s">
        <v>930</v>
      </c>
      <c r="G1491" s="196" t="s">
        <v>120</v>
      </c>
      <c r="H1491" s="196" t="s">
        <v>480</v>
      </c>
      <c r="I1491" s="66"/>
      <c r="J1491" s="233">
        <f t="shared" ref="J1491:J1494" si="150">CHOOSE(year_selection, L1491,M1491,N1491,O1491,P1491,Q1491,R1491,S1491)</f>
        <v>13790.668180837714</v>
      </c>
      <c r="K1491" s="234"/>
      <c r="L1491" s="330"/>
      <c r="M1491" s="330"/>
      <c r="N1491" s="330"/>
      <c r="O1491" s="330">
        <v>13790.668180837714</v>
      </c>
      <c r="P1491" s="330">
        <v>12935.575483297853</v>
      </c>
      <c r="Q1491" s="330">
        <v>12811.560009671835</v>
      </c>
      <c r="R1491" s="330">
        <v>12635.829044798113</v>
      </c>
      <c r="S1491" s="330">
        <v>12460.09807992439</v>
      </c>
    </row>
    <row r="1492" spans="5:19" s="293" customFormat="1" x14ac:dyDescent="0.25">
      <c r="F1492" s="196" t="s">
        <v>931</v>
      </c>
      <c r="G1492" s="196" t="s">
        <v>120</v>
      </c>
      <c r="H1492" s="196" t="s">
        <v>480</v>
      </c>
      <c r="I1492" s="66"/>
      <c r="J1492" s="233">
        <f t="shared" si="150"/>
        <v>57.966016181635908</v>
      </c>
      <c r="K1492" s="234"/>
      <c r="L1492" s="330"/>
      <c r="M1492" s="330"/>
      <c r="N1492" s="330"/>
      <c r="O1492" s="330">
        <v>57.966016181635908</v>
      </c>
      <c r="P1492" s="330">
        <v>68.967928506937014</v>
      </c>
      <c r="Q1492" s="330">
        <v>83.325741537865923</v>
      </c>
      <c r="R1492" s="330">
        <v>97.683554568794833</v>
      </c>
      <c r="S1492" s="330">
        <v>112.04136759972371</v>
      </c>
    </row>
    <row r="1493" spans="5:19" s="293" customFormat="1" x14ac:dyDescent="0.25">
      <c r="F1493" s="196" t="s">
        <v>932</v>
      </c>
      <c r="G1493" s="196" t="s">
        <v>120</v>
      </c>
      <c r="H1493" s="196" t="s">
        <v>480</v>
      </c>
      <c r="I1493" s="66"/>
      <c r="J1493" s="233">
        <f t="shared" si="150"/>
        <v>894.87176848857177</v>
      </c>
      <c r="K1493" s="234"/>
      <c r="L1493" s="330"/>
      <c r="M1493" s="330"/>
      <c r="N1493" s="330"/>
      <c r="O1493" s="330">
        <v>894.87176848857177</v>
      </c>
      <c r="P1493" s="330">
        <v>787.58943151063136</v>
      </c>
      <c r="Q1493" s="330">
        <v>680.30709453269105</v>
      </c>
      <c r="R1493" s="330">
        <v>680.30709453269105</v>
      </c>
      <c r="S1493" s="330">
        <v>680.30709453269105</v>
      </c>
    </row>
    <row r="1494" spans="5:19" s="293" customFormat="1" x14ac:dyDescent="0.25">
      <c r="F1494" s="196" t="s">
        <v>933</v>
      </c>
      <c r="G1494" s="196" t="s">
        <v>120</v>
      </c>
      <c r="H1494" s="196" t="s">
        <v>480</v>
      </c>
      <c r="I1494" s="66"/>
      <c r="J1494" s="233">
        <f t="shared" si="150"/>
        <v>576.08956419110757</v>
      </c>
      <c r="K1494" s="234"/>
      <c r="L1494" s="330"/>
      <c r="M1494" s="330"/>
      <c r="N1494" s="330"/>
      <c r="O1494" s="330">
        <v>576.08956419110757</v>
      </c>
      <c r="P1494" s="330">
        <v>576.08956419110757</v>
      </c>
      <c r="Q1494" s="330">
        <v>576.08956419110757</v>
      </c>
      <c r="R1494" s="330">
        <v>576.08956419110757</v>
      </c>
      <c r="S1494" s="330">
        <v>576.08956419110757</v>
      </c>
    </row>
    <row r="1495" spans="5:19" s="293" customFormat="1" x14ac:dyDescent="0.25">
      <c r="F1495" s="196" t="s">
        <v>934</v>
      </c>
      <c r="G1495" s="196" t="s">
        <v>120</v>
      </c>
      <c r="H1495" s="196" t="s">
        <v>480</v>
      </c>
      <c r="I1495" s="66"/>
      <c r="J1495" s="239"/>
      <c r="K1495" s="234"/>
      <c r="L1495" s="239"/>
      <c r="M1495" s="239"/>
      <c r="N1495" s="239"/>
      <c r="O1495" s="239"/>
      <c r="P1495" s="239"/>
      <c r="Q1495" s="239"/>
      <c r="R1495" s="239"/>
      <c r="S1495" s="239"/>
    </row>
    <row r="1496" spans="5:19" s="293" customFormat="1" x14ac:dyDescent="0.25">
      <c r="F1496" s="196" t="s">
        <v>935</v>
      </c>
      <c r="G1496" s="196" t="s">
        <v>120</v>
      </c>
      <c r="H1496" s="196" t="s">
        <v>480</v>
      </c>
      <c r="I1496" s="66"/>
      <c r="J1496" s="239"/>
      <c r="K1496" s="234"/>
      <c r="L1496" s="239"/>
      <c r="M1496" s="239"/>
      <c r="N1496" s="239"/>
      <c r="O1496" s="239"/>
      <c r="P1496" s="239"/>
      <c r="Q1496" s="239"/>
      <c r="R1496" s="239"/>
      <c r="S1496" s="239"/>
    </row>
    <row r="1497" spans="5:19" s="293" customFormat="1" x14ac:dyDescent="0.25">
      <c r="F1497" s="196" t="s">
        <v>936</v>
      </c>
      <c r="G1497" s="196" t="s">
        <v>120</v>
      </c>
      <c r="H1497" s="196" t="s">
        <v>480</v>
      </c>
      <c r="I1497" s="66"/>
      <c r="J1497" s="239"/>
      <c r="K1497" s="234"/>
      <c r="L1497" s="239"/>
      <c r="M1497" s="239"/>
      <c r="N1497" s="239"/>
      <c r="O1497" s="239"/>
      <c r="P1497" s="239"/>
      <c r="Q1497" s="239"/>
      <c r="R1497" s="239"/>
      <c r="S1497" s="239"/>
    </row>
    <row r="1498" spans="5:19" s="293" customFormat="1" x14ac:dyDescent="0.25">
      <c r="F1498" s="196" t="s">
        <v>937</v>
      </c>
      <c r="G1498" s="196" t="s">
        <v>120</v>
      </c>
      <c r="H1498" s="196" t="s">
        <v>480</v>
      </c>
      <c r="I1498" s="66"/>
      <c r="J1498" s="239"/>
      <c r="K1498" s="234"/>
      <c r="L1498" s="239"/>
      <c r="M1498" s="239"/>
      <c r="N1498" s="239"/>
      <c r="O1498" s="239"/>
      <c r="P1498" s="239"/>
      <c r="Q1498" s="239"/>
      <c r="R1498" s="239"/>
      <c r="S1498" s="239"/>
    </row>
    <row r="1499" spans="5:19" s="293" customFormat="1" x14ac:dyDescent="0.25">
      <c r="F1499" s="196" t="s">
        <v>938</v>
      </c>
      <c r="G1499" s="196" t="s">
        <v>120</v>
      </c>
      <c r="H1499" s="196" t="s">
        <v>480</v>
      </c>
      <c r="I1499" s="66"/>
      <c r="J1499" s="239"/>
      <c r="K1499" s="234"/>
      <c r="L1499" s="239"/>
      <c r="M1499" s="239"/>
      <c r="N1499" s="239"/>
      <c r="O1499" s="239"/>
      <c r="P1499" s="239"/>
      <c r="Q1499" s="239"/>
      <c r="R1499" s="239"/>
      <c r="S1499" s="239"/>
    </row>
    <row r="1500" spans="5:19" s="293" customFormat="1" x14ac:dyDescent="0.25">
      <c r="F1500" s="196" t="s">
        <v>939</v>
      </c>
      <c r="G1500" s="196" t="s">
        <v>120</v>
      </c>
      <c r="H1500" s="196" t="s">
        <v>480</v>
      </c>
      <c r="I1500" s="66"/>
      <c r="J1500" s="239"/>
      <c r="K1500" s="234"/>
      <c r="L1500" s="239"/>
      <c r="M1500" s="239"/>
      <c r="N1500" s="239"/>
      <c r="O1500" s="239"/>
      <c r="P1500" s="239"/>
      <c r="Q1500" s="239"/>
      <c r="R1500" s="239"/>
      <c r="S1500" s="239"/>
    </row>
    <row r="1501" spans="5:19" s="293" customFormat="1" x14ac:dyDescent="0.25">
      <c r="F1501" s="196" t="s">
        <v>940</v>
      </c>
      <c r="G1501" s="196" t="s">
        <v>120</v>
      </c>
      <c r="H1501" s="196" t="s">
        <v>480</v>
      </c>
      <c r="I1501" s="66"/>
      <c r="J1501" s="239"/>
      <c r="K1501" s="234"/>
      <c r="L1501" s="239"/>
      <c r="M1501" s="239"/>
      <c r="N1501" s="239"/>
      <c r="O1501" s="239"/>
      <c r="P1501" s="239"/>
      <c r="Q1501" s="239"/>
      <c r="R1501" s="239"/>
      <c r="S1501" s="239"/>
    </row>
    <row r="1502" spans="5:19" s="293" customFormat="1" x14ac:dyDescent="0.25">
      <c r="F1502" s="93" t="s">
        <v>941</v>
      </c>
      <c r="G1502" s="93" t="s">
        <v>120</v>
      </c>
      <c r="H1502" s="93" t="s">
        <v>480</v>
      </c>
      <c r="I1502" s="145"/>
      <c r="J1502" s="240"/>
      <c r="K1502" s="236"/>
      <c r="L1502" s="240"/>
      <c r="M1502" s="240"/>
      <c r="N1502" s="240"/>
      <c r="O1502" s="240"/>
      <c r="P1502" s="240"/>
      <c r="Q1502" s="240"/>
      <c r="R1502" s="240"/>
      <c r="S1502" s="240"/>
    </row>
    <row r="1503" spans="5:19" s="293" customFormat="1" x14ac:dyDescent="0.25">
      <c r="I1503" s="111"/>
      <c r="J1503" s="237"/>
      <c r="K1503" s="237"/>
      <c r="L1503" s="237"/>
      <c r="M1503" s="237"/>
      <c r="N1503" s="237"/>
      <c r="O1503" s="237"/>
      <c r="P1503" s="237"/>
      <c r="Q1503" s="237"/>
      <c r="R1503" s="237"/>
      <c r="S1503" s="237"/>
    </row>
    <row r="1504" spans="5:19" s="293" customFormat="1" x14ac:dyDescent="0.25">
      <c r="E1504" s="144" t="s">
        <v>201</v>
      </c>
      <c r="I1504" s="111"/>
      <c r="J1504" s="237"/>
      <c r="K1504" s="237"/>
      <c r="L1504" s="237"/>
      <c r="M1504" s="237"/>
      <c r="N1504" s="237"/>
      <c r="O1504" s="237"/>
      <c r="P1504" s="237"/>
      <c r="Q1504" s="237"/>
      <c r="R1504" s="237"/>
      <c r="S1504" s="237"/>
    </row>
    <row r="1505" spans="6:19" s="293" customFormat="1" x14ac:dyDescent="0.25">
      <c r="F1505" s="91" t="s">
        <v>926</v>
      </c>
      <c r="G1505" s="91" t="s">
        <v>120</v>
      </c>
      <c r="H1505" s="91" t="s">
        <v>480</v>
      </c>
      <c r="I1505" s="112"/>
      <c r="J1505" s="231">
        <f t="shared" ref="J1505" si="151">CHOOSE(year_selection, L1505,M1505,N1505,O1505,P1505,Q1505,R1505,S1505)</f>
        <v>86625.588105867108</v>
      </c>
      <c r="K1505" s="232"/>
      <c r="L1505" s="329"/>
      <c r="M1505" s="329"/>
      <c r="N1505" s="329"/>
      <c r="O1505" s="329">
        <v>86625.588105867108</v>
      </c>
      <c r="P1505" s="329">
        <v>89760.813359782856</v>
      </c>
      <c r="Q1505" s="329">
        <v>98388.513831325705</v>
      </c>
      <c r="R1505" s="329">
        <v>107134.18102779696</v>
      </c>
      <c r="S1505" s="329">
        <v>115879.84822426824</v>
      </c>
    </row>
    <row r="1506" spans="6:19" s="293" customFormat="1" x14ac:dyDescent="0.25">
      <c r="F1506" s="196" t="s">
        <v>927</v>
      </c>
      <c r="G1506" s="196" t="s">
        <v>120</v>
      </c>
      <c r="H1506" s="196" t="s">
        <v>480</v>
      </c>
      <c r="I1506" s="66"/>
      <c r="J1506" s="239"/>
      <c r="K1506" s="234"/>
      <c r="L1506" s="239"/>
      <c r="M1506" s="239"/>
      <c r="N1506" s="239"/>
      <c r="O1506" s="239"/>
      <c r="P1506" s="239"/>
      <c r="Q1506" s="239"/>
      <c r="R1506" s="239"/>
      <c r="S1506" s="239"/>
    </row>
    <row r="1507" spans="6:19" s="293" customFormat="1" x14ac:dyDescent="0.25">
      <c r="F1507" s="196" t="s">
        <v>928</v>
      </c>
      <c r="G1507" s="196" t="s">
        <v>120</v>
      </c>
      <c r="H1507" s="196" t="s">
        <v>480</v>
      </c>
      <c r="I1507" s="66"/>
      <c r="J1507" s="233">
        <f t="shared" ref="J1507" si="152">CHOOSE(year_selection, L1507,M1507,N1507,O1507,P1507,Q1507,R1507,S1507)</f>
        <v>285.70760760427919</v>
      </c>
      <c r="K1507" s="234"/>
      <c r="L1507" s="330"/>
      <c r="M1507" s="330"/>
      <c r="N1507" s="330"/>
      <c r="O1507" s="330">
        <v>285.70760760427919</v>
      </c>
      <c r="P1507" s="330">
        <v>318.60058271319213</v>
      </c>
      <c r="Q1507" s="330">
        <v>351.493557822105</v>
      </c>
      <c r="R1507" s="330">
        <v>384.38653293101788</v>
      </c>
      <c r="S1507" s="330">
        <v>417.27950803993076</v>
      </c>
    </row>
    <row r="1508" spans="6:19" s="293" customFormat="1" x14ac:dyDescent="0.25">
      <c r="F1508" s="196" t="s">
        <v>929</v>
      </c>
      <c r="G1508" s="196" t="s">
        <v>120</v>
      </c>
      <c r="H1508" s="196" t="s">
        <v>480</v>
      </c>
      <c r="I1508" s="66"/>
      <c r="J1508" s="239"/>
      <c r="K1508" s="234"/>
      <c r="L1508" s="239"/>
      <c r="M1508" s="239"/>
      <c r="N1508" s="239"/>
      <c r="O1508" s="239"/>
      <c r="P1508" s="239"/>
      <c r="Q1508" s="239"/>
      <c r="R1508" s="239"/>
      <c r="S1508" s="239"/>
    </row>
    <row r="1509" spans="6:19" s="293" customFormat="1" x14ac:dyDescent="0.25">
      <c r="F1509" s="196" t="s">
        <v>930</v>
      </c>
      <c r="G1509" s="196" t="s">
        <v>120</v>
      </c>
      <c r="H1509" s="196" t="s">
        <v>480</v>
      </c>
      <c r="I1509" s="66"/>
      <c r="J1509" s="233">
        <f t="shared" ref="J1509:J1512" si="153">CHOOSE(year_selection, L1509,M1509,N1509,O1509,P1509,Q1509,R1509,S1509)</f>
        <v>7600.0429793189005</v>
      </c>
      <c r="K1509" s="234"/>
      <c r="L1509" s="330"/>
      <c r="M1509" s="330"/>
      <c r="N1509" s="330"/>
      <c r="O1509" s="330">
        <v>7600.0429793189005</v>
      </c>
      <c r="P1509" s="330">
        <v>7311.2371464553999</v>
      </c>
      <c r="Q1509" s="330">
        <v>7424.7665448922689</v>
      </c>
      <c r="R1509" s="330">
        <v>7514.459065686402</v>
      </c>
      <c r="S1509" s="330">
        <v>7604.1515864805351</v>
      </c>
    </row>
    <row r="1510" spans="6:19" s="293" customFormat="1" x14ac:dyDescent="0.25">
      <c r="F1510" s="196" t="s">
        <v>931</v>
      </c>
      <c r="G1510" s="196" t="s">
        <v>120</v>
      </c>
      <c r="H1510" s="196" t="s">
        <v>480</v>
      </c>
      <c r="I1510" s="66"/>
      <c r="J1510" s="233">
        <f t="shared" si="153"/>
        <v>32.406666317748588</v>
      </c>
      <c r="K1510" s="234"/>
      <c r="L1510" s="330"/>
      <c r="M1510" s="330"/>
      <c r="N1510" s="330"/>
      <c r="O1510" s="330">
        <v>32.406666317748588</v>
      </c>
      <c r="P1510" s="330">
        <v>38.556741240899989</v>
      </c>
      <c r="Q1510" s="330">
        <v>46.582976741000444</v>
      </c>
      <c r="R1510" s="330">
        <v>54.60921224110092</v>
      </c>
      <c r="S1510" s="330">
        <v>62.635447741201389</v>
      </c>
    </row>
    <row r="1511" spans="6:19" s="293" customFormat="1" x14ac:dyDescent="0.25">
      <c r="F1511" s="196" t="s">
        <v>932</v>
      </c>
      <c r="G1511" s="196" t="s">
        <v>120</v>
      </c>
      <c r="H1511" s="196" t="s">
        <v>480</v>
      </c>
      <c r="I1511" s="66"/>
      <c r="J1511" s="233">
        <f t="shared" si="153"/>
        <v>638.12025329093376</v>
      </c>
      <c r="K1511" s="234"/>
      <c r="L1511" s="330"/>
      <c r="M1511" s="330"/>
      <c r="N1511" s="330"/>
      <c r="O1511" s="330">
        <v>638.12025329093376</v>
      </c>
      <c r="P1511" s="330">
        <v>552.29438370858122</v>
      </c>
      <c r="Q1511" s="330">
        <v>466.46851412622891</v>
      </c>
      <c r="R1511" s="330">
        <v>466.46851412622891</v>
      </c>
      <c r="S1511" s="330">
        <v>466.46851412622891</v>
      </c>
    </row>
    <row r="1512" spans="6:19" s="293" customFormat="1" x14ac:dyDescent="0.25">
      <c r="F1512" s="196" t="s">
        <v>933</v>
      </c>
      <c r="G1512" s="196" t="s">
        <v>120</v>
      </c>
      <c r="H1512" s="196" t="s">
        <v>480</v>
      </c>
      <c r="I1512" s="66"/>
      <c r="J1512" s="233">
        <f t="shared" si="153"/>
        <v>467.62435887244271</v>
      </c>
      <c r="K1512" s="234"/>
      <c r="L1512" s="330"/>
      <c r="M1512" s="330"/>
      <c r="N1512" s="330"/>
      <c r="O1512" s="330">
        <v>467.62435887244271</v>
      </c>
      <c r="P1512" s="330">
        <v>467.62435887244271</v>
      </c>
      <c r="Q1512" s="330">
        <v>467.62435887244271</v>
      </c>
      <c r="R1512" s="330">
        <v>467.62435887244271</v>
      </c>
      <c r="S1512" s="330">
        <v>467.62435887244271</v>
      </c>
    </row>
    <row r="1513" spans="6:19" s="293" customFormat="1" x14ac:dyDescent="0.25">
      <c r="F1513" s="196" t="s">
        <v>934</v>
      </c>
      <c r="G1513" s="196" t="s">
        <v>120</v>
      </c>
      <c r="H1513" s="196" t="s">
        <v>480</v>
      </c>
      <c r="I1513" s="66"/>
      <c r="J1513" s="239"/>
      <c r="K1513" s="234"/>
      <c r="L1513" s="239"/>
      <c r="M1513" s="239"/>
      <c r="N1513" s="239"/>
      <c r="O1513" s="239"/>
      <c r="P1513" s="239"/>
      <c r="Q1513" s="239"/>
      <c r="R1513" s="239"/>
      <c r="S1513" s="239"/>
    </row>
    <row r="1514" spans="6:19" s="293" customFormat="1" x14ac:dyDescent="0.25">
      <c r="F1514" s="196" t="s">
        <v>935</v>
      </c>
      <c r="G1514" s="196" t="s">
        <v>120</v>
      </c>
      <c r="H1514" s="196" t="s">
        <v>480</v>
      </c>
      <c r="I1514" s="66"/>
      <c r="J1514" s="239"/>
      <c r="K1514" s="234"/>
      <c r="L1514" s="239"/>
      <c r="M1514" s="239"/>
      <c r="N1514" s="239"/>
      <c r="O1514" s="239"/>
      <c r="P1514" s="239"/>
      <c r="Q1514" s="239"/>
      <c r="R1514" s="239"/>
      <c r="S1514" s="239"/>
    </row>
    <row r="1515" spans="6:19" s="293" customFormat="1" x14ac:dyDescent="0.25">
      <c r="F1515" s="196" t="s">
        <v>936</v>
      </c>
      <c r="G1515" s="196" t="s">
        <v>120</v>
      </c>
      <c r="H1515" s="196" t="s">
        <v>480</v>
      </c>
      <c r="I1515" s="66"/>
      <c r="J1515" s="239"/>
      <c r="K1515" s="234"/>
      <c r="L1515" s="239"/>
      <c r="M1515" s="239"/>
      <c r="N1515" s="239"/>
      <c r="O1515" s="239"/>
      <c r="P1515" s="239"/>
      <c r="Q1515" s="239"/>
      <c r="R1515" s="239"/>
      <c r="S1515" s="239"/>
    </row>
    <row r="1516" spans="6:19" s="293" customFormat="1" x14ac:dyDescent="0.25">
      <c r="F1516" s="196" t="s">
        <v>937</v>
      </c>
      <c r="G1516" s="196" t="s">
        <v>120</v>
      </c>
      <c r="H1516" s="196" t="s">
        <v>480</v>
      </c>
      <c r="I1516" s="66"/>
      <c r="J1516" s="239"/>
      <c r="K1516" s="234"/>
      <c r="L1516" s="239"/>
      <c r="M1516" s="239"/>
      <c r="N1516" s="239"/>
      <c r="O1516" s="239"/>
      <c r="P1516" s="239"/>
      <c r="Q1516" s="239"/>
      <c r="R1516" s="239"/>
      <c r="S1516" s="239"/>
    </row>
    <row r="1517" spans="6:19" s="293" customFormat="1" x14ac:dyDescent="0.25">
      <c r="F1517" s="196" t="s">
        <v>938</v>
      </c>
      <c r="G1517" s="196" t="s">
        <v>120</v>
      </c>
      <c r="H1517" s="196" t="s">
        <v>480</v>
      </c>
      <c r="I1517" s="66"/>
      <c r="J1517" s="239"/>
      <c r="K1517" s="234"/>
      <c r="L1517" s="239"/>
      <c r="M1517" s="239"/>
      <c r="N1517" s="239"/>
      <c r="O1517" s="239"/>
      <c r="P1517" s="239"/>
      <c r="Q1517" s="239"/>
      <c r="R1517" s="239"/>
      <c r="S1517" s="239"/>
    </row>
    <row r="1518" spans="6:19" s="293" customFormat="1" x14ac:dyDescent="0.25">
      <c r="F1518" s="196" t="s">
        <v>939</v>
      </c>
      <c r="G1518" s="196" t="s">
        <v>120</v>
      </c>
      <c r="H1518" s="196" t="s">
        <v>480</v>
      </c>
      <c r="I1518" s="66"/>
      <c r="J1518" s="239"/>
      <c r="K1518" s="234"/>
      <c r="L1518" s="239"/>
      <c r="M1518" s="239"/>
      <c r="N1518" s="239"/>
      <c r="O1518" s="239"/>
      <c r="P1518" s="239"/>
      <c r="Q1518" s="239"/>
      <c r="R1518" s="239"/>
      <c r="S1518" s="239"/>
    </row>
    <row r="1519" spans="6:19" s="293" customFormat="1" x14ac:dyDescent="0.25">
      <c r="F1519" s="196" t="s">
        <v>940</v>
      </c>
      <c r="G1519" s="196" t="s">
        <v>120</v>
      </c>
      <c r="H1519" s="196" t="s">
        <v>480</v>
      </c>
      <c r="I1519" s="66"/>
      <c r="J1519" s="239"/>
      <c r="K1519" s="234"/>
      <c r="L1519" s="239"/>
      <c r="M1519" s="239"/>
      <c r="N1519" s="239"/>
      <c r="O1519" s="239"/>
      <c r="P1519" s="239"/>
      <c r="Q1519" s="239"/>
      <c r="R1519" s="239"/>
      <c r="S1519" s="239"/>
    </row>
    <row r="1520" spans="6:19" s="293" customFormat="1" x14ac:dyDescent="0.25">
      <c r="F1520" s="93" t="s">
        <v>941</v>
      </c>
      <c r="G1520" s="93" t="s">
        <v>120</v>
      </c>
      <c r="H1520" s="93" t="s">
        <v>480</v>
      </c>
      <c r="I1520" s="145"/>
      <c r="J1520" s="240"/>
      <c r="K1520" s="236"/>
      <c r="L1520" s="240"/>
      <c r="M1520" s="240"/>
      <c r="N1520" s="240"/>
      <c r="O1520" s="240"/>
      <c r="P1520" s="240"/>
      <c r="Q1520" s="240"/>
      <c r="R1520" s="240"/>
      <c r="S1520" s="240"/>
    </row>
    <row r="1521" spans="5:19" s="293" customFormat="1" x14ac:dyDescent="0.25">
      <c r="I1521" s="111"/>
      <c r="J1521" s="237"/>
      <c r="K1521" s="237"/>
      <c r="L1521" s="237"/>
      <c r="M1521" s="237"/>
      <c r="N1521" s="237"/>
      <c r="O1521" s="237"/>
      <c r="P1521" s="237"/>
      <c r="Q1521" s="237"/>
      <c r="R1521" s="237"/>
      <c r="S1521" s="237"/>
    </row>
    <row r="1522" spans="5:19" s="293" customFormat="1" x14ac:dyDescent="0.25">
      <c r="E1522" s="144" t="s">
        <v>74</v>
      </c>
      <c r="I1522" s="111"/>
      <c r="J1522" s="237"/>
      <c r="K1522" s="237"/>
      <c r="L1522" s="237"/>
      <c r="M1522" s="237"/>
      <c r="N1522" s="237"/>
      <c r="O1522" s="237"/>
      <c r="P1522" s="237"/>
      <c r="Q1522" s="237"/>
      <c r="R1522" s="237"/>
      <c r="S1522" s="237"/>
    </row>
    <row r="1523" spans="5:19" s="293" customFormat="1" x14ac:dyDescent="0.25">
      <c r="F1523" s="91" t="s">
        <v>926</v>
      </c>
      <c r="G1523" s="91" t="s">
        <v>74</v>
      </c>
      <c r="H1523" s="91" t="s">
        <v>480</v>
      </c>
      <c r="I1523" s="112"/>
      <c r="J1523" s="231">
        <f t="shared" ref="J1523" si="154">CHOOSE(year_selection, L1523,M1523,N1523,O1523,P1523,Q1523,R1523,S1523)</f>
        <v>115145.92079188582</v>
      </c>
      <c r="K1523" s="232"/>
      <c r="L1523" s="329"/>
      <c r="M1523" s="329"/>
      <c r="N1523" s="329"/>
      <c r="O1523" s="329">
        <v>115145.92079188582</v>
      </c>
      <c r="P1523" s="329">
        <v>129545.92079188582</v>
      </c>
      <c r="Q1523" s="329">
        <v>143945.92079188582</v>
      </c>
      <c r="R1523" s="329">
        <v>158345.92079188582</v>
      </c>
      <c r="S1523" s="329">
        <v>172745.92079188582</v>
      </c>
    </row>
    <row r="1524" spans="5:19" s="293" customFormat="1" x14ac:dyDescent="0.25">
      <c r="F1524" s="196" t="s">
        <v>927</v>
      </c>
      <c r="G1524" s="196" t="s">
        <v>74</v>
      </c>
      <c r="H1524" s="196" t="s">
        <v>480</v>
      </c>
      <c r="I1524" s="66"/>
      <c r="J1524" s="239"/>
      <c r="K1524" s="234"/>
      <c r="L1524" s="239"/>
      <c r="M1524" s="239"/>
      <c r="N1524" s="239"/>
      <c r="O1524" s="239"/>
      <c r="P1524" s="239"/>
      <c r="Q1524" s="239"/>
      <c r="R1524" s="239"/>
      <c r="S1524" s="239"/>
    </row>
    <row r="1525" spans="5:19" s="293" customFormat="1" x14ac:dyDescent="0.25">
      <c r="F1525" s="196" t="s">
        <v>928</v>
      </c>
      <c r="G1525" s="196" t="s">
        <v>74</v>
      </c>
      <c r="H1525" s="196" t="s">
        <v>480</v>
      </c>
      <c r="I1525" s="66"/>
      <c r="J1525" s="233">
        <f t="shared" ref="J1525" si="155">CHOOSE(year_selection, L1525,M1525,N1525,O1525,P1525,Q1525,R1525,S1525)</f>
        <v>619.49770118179629</v>
      </c>
      <c r="K1525" s="234"/>
      <c r="L1525" s="330"/>
      <c r="M1525" s="330"/>
      <c r="N1525" s="330"/>
      <c r="O1525" s="330">
        <v>619.49770118179629</v>
      </c>
      <c r="P1525" s="330">
        <v>691.00274623869291</v>
      </c>
      <c r="Q1525" s="330">
        <v>762.50779129558953</v>
      </c>
      <c r="R1525" s="330">
        <v>834.01283635248592</v>
      </c>
      <c r="S1525" s="330">
        <v>905.51788140938243</v>
      </c>
    </row>
    <row r="1526" spans="5:19" s="293" customFormat="1" x14ac:dyDescent="0.25">
      <c r="F1526" s="196" t="s">
        <v>929</v>
      </c>
      <c r="G1526" s="196" t="s">
        <v>74</v>
      </c>
      <c r="H1526" s="196" t="s">
        <v>480</v>
      </c>
      <c r="I1526" s="66"/>
      <c r="J1526" s="239"/>
      <c r="K1526" s="234"/>
      <c r="L1526" s="239"/>
      <c r="M1526" s="239"/>
      <c r="N1526" s="239"/>
      <c r="O1526" s="239"/>
      <c r="P1526" s="239"/>
      <c r="Q1526" s="239"/>
      <c r="R1526" s="239"/>
      <c r="S1526" s="239"/>
    </row>
    <row r="1527" spans="5:19" s="293" customFormat="1" x14ac:dyDescent="0.25">
      <c r="F1527" s="196" t="s">
        <v>930</v>
      </c>
      <c r="G1527" s="196" t="s">
        <v>74</v>
      </c>
      <c r="H1527" s="196" t="s">
        <v>480</v>
      </c>
      <c r="I1527" s="66"/>
      <c r="J1527" s="233">
        <f t="shared" ref="J1527:J1530" si="156">CHOOSE(year_selection, L1527,M1527,N1527,O1527,P1527,Q1527,R1527,S1527)</f>
        <v>289.65169686899787</v>
      </c>
      <c r="K1527" s="234"/>
      <c r="L1527" s="330"/>
      <c r="M1527" s="330"/>
      <c r="N1527" s="330"/>
      <c r="O1527" s="330">
        <v>289.65169686899787</v>
      </c>
      <c r="P1527" s="330">
        <v>298.23844761689116</v>
      </c>
      <c r="Q1527" s="330">
        <v>306.88737069281524</v>
      </c>
      <c r="R1527" s="330">
        <v>315.47412144070853</v>
      </c>
      <c r="S1527" s="330">
        <v>324.06087218860176</v>
      </c>
    </row>
    <row r="1528" spans="5:19" s="293" customFormat="1" x14ac:dyDescent="0.25">
      <c r="F1528" s="196" t="s">
        <v>931</v>
      </c>
      <c r="G1528" s="196" t="s">
        <v>74</v>
      </c>
      <c r="H1528" s="196" t="s">
        <v>480</v>
      </c>
      <c r="I1528" s="66"/>
      <c r="J1528" s="233">
        <f t="shared" si="156"/>
        <v>0.875</v>
      </c>
      <c r="K1528" s="234"/>
      <c r="L1528" s="330"/>
      <c r="M1528" s="330"/>
      <c r="N1528" s="330"/>
      <c r="O1528" s="330">
        <v>0.875</v>
      </c>
      <c r="P1528" s="330">
        <v>1.1057692307692308</v>
      </c>
      <c r="Q1528" s="330">
        <v>1.3365384615384617</v>
      </c>
      <c r="R1528" s="330">
        <v>1.5673076923076923</v>
      </c>
      <c r="S1528" s="330">
        <v>1.7980769230769231</v>
      </c>
    </row>
    <row r="1529" spans="5:19" s="293" customFormat="1" x14ac:dyDescent="0.25">
      <c r="F1529" s="196" t="s">
        <v>932</v>
      </c>
      <c r="G1529" s="196" t="s">
        <v>74</v>
      </c>
      <c r="H1529" s="196" t="s">
        <v>480</v>
      </c>
      <c r="I1529" s="66"/>
      <c r="J1529" s="233">
        <f t="shared" si="156"/>
        <v>3.849071584531822</v>
      </c>
      <c r="K1529" s="234"/>
      <c r="L1529" s="330"/>
      <c r="M1529" s="330"/>
      <c r="N1529" s="330"/>
      <c r="O1529" s="330">
        <v>3.849071584531822</v>
      </c>
      <c r="P1529" s="330">
        <v>3.849071584531822</v>
      </c>
      <c r="Q1529" s="330">
        <v>3.849071584531822</v>
      </c>
      <c r="R1529" s="330">
        <v>3.849071584531822</v>
      </c>
      <c r="S1529" s="330">
        <v>3.849071584531822</v>
      </c>
    </row>
    <row r="1530" spans="5:19" s="293" customFormat="1" x14ac:dyDescent="0.25">
      <c r="F1530" s="196" t="s">
        <v>933</v>
      </c>
      <c r="G1530" s="196" t="s">
        <v>74</v>
      </c>
      <c r="H1530" s="196" t="s">
        <v>480</v>
      </c>
      <c r="I1530" s="66"/>
      <c r="J1530" s="233">
        <f t="shared" si="156"/>
        <v>502</v>
      </c>
      <c r="K1530" s="234"/>
      <c r="L1530" s="330"/>
      <c r="M1530" s="330"/>
      <c r="N1530" s="330"/>
      <c r="O1530" s="330">
        <v>502</v>
      </c>
      <c r="P1530" s="330">
        <v>502</v>
      </c>
      <c r="Q1530" s="330">
        <v>502</v>
      </c>
      <c r="R1530" s="330">
        <v>502</v>
      </c>
      <c r="S1530" s="330">
        <v>502</v>
      </c>
    </row>
    <row r="1531" spans="5:19" s="293" customFormat="1" x14ac:dyDescent="0.25">
      <c r="F1531" s="196" t="s">
        <v>934</v>
      </c>
      <c r="G1531" s="196" t="s">
        <v>74</v>
      </c>
      <c r="H1531" s="196" t="s">
        <v>480</v>
      </c>
      <c r="I1531" s="66"/>
      <c r="J1531" s="239"/>
      <c r="K1531" s="234"/>
      <c r="L1531" s="239"/>
      <c r="M1531" s="239"/>
      <c r="N1531" s="239"/>
      <c r="O1531" s="239"/>
      <c r="P1531" s="239"/>
      <c r="Q1531" s="239"/>
      <c r="R1531" s="239"/>
      <c r="S1531" s="239"/>
    </row>
    <row r="1532" spans="5:19" s="293" customFormat="1" x14ac:dyDescent="0.25">
      <c r="F1532" s="196" t="s">
        <v>935</v>
      </c>
      <c r="G1532" s="196" t="s">
        <v>74</v>
      </c>
      <c r="H1532" s="196" t="s">
        <v>480</v>
      </c>
      <c r="I1532" s="66"/>
      <c r="J1532" s="239"/>
      <c r="K1532" s="234"/>
      <c r="L1532" s="239"/>
      <c r="M1532" s="239"/>
      <c r="N1532" s="239"/>
      <c r="O1532" s="239"/>
      <c r="P1532" s="239"/>
      <c r="Q1532" s="239"/>
      <c r="R1532" s="239"/>
      <c r="S1532" s="239"/>
    </row>
    <row r="1533" spans="5:19" s="293" customFormat="1" x14ac:dyDescent="0.25">
      <c r="F1533" s="196" t="s">
        <v>936</v>
      </c>
      <c r="G1533" s="196" t="s">
        <v>74</v>
      </c>
      <c r="H1533" s="196" t="s">
        <v>480</v>
      </c>
      <c r="I1533" s="66"/>
      <c r="J1533" s="239"/>
      <c r="K1533" s="234"/>
      <c r="L1533" s="239"/>
      <c r="M1533" s="239"/>
      <c r="N1533" s="239"/>
      <c r="O1533" s="239"/>
      <c r="P1533" s="239"/>
      <c r="Q1533" s="239"/>
      <c r="R1533" s="239"/>
      <c r="S1533" s="239"/>
    </row>
    <row r="1534" spans="5:19" s="293" customFormat="1" x14ac:dyDescent="0.25">
      <c r="F1534" s="196" t="s">
        <v>937</v>
      </c>
      <c r="G1534" s="196" t="s">
        <v>74</v>
      </c>
      <c r="H1534" s="196" t="s">
        <v>480</v>
      </c>
      <c r="I1534" s="66"/>
      <c r="J1534" s="239"/>
      <c r="K1534" s="234"/>
      <c r="L1534" s="239"/>
      <c r="M1534" s="239"/>
      <c r="N1534" s="239"/>
      <c r="O1534" s="239"/>
      <c r="P1534" s="239"/>
      <c r="Q1534" s="239"/>
      <c r="R1534" s="239"/>
      <c r="S1534" s="239"/>
    </row>
    <row r="1535" spans="5:19" s="293" customFormat="1" x14ac:dyDescent="0.25">
      <c r="F1535" s="196" t="s">
        <v>938</v>
      </c>
      <c r="G1535" s="196" t="s">
        <v>74</v>
      </c>
      <c r="H1535" s="196" t="s">
        <v>480</v>
      </c>
      <c r="I1535" s="66"/>
      <c r="J1535" s="239"/>
      <c r="K1535" s="234"/>
      <c r="L1535" s="239"/>
      <c r="M1535" s="239"/>
      <c r="N1535" s="239"/>
      <c r="O1535" s="239"/>
      <c r="P1535" s="239"/>
      <c r="Q1535" s="239"/>
      <c r="R1535" s="239"/>
      <c r="S1535" s="239"/>
    </row>
    <row r="1536" spans="5:19" s="293" customFormat="1" x14ac:dyDescent="0.25">
      <c r="F1536" s="196" t="s">
        <v>939</v>
      </c>
      <c r="G1536" s="196" t="s">
        <v>74</v>
      </c>
      <c r="H1536" s="196" t="s">
        <v>480</v>
      </c>
      <c r="I1536" s="66"/>
      <c r="J1536" s="239"/>
      <c r="K1536" s="234"/>
      <c r="L1536" s="239"/>
      <c r="M1536" s="239"/>
      <c r="N1536" s="239"/>
      <c r="O1536" s="239"/>
      <c r="P1536" s="239"/>
      <c r="Q1536" s="239"/>
      <c r="R1536" s="239"/>
      <c r="S1536" s="239"/>
    </row>
    <row r="1537" spans="5:19" s="293" customFormat="1" x14ac:dyDescent="0.25">
      <c r="F1537" s="196" t="s">
        <v>940</v>
      </c>
      <c r="G1537" s="196" t="s">
        <v>74</v>
      </c>
      <c r="H1537" s="196" t="s">
        <v>480</v>
      </c>
      <c r="I1537" s="66"/>
      <c r="J1537" s="239"/>
      <c r="K1537" s="234"/>
      <c r="L1537" s="239"/>
      <c r="M1537" s="239"/>
      <c r="N1537" s="239"/>
      <c r="O1537" s="239"/>
      <c r="P1537" s="239"/>
      <c r="Q1537" s="239"/>
      <c r="R1537" s="239"/>
      <c r="S1537" s="239"/>
    </row>
    <row r="1538" spans="5:19" s="293" customFormat="1" x14ac:dyDescent="0.25">
      <c r="F1538" s="93" t="s">
        <v>941</v>
      </c>
      <c r="G1538" s="93" t="s">
        <v>74</v>
      </c>
      <c r="H1538" s="93" t="s">
        <v>480</v>
      </c>
      <c r="I1538" s="145"/>
      <c r="J1538" s="240"/>
      <c r="K1538" s="236"/>
      <c r="L1538" s="240"/>
      <c r="M1538" s="240"/>
      <c r="N1538" s="240"/>
      <c r="O1538" s="240"/>
      <c r="P1538" s="240"/>
      <c r="Q1538" s="240"/>
      <c r="R1538" s="240"/>
      <c r="S1538" s="240"/>
    </row>
    <row r="1539" spans="5:19" s="293" customFormat="1" x14ac:dyDescent="0.25">
      <c r="I1539" s="111"/>
      <c r="J1539" s="237"/>
      <c r="K1539" s="237"/>
      <c r="L1539" s="237"/>
      <c r="M1539" s="237"/>
      <c r="N1539" s="237"/>
      <c r="O1539" s="237"/>
      <c r="P1539" s="237"/>
      <c r="Q1539" s="237"/>
      <c r="R1539" s="237"/>
      <c r="S1539" s="237"/>
    </row>
    <row r="1540" spans="5:19" s="293" customFormat="1" x14ac:dyDescent="0.25">
      <c r="E1540" s="144" t="s">
        <v>202</v>
      </c>
      <c r="I1540" s="111"/>
      <c r="J1540" s="237"/>
      <c r="K1540" s="237"/>
      <c r="L1540" s="237"/>
      <c r="M1540" s="237"/>
      <c r="N1540" s="237"/>
      <c r="O1540" s="237"/>
      <c r="P1540" s="237"/>
      <c r="Q1540" s="237"/>
      <c r="R1540" s="237"/>
      <c r="S1540" s="237"/>
    </row>
    <row r="1541" spans="5:19" s="293" customFormat="1" x14ac:dyDescent="0.25">
      <c r="F1541" s="91" t="s">
        <v>926</v>
      </c>
      <c r="G1541" s="91" t="s">
        <v>169</v>
      </c>
      <c r="H1541" s="91" t="s">
        <v>480</v>
      </c>
      <c r="I1541" s="112"/>
      <c r="J1541" s="238"/>
      <c r="K1541" s="232"/>
      <c r="L1541" s="238"/>
      <c r="M1541" s="238"/>
      <c r="N1541" s="238"/>
      <c r="O1541" s="238"/>
      <c r="P1541" s="238"/>
      <c r="Q1541" s="238"/>
      <c r="R1541" s="238"/>
      <c r="S1541" s="238"/>
    </row>
    <row r="1542" spans="5:19" s="293" customFormat="1" x14ac:dyDescent="0.25">
      <c r="F1542" s="196" t="s">
        <v>927</v>
      </c>
      <c r="G1542" s="196" t="s">
        <v>169</v>
      </c>
      <c r="H1542" s="196" t="s">
        <v>480</v>
      </c>
      <c r="I1542" s="66"/>
      <c r="J1542" s="239"/>
      <c r="K1542" s="234"/>
      <c r="L1542" s="239"/>
      <c r="M1542" s="239"/>
      <c r="N1542" s="239"/>
      <c r="O1542" s="239"/>
      <c r="P1542" s="239"/>
      <c r="Q1542" s="239"/>
      <c r="R1542" s="239"/>
      <c r="S1542" s="239"/>
    </row>
    <row r="1543" spans="5:19" s="293" customFormat="1" x14ac:dyDescent="0.25">
      <c r="F1543" s="196" t="s">
        <v>928</v>
      </c>
      <c r="G1543" s="196" t="s">
        <v>169</v>
      </c>
      <c r="H1543" s="196" t="s">
        <v>480</v>
      </c>
      <c r="I1543" s="66"/>
      <c r="J1543" s="239"/>
      <c r="K1543" s="234"/>
      <c r="L1543" s="239"/>
      <c r="M1543" s="239"/>
      <c r="N1543" s="239"/>
      <c r="O1543" s="239"/>
      <c r="P1543" s="239"/>
      <c r="Q1543" s="239"/>
      <c r="R1543" s="239"/>
      <c r="S1543" s="239"/>
    </row>
    <row r="1544" spans="5:19" s="293" customFormat="1" x14ac:dyDescent="0.25">
      <c r="F1544" s="196" t="s">
        <v>929</v>
      </c>
      <c r="G1544" s="196" t="s">
        <v>169</v>
      </c>
      <c r="H1544" s="196" t="s">
        <v>480</v>
      </c>
      <c r="I1544" s="66"/>
      <c r="J1544" s="239"/>
      <c r="K1544" s="234"/>
      <c r="L1544" s="239"/>
      <c r="M1544" s="239"/>
      <c r="N1544" s="239"/>
      <c r="O1544" s="239"/>
      <c r="P1544" s="239"/>
      <c r="Q1544" s="239"/>
      <c r="R1544" s="239"/>
      <c r="S1544" s="239"/>
    </row>
    <row r="1545" spans="5:19" s="293" customFormat="1" x14ac:dyDescent="0.25">
      <c r="F1545" s="196" t="s">
        <v>930</v>
      </c>
      <c r="G1545" s="196" t="s">
        <v>169</v>
      </c>
      <c r="H1545" s="196" t="s">
        <v>480</v>
      </c>
      <c r="I1545" s="66"/>
      <c r="J1545" s="233">
        <f t="shared" ref="J1545:J1547" si="157">CHOOSE(year_selection, L1545,M1545,N1545,O1545,P1545,Q1545,R1545,S1545)</f>
        <v>28199.700742608577</v>
      </c>
      <c r="K1545" s="234"/>
      <c r="L1545" s="330"/>
      <c r="M1545" s="330"/>
      <c r="N1545" s="330"/>
      <c r="O1545" s="330">
        <v>28199.700742608577</v>
      </c>
      <c r="P1545" s="330">
        <v>29877.71902864916</v>
      </c>
      <c r="Q1545" s="330">
        <v>29877.71902864916</v>
      </c>
      <c r="R1545" s="330">
        <v>30713.701707360957</v>
      </c>
      <c r="S1545" s="330">
        <v>31549.684386072753</v>
      </c>
    </row>
    <row r="1546" spans="5:19" s="293" customFormat="1" x14ac:dyDescent="0.25">
      <c r="F1546" s="196" t="s">
        <v>931</v>
      </c>
      <c r="G1546" s="196" t="s">
        <v>169</v>
      </c>
      <c r="H1546" s="196" t="s">
        <v>480</v>
      </c>
      <c r="I1546" s="66"/>
      <c r="J1546" s="233">
        <f t="shared" si="157"/>
        <v>118.53631342500071</v>
      </c>
      <c r="K1546" s="234"/>
      <c r="L1546" s="330"/>
      <c r="M1546" s="330"/>
      <c r="N1546" s="330"/>
      <c r="O1546" s="330">
        <v>118.53631342500071</v>
      </c>
      <c r="P1546" s="330">
        <v>181.06096226456157</v>
      </c>
      <c r="Q1546" s="330">
        <v>181.06096226456157</v>
      </c>
      <c r="R1546" s="330">
        <v>212.32328668434204</v>
      </c>
      <c r="S1546" s="330">
        <v>243.58561110412251</v>
      </c>
    </row>
    <row r="1547" spans="5:19" s="293" customFormat="1" x14ac:dyDescent="0.25">
      <c r="F1547" s="196" t="s">
        <v>932</v>
      </c>
      <c r="G1547" s="196" t="s">
        <v>169</v>
      </c>
      <c r="H1547" s="196" t="s">
        <v>480</v>
      </c>
      <c r="I1547" s="66"/>
      <c r="J1547" s="233">
        <f t="shared" si="157"/>
        <v>1663.0825353445739</v>
      </c>
      <c r="K1547" s="234"/>
      <c r="L1547" s="330"/>
      <c r="M1547" s="330"/>
      <c r="N1547" s="330"/>
      <c r="O1547" s="330">
        <v>1663.0825353445739</v>
      </c>
      <c r="P1547" s="330">
        <v>1663.0825353445739</v>
      </c>
      <c r="Q1547" s="330">
        <v>1663.0825353445739</v>
      </c>
      <c r="R1547" s="330">
        <v>1663.0825353445739</v>
      </c>
      <c r="S1547" s="330">
        <v>1663.0825353445739</v>
      </c>
    </row>
    <row r="1548" spans="5:19" s="293" customFormat="1" x14ac:dyDescent="0.25">
      <c r="F1548" s="196" t="s">
        <v>933</v>
      </c>
      <c r="G1548" s="196" t="s">
        <v>169</v>
      </c>
      <c r="H1548" s="196" t="s">
        <v>480</v>
      </c>
      <c r="I1548" s="66"/>
      <c r="J1548" s="239"/>
      <c r="K1548" s="234"/>
      <c r="L1548" s="239"/>
      <c r="M1548" s="239"/>
      <c r="N1548" s="239"/>
      <c r="O1548" s="239"/>
      <c r="P1548" s="239"/>
      <c r="Q1548" s="239"/>
      <c r="R1548" s="239"/>
      <c r="S1548" s="239"/>
    </row>
    <row r="1549" spans="5:19" s="293" customFormat="1" x14ac:dyDescent="0.25">
      <c r="F1549" s="196" t="s">
        <v>934</v>
      </c>
      <c r="G1549" s="196" t="s">
        <v>169</v>
      </c>
      <c r="H1549" s="196" t="s">
        <v>480</v>
      </c>
      <c r="I1549" s="66"/>
      <c r="J1549" s="239"/>
      <c r="K1549" s="234"/>
      <c r="L1549" s="239"/>
      <c r="M1549" s="239"/>
      <c r="N1549" s="239"/>
      <c r="O1549" s="239"/>
      <c r="P1549" s="239"/>
      <c r="Q1549" s="239"/>
      <c r="R1549" s="239"/>
      <c r="S1549" s="239"/>
    </row>
    <row r="1550" spans="5:19" s="293" customFormat="1" x14ac:dyDescent="0.25">
      <c r="F1550" s="196" t="s">
        <v>935</v>
      </c>
      <c r="G1550" s="196" t="s">
        <v>169</v>
      </c>
      <c r="H1550" s="196" t="s">
        <v>480</v>
      </c>
      <c r="I1550" s="66"/>
      <c r="J1550" s="239"/>
      <c r="K1550" s="234"/>
      <c r="L1550" s="239"/>
      <c r="M1550" s="239"/>
      <c r="N1550" s="239"/>
      <c r="O1550" s="239"/>
      <c r="P1550" s="239"/>
      <c r="Q1550" s="239"/>
      <c r="R1550" s="239"/>
      <c r="S1550" s="239"/>
    </row>
    <row r="1551" spans="5:19" s="293" customFormat="1" x14ac:dyDescent="0.25">
      <c r="F1551" s="196" t="s">
        <v>936</v>
      </c>
      <c r="G1551" s="196" t="s">
        <v>169</v>
      </c>
      <c r="H1551" s="196" t="s">
        <v>480</v>
      </c>
      <c r="I1551" s="66"/>
      <c r="J1551" s="239"/>
      <c r="K1551" s="234"/>
      <c r="L1551" s="239"/>
      <c r="M1551" s="239"/>
      <c r="N1551" s="239"/>
      <c r="O1551" s="239"/>
      <c r="P1551" s="239"/>
      <c r="Q1551" s="239"/>
      <c r="R1551" s="239"/>
      <c r="S1551" s="239"/>
    </row>
    <row r="1552" spans="5:19" s="293" customFormat="1" x14ac:dyDescent="0.25">
      <c r="F1552" s="196" t="s">
        <v>937</v>
      </c>
      <c r="G1552" s="196" t="s">
        <v>169</v>
      </c>
      <c r="H1552" s="196" t="s">
        <v>480</v>
      </c>
      <c r="I1552" s="66"/>
      <c r="J1552" s="239"/>
      <c r="K1552" s="234"/>
      <c r="L1552" s="239"/>
      <c r="M1552" s="239"/>
      <c r="N1552" s="239"/>
      <c r="O1552" s="239"/>
      <c r="P1552" s="239"/>
      <c r="Q1552" s="239"/>
      <c r="R1552" s="239"/>
      <c r="S1552" s="239"/>
    </row>
    <row r="1553" spans="5:19" s="293" customFormat="1" x14ac:dyDescent="0.25">
      <c r="F1553" s="196" t="s">
        <v>938</v>
      </c>
      <c r="G1553" s="196" t="s">
        <v>169</v>
      </c>
      <c r="H1553" s="196" t="s">
        <v>480</v>
      </c>
      <c r="I1553" s="66"/>
      <c r="J1553" s="239"/>
      <c r="K1553" s="234"/>
      <c r="L1553" s="239"/>
      <c r="M1553" s="239"/>
      <c r="N1553" s="239"/>
      <c r="O1553" s="239"/>
      <c r="P1553" s="239"/>
      <c r="Q1553" s="239"/>
      <c r="R1553" s="239"/>
      <c r="S1553" s="239"/>
    </row>
    <row r="1554" spans="5:19" s="293" customFormat="1" x14ac:dyDescent="0.25">
      <c r="F1554" s="196" t="s">
        <v>939</v>
      </c>
      <c r="G1554" s="196" t="s">
        <v>169</v>
      </c>
      <c r="H1554" s="196" t="s">
        <v>480</v>
      </c>
      <c r="I1554" s="66"/>
      <c r="J1554" s="239"/>
      <c r="K1554" s="234"/>
      <c r="L1554" s="239"/>
      <c r="M1554" s="239"/>
      <c r="N1554" s="239"/>
      <c r="O1554" s="239"/>
      <c r="P1554" s="239"/>
      <c r="Q1554" s="239"/>
      <c r="R1554" s="239"/>
      <c r="S1554" s="239"/>
    </row>
    <row r="1555" spans="5:19" s="293" customFormat="1" x14ac:dyDescent="0.25">
      <c r="F1555" s="196" t="s">
        <v>940</v>
      </c>
      <c r="G1555" s="196" t="s">
        <v>169</v>
      </c>
      <c r="H1555" s="196" t="s">
        <v>480</v>
      </c>
      <c r="I1555" s="66"/>
      <c r="J1555" s="239"/>
      <c r="K1555" s="234"/>
      <c r="L1555" s="239"/>
      <c r="M1555" s="239"/>
      <c r="N1555" s="239"/>
      <c r="O1555" s="239"/>
      <c r="P1555" s="239"/>
      <c r="Q1555" s="239"/>
      <c r="R1555" s="239"/>
      <c r="S1555" s="239"/>
    </row>
    <row r="1556" spans="5:19" s="293" customFormat="1" x14ac:dyDescent="0.25">
      <c r="F1556" s="93" t="s">
        <v>941</v>
      </c>
      <c r="G1556" s="93" t="s">
        <v>169</v>
      </c>
      <c r="H1556" s="93" t="s">
        <v>480</v>
      </c>
      <c r="I1556" s="145"/>
      <c r="J1556" s="240"/>
      <c r="K1556" s="236"/>
      <c r="L1556" s="240"/>
      <c r="M1556" s="240"/>
      <c r="N1556" s="240"/>
      <c r="O1556" s="240"/>
      <c r="P1556" s="240"/>
      <c r="Q1556" s="240"/>
      <c r="R1556" s="240"/>
      <c r="S1556" s="240"/>
    </row>
    <row r="1557" spans="5:19" s="293" customFormat="1" x14ac:dyDescent="0.25">
      <c r="I1557" s="111"/>
      <c r="J1557" s="237"/>
      <c r="K1557" s="237"/>
      <c r="L1557" s="237"/>
      <c r="M1557" s="237"/>
      <c r="N1557" s="237"/>
      <c r="O1557" s="237"/>
      <c r="P1557" s="237"/>
      <c r="Q1557" s="237"/>
      <c r="R1557" s="237"/>
      <c r="S1557" s="237"/>
    </row>
    <row r="1558" spans="5:19" s="293" customFormat="1" x14ac:dyDescent="0.25">
      <c r="E1558" s="144" t="s">
        <v>203</v>
      </c>
      <c r="I1558" s="111"/>
      <c r="J1558" s="237"/>
      <c r="K1558" s="237"/>
      <c r="L1558" s="237"/>
      <c r="M1558" s="237"/>
      <c r="N1558" s="237"/>
      <c r="O1558" s="237"/>
      <c r="P1558" s="237"/>
      <c r="Q1558" s="237"/>
      <c r="R1558" s="237"/>
      <c r="S1558" s="237"/>
    </row>
    <row r="1559" spans="5:19" s="293" customFormat="1" x14ac:dyDescent="0.25">
      <c r="F1559" s="91" t="s">
        <v>926</v>
      </c>
      <c r="G1559" s="91" t="s">
        <v>169</v>
      </c>
      <c r="H1559" s="91" t="s">
        <v>480</v>
      </c>
      <c r="I1559" s="112"/>
      <c r="J1559" s="238"/>
      <c r="K1559" s="232"/>
      <c r="L1559" s="238"/>
      <c r="M1559" s="238"/>
      <c r="N1559" s="238"/>
      <c r="O1559" s="238"/>
      <c r="P1559" s="238"/>
      <c r="Q1559" s="238"/>
      <c r="R1559" s="238"/>
      <c r="S1559" s="238"/>
    </row>
    <row r="1560" spans="5:19" s="293" customFormat="1" x14ac:dyDescent="0.25">
      <c r="F1560" s="196" t="s">
        <v>927</v>
      </c>
      <c r="G1560" s="196" t="s">
        <v>169</v>
      </c>
      <c r="H1560" s="196" t="s">
        <v>480</v>
      </c>
      <c r="I1560" s="66"/>
      <c r="J1560" s="239"/>
      <c r="K1560" s="234"/>
      <c r="L1560" s="239"/>
      <c r="M1560" s="239"/>
      <c r="N1560" s="239"/>
      <c r="O1560" s="239"/>
      <c r="P1560" s="239"/>
      <c r="Q1560" s="239"/>
      <c r="R1560" s="239"/>
      <c r="S1560" s="239"/>
    </row>
    <row r="1561" spans="5:19" s="293" customFormat="1" x14ac:dyDescent="0.25">
      <c r="F1561" s="196" t="s">
        <v>928</v>
      </c>
      <c r="G1561" s="196" t="s">
        <v>169</v>
      </c>
      <c r="H1561" s="196" t="s">
        <v>480</v>
      </c>
      <c r="I1561" s="66"/>
      <c r="J1561" s="239"/>
      <c r="K1561" s="234"/>
      <c r="L1561" s="239"/>
      <c r="M1561" s="239"/>
      <c r="N1561" s="239"/>
      <c r="O1561" s="239"/>
      <c r="P1561" s="239"/>
      <c r="Q1561" s="239"/>
      <c r="R1561" s="239"/>
      <c r="S1561" s="239"/>
    </row>
    <row r="1562" spans="5:19" s="293" customFormat="1" x14ac:dyDescent="0.25">
      <c r="F1562" s="196" t="s">
        <v>929</v>
      </c>
      <c r="G1562" s="196" t="s">
        <v>169</v>
      </c>
      <c r="H1562" s="196" t="s">
        <v>480</v>
      </c>
      <c r="I1562" s="66"/>
      <c r="J1562" s="239"/>
      <c r="K1562" s="234"/>
      <c r="L1562" s="239"/>
      <c r="M1562" s="239"/>
      <c r="N1562" s="239"/>
      <c r="O1562" s="239"/>
      <c r="P1562" s="239"/>
      <c r="Q1562" s="239"/>
      <c r="R1562" s="239"/>
      <c r="S1562" s="239"/>
    </row>
    <row r="1563" spans="5:19" s="293" customFormat="1" x14ac:dyDescent="0.25">
      <c r="F1563" s="196" t="s">
        <v>930</v>
      </c>
      <c r="G1563" s="196" t="s">
        <v>169</v>
      </c>
      <c r="H1563" s="196" t="s">
        <v>480</v>
      </c>
      <c r="I1563" s="66"/>
      <c r="J1563" s="233">
        <f t="shared" ref="J1563:J1565" si="158">CHOOSE(year_selection, L1563,M1563,N1563,O1563,P1563,Q1563,R1563,S1563)</f>
        <v>16.579510638314996</v>
      </c>
      <c r="K1563" s="234"/>
      <c r="L1563" s="330"/>
      <c r="M1563" s="330"/>
      <c r="N1563" s="330"/>
      <c r="O1563" s="330">
        <v>16.579510638314996</v>
      </c>
      <c r="P1563" s="330">
        <v>17.566071534071636</v>
      </c>
      <c r="Q1563" s="330">
        <v>17.566071534071636</v>
      </c>
      <c r="R1563" s="330">
        <v>18.057572626287374</v>
      </c>
      <c r="S1563" s="330">
        <v>18.549073718503109</v>
      </c>
    </row>
    <row r="1564" spans="5:19" s="293" customFormat="1" x14ac:dyDescent="0.25">
      <c r="F1564" s="196" t="s">
        <v>931</v>
      </c>
      <c r="G1564" s="196" t="s">
        <v>169</v>
      </c>
      <c r="H1564" s="196" t="s">
        <v>480</v>
      </c>
      <c r="I1564" s="66"/>
      <c r="J1564" s="233">
        <f t="shared" si="158"/>
        <v>0.64913503177350218</v>
      </c>
      <c r="K1564" s="234"/>
      <c r="L1564" s="330"/>
      <c r="M1564" s="330"/>
      <c r="N1564" s="330"/>
      <c r="O1564" s="330">
        <v>0.64913503177350218</v>
      </c>
      <c r="P1564" s="330">
        <v>0.99153592765403054</v>
      </c>
      <c r="Q1564" s="330">
        <v>0.99153592765403054</v>
      </c>
      <c r="R1564" s="330">
        <v>1.1627363755942943</v>
      </c>
      <c r="S1564" s="330">
        <v>1.3339368235345583</v>
      </c>
    </row>
    <row r="1565" spans="5:19" s="293" customFormat="1" x14ac:dyDescent="0.25">
      <c r="F1565" s="196" t="s">
        <v>932</v>
      </c>
      <c r="G1565" s="196" t="s">
        <v>169</v>
      </c>
      <c r="H1565" s="196" t="s">
        <v>480</v>
      </c>
      <c r="I1565" s="66"/>
      <c r="J1565" s="233">
        <f t="shared" si="158"/>
        <v>2.1318925937924087</v>
      </c>
      <c r="K1565" s="234"/>
      <c r="L1565" s="330"/>
      <c r="M1565" s="330"/>
      <c r="N1565" s="330"/>
      <c r="O1565" s="330">
        <v>2.1318925937924087</v>
      </c>
      <c r="P1565" s="330">
        <v>2.1318925937924087</v>
      </c>
      <c r="Q1565" s="330">
        <v>2.1318925937924087</v>
      </c>
      <c r="R1565" s="330">
        <v>2.1318925937924087</v>
      </c>
      <c r="S1565" s="330">
        <v>2.1318925937924087</v>
      </c>
    </row>
    <row r="1566" spans="5:19" s="293" customFormat="1" x14ac:dyDescent="0.25">
      <c r="F1566" s="196" t="s">
        <v>933</v>
      </c>
      <c r="G1566" s="196" t="s">
        <v>169</v>
      </c>
      <c r="H1566" s="196" t="s">
        <v>480</v>
      </c>
      <c r="I1566" s="66"/>
      <c r="J1566" s="239"/>
      <c r="K1566" s="234"/>
      <c r="L1566" s="239"/>
      <c r="M1566" s="239"/>
      <c r="N1566" s="239"/>
      <c r="O1566" s="239"/>
      <c r="P1566" s="239"/>
      <c r="Q1566" s="239"/>
      <c r="R1566" s="239"/>
      <c r="S1566" s="239"/>
    </row>
    <row r="1567" spans="5:19" s="293" customFormat="1" x14ac:dyDescent="0.25">
      <c r="F1567" s="196" t="s">
        <v>934</v>
      </c>
      <c r="G1567" s="196" t="s">
        <v>169</v>
      </c>
      <c r="H1567" s="196" t="s">
        <v>480</v>
      </c>
      <c r="I1567" s="66"/>
      <c r="J1567" s="239"/>
      <c r="K1567" s="234"/>
      <c r="L1567" s="239"/>
      <c r="M1567" s="239"/>
      <c r="N1567" s="239"/>
      <c r="O1567" s="239"/>
      <c r="P1567" s="239"/>
      <c r="Q1567" s="239"/>
      <c r="R1567" s="239"/>
      <c r="S1567" s="239"/>
    </row>
    <row r="1568" spans="5:19" s="293" customFormat="1" x14ac:dyDescent="0.25">
      <c r="F1568" s="196" t="s">
        <v>935</v>
      </c>
      <c r="G1568" s="196" t="s">
        <v>169</v>
      </c>
      <c r="H1568" s="196" t="s">
        <v>480</v>
      </c>
      <c r="I1568" s="66"/>
      <c r="J1568" s="239"/>
      <c r="K1568" s="234"/>
      <c r="L1568" s="239"/>
      <c r="M1568" s="239"/>
      <c r="N1568" s="239"/>
      <c r="O1568" s="239"/>
      <c r="P1568" s="239"/>
      <c r="Q1568" s="239"/>
      <c r="R1568" s="239"/>
      <c r="S1568" s="239"/>
    </row>
    <row r="1569" spans="5:19" s="293" customFormat="1" x14ac:dyDescent="0.25">
      <c r="F1569" s="196" t="s">
        <v>936</v>
      </c>
      <c r="G1569" s="196" t="s">
        <v>169</v>
      </c>
      <c r="H1569" s="196" t="s">
        <v>480</v>
      </c>
      <c r="I1569" s="66"/>
      <c r="J1569" s="239"/>
      <c r="K1569" s="234"/>
      <c r="L1569" s="239"/>
      <c r="M1569" s="239"/>
      <c r="N1569" s="239"/>
      <c r="O1569" s="239"/>
      <c r="P1569" s="239"/>
      <c r="Q1569" s="239"/>
      <c r="R1569" s="239"/>
      <c r="S1569" s="239"/>
    </row>
    <row r="1570" spans="5:19" s="293" customFormat="1" x14ac:dyDescent="0.25">
      <c r="F1570" s="196" t="s">
        <v>937</v>
      </c>
      <c r="G1570" s="196" t="s">
        <v>169</v>
      </c>
      <c r="H1570" s="196" t="s">
        <v>480</v>
      </c>
      <c r="I1570" s="66"/>
      <c r="J1570" s="239"/>
      <c r="K1570" s="234"/>
      <c r="L1570" s="239"/>
      <c r="M1570" s="239"/>
      <c r="N1570" s="239"/>
      <c r="O1570" s="239"/>
      <c r="P1570" s="239"/>
      <c r="Q1570" s="239"/>
      <c r="R1570" s="239"/>
      <c r="S1570" s="239"/>
    </row>
    <row r="1571" spans="5:19" s="293" customFormat="1" x14ac:dyDescent="0.25">
      <c r="F1571" s="196" t="s">
        <v>938</v>
      </c>
      <c r="G1571" s="196" t="s">
        <v>169</v>
      </c>
      <c r="H1571" s="196" t="s">
        <v>480</v>
      </c>
      <c r="I1571" s="66"/>
      <c r="J1571" s="239"/>
      <c r="K1571" s="234"/>
      <c r="L1571" s="239"/>
      <c r="M1571" s="239"/>
      <c r="N1571" s="239"/>
      <c r="O1571" s="239"/>
      <c r="P1571" s="239"/>
      <c r="Q1571" s="239"/>
      <c r="R1571" s="239"/>
      <c r="S1571" s="239"/>
    </row>
    <row r="1572" spans="5:19" s="293" customFormat="1" x14ac:dyDescent="0.25">
      <c r="F1572" s="196" t="s">
        <v>939</v>
      </c>
      <c r="G1572" s="196" t="s">
        <v>169</v>
      </c>
      <c r="H1572" s="196" t="s">
        <v>480</v>
      </c>
      <c r="I1572" s="66"/>
      <c r="J1572" s="239"/>
      <c r="K1572" s="234"/>
      <c r="L1572" s="239"/>
      <c r="M1572" s="239"/>
      <c r="N1572" s="239"/>
      <c r="O1572" s="239"/>
      <c r="P1572" s="239"/>
      <c r="Q1572" s="239"/>
      <c r="R1572" s="239"/>
      <c r="S1572" s="239"/>
    </row>
    <row r="1573" spans="5:19" s="293" customFormat="1" x14ac:dyDescent="0.25">
      <c r="F1573" s="196" t="s">
        <v>940</v>
      </c>
      <c r="G1573" s="196" t="s">
        <v>169</v>
      </c>
      <c r="H1573" s="196" t="s">
        <v>480</v>
      </c>
      <c r="I1573" s="66"/>
      <c r="J1573" s="239"/>
      <c r="K1573" s="234"/>
      <c r="L1573" s="239"/>
      <c r="M1573" s="239"/>
      <c r="N1573" s="239"/>
      <c r="O1573" s="239"/>
      <c r="P1573" s="239"/>
      <c r="Q1573" s="239"/>
      <c r="R1573" s="239"/>
      <c r="S1573" s="239"/>
    </row>
    <row r="1574" spans="5:19" s="293" customFormat="1" x14ac:dyDescent="0.25">
      <c r="F1574" s="93" t="s">
        <v>941</v>
      </c>
      <c r="G1574" s="93" t="s">
        <v>169</v>
      </c>
      <c r="H1574" s="93" t="s">
        <v>480</v>
      </c>
      <c r="I1574" s="145"/>
      <c r="J1574" s="240"/>
      <c r="K1574" s="236"/>
      <c r="L1574" s="240"/>
      <c r="M1574" s="240"/>
      <c r="N1574" s="240"/>
      <c r="O1574" s="240"/>
      <c r="P1574" s="240"/>
      <c r="Q1574" s="240"/>
      <c r="R1574" s="240"/>
      <c r="S1574" s="240"/>
    </row>
    <row r="1575" spans="5:19" s="293" customFormat="1" x14ac:dyDescent="0.25">
      <c r="I1575" s="111"/>
      <c r="J1575" s="237"/>
      <c r="K1575" s="237"/>
      <c r="L1575" s="237"/>
      <c r="M1575" s="237"/>
      <c r="N1575" s="237"/>
      <c r="O1575" s="237"/>
      <c r="P1575" s="237"/>
      <c r="Q1575" s="237"/>
      <c r="R1575" s="237"/>
      <c r="S1575" s="237"/>
    </row>
    <row r="1576" spans="5:19" s="293" customFormat="1" x14ac:dyDescent="0.25">
      <c r="E1576" s="144" t="s">
        <v>204</v>
      </c>
      <c r="I1576" s="111"/>
      <c r="J1576" s="237"/>
      <c r="K1576" s="237"/>
      <c r="L1576" s="237"/>
      <c r="M1576" s="237"/>
      <c r="N1576" s="237"/>
      <c r="O1576" s="237"/>
      <c r="P1576" s="237"/>
      <c r="Q1576" s="237"/>
      <c r="R1576" s="237"/>
      <c r="S1576" s="237"/>
    </row>
    <row r="1577" spans="5:19" s="293" customFormat="1" x14ac:dyDescent="0.25">
      <c r="F1577" s="91" t="s">
        <v>926</v>
      </c>
      <c r="G1577" s="91" t="s">
        <v>170</v>
      </c>
      <c r="H1577" s="91" t="s">
        <v>480</v>
      </c>
      <c r="I1577" s="112"/>
      <c r="J1577" s="238"/>
      <c r="K1577" s="232"/>
      <c r="L1577" s="238"/>
      <c r="M1577" s="238"/>
      <c r="N1577" s="238"/>
      <c r="O1577" s="238"/>
      <c r="P1577" s="238"/>
      <c r="Q1577" s="238"/>
      <c r="R1577" s="238"/>
      <c r="S1577" s="238"/>
    </row>
    <row r="1578" spans="5:19" s="293" customFormat="1" x14ac:dyDescent="0.25">
      <c r="F1578" s="196" t="s">
        <v>927</v>
      </c>
      <c r="G1578" s="196" t="s">
        <v>170</v>
      </c>
      <c r="H1578" s="196" t="s">
        <v>480</v>
      </c>
      <c r="I1578" s="66"/>
      <c r="J1578" s="239"/>
      <c r="K1578" s="234"/>
      <c r="L1578" s="239"/>
      <c r="M1578" s="239"/>
      <c r="N1578" s="239"/>
      <c r="O1578" s="239"/>
      <c r="P1578" s="239"/>
      <c r="Q1578" s="239"/>
      <c r="R1578" s="239"/>
      <c r="S1578" s="239"/>
    </row>
    <row r="1579" spans="5:19" s="293" customFormat="1" x14ac:dyDescent="0.25">
      <c r="F1579" s="196" t="s">
        <v>928</v>
      </c>
      <c r="G1579" s="196" t="s">
        <v>170</v>
      </c>
      <c r="H1579" s="196" t="s">
        <v>480</v>
      </c>
      <c r="I1579" s="66"/>
      <c r="J1579" s="239"/>
      <c r="K1579" s="234"/>
      <c r="L1579" s="239"/>
      <c r="M1579" s="239"/>
      <c r="N1579" s="239"/>
      <c r="O1579" s="239"/>
      <c r="P1579" s="239"/>
      <c r="Q1579" s="239"/>
      <c r="R1579" s="239"/>
      <c r="S1579" s="239"/>
    </row>
    <row r="1580" spans="5:19" s="293" customFormat="1" x14ac:dyDescent="0.25">
      <c r="F1580" s="196" t="s">
        <v>929</v>
      </c>
      <c r="G1580" s="196" t="s">
        <v>170</v>
      </c>
      <c r="H1580" s="196" t="s">
        <v>480</v>
      </c>
      <c r="I1580" s="66"/>
      <c r="J1580" s="239"/>
      <c r="K1580" s="234"/>
      <c r="L1580" s="239"/>
      <c r="M1580" s="239"/>
      <c r="N1580" s="239"/>
      <c r="O1580" s="239"/>
      <c r="P1580" s="239"/>
      <c r="Q1580" s="239"/>
      <c r="R1580" s="239"/>
      <c r="S1580" s="239"/>
    </row>
    <row r="1581" spans="5:19" s="293" customFormat="1" x14ac:dyDescent="0.25">
      <c r="F1581" s="196" t="s">
        <v>930</v>
      </c>
      <c r="G1581" s="196" t="s">
        <v>170</v>
      </c>
      <c r="H1581" s="196" t="s">
        <v>480</v>
      </c>
      <c r="I1581" s="66"/>
      <c r="J1581" s="233">
        <f t="shared" ref="J1581:J1583" si="159">CHOOSE(year_selection, L1581,M1581,N1581,O1581,P1581,Q1581,R1581,S1581)</f>
        <v>2418.8814350861844</v>
      </c>
      <c r="K1581" s="234"/>
      <c r="L1581" s="330"/>
      <c r="M1581" s="330"/>
      <c r="N1581" s="330"/>
      <c r="O1581" s="330">
        <v>2418.8814350861844</v>
      </c>
      <c r="P1581" s="330">
        <v>2429.5329928376686</v>
      </c>
      <c r="Q1581" s="330">
        <v>2429.5329928376686</v>
      </c>
      <c r="R1581" s="330">
        <v>2440.1845505891524</v>
      </c>
      <c r="S1581" s="330">
        <v>2450.8361083406367</v>
      </c>
    </row>
    <row r="1582" spans="5:19" s="293" customFormat="1" x14ac:dyDescent="0.25">
      <c r="F1582" s="196" t="s">
        <v>931</v>
      </c>
      <c r="G1582" s="196" t="s">
        <v>170</v>
      </c>
      <c r="H1582" s="196" t="s">
        <v>480</v>
      </c>
      <c r="I1582" s="66"/>
      <c r="J1582" s="233">
        <f t="shared" si="159"/>
        <v>8.9737326867486686</v>
      </c>
      <c r="K1582" s="234"/>
      <c r="L1582" s="330"/>
      <c r="M1582" s="330"/>
      <c r="N1582" s="330"/>
      <c r="O1582" s="330">
        <v>8.9737326867486686</v>
      </c>
      <c r="P1582" s="330">
        <v>11.33309573824133</v>
      </c>
      <c r="Q1582" s="330">
        <v>11.33309573824133</v>
      </c>
      <c r="R1582" s="330">
        <v>13.69245878973399</v>
      </c>
      <c r="S1582" s="330">
        <v>16.051821841226651</v>
      </c>
    </row>
    <row r="1583" spans="5:19" s="293" customFormat="1" x14ac:dyDescent="0.25">
      <c r="F1583" s="196" t="s">
        <v>932</v>
      </c>
      <c r="G1583" s="196" t="s">
        <v>170</v>
      </c>
      <c r="H1583" s="196" t="s">
        <v>480</v>
      </c>
      <c r="I1583" s="66"/>
      <c r="J1583" s="233">
        <f t="shared" si="159"/>
        <v>104.21122588778802</v>
      </c>
      <c r="K1583" s="234"/>
      <c r="L1583" s="330"/>
      <c r="M1583" s="330"/>
      <c r="N1583" s="330"/>
      <c r="O1583" s="330">
        <v>104.21122588778802</v>
      </c>
      <c r="P1583" s="330">
        <v>92.702424456127176</v>
      </c>
      <c r="Q1583" s="330">
        <v>92.702424456127176</v>
      </c>
      <c r="R1583" s="330">
        <v>81.193623024466319</v>
      </c>
      <c r="S1583" s="330">
        <v>69.684821592805491</v>
      </c>
    </row>
    <row r="1584" spans="5:19" s="293" customFormat="1" x14ac:dyDescent="0.25">
      <c r="F1584" s="196" t="s">
        <v>933</v>
      </c>
      <c r="G1584" s="196" t="s">
        <v>170</v>
      </c>
      <c r="H1584" s="196" t="s">
        <v>480</v>
      </c>
      <c r="I1584" s="66"/>
      <c r="J1584" s="239"/>
      <c r="K1584" s="234"/>
      <c r="L1584" s="239"/>
      <c r="M1584" s="239"/>
      <c r="N1584" s="239"/>
      <c r="O1584" s="239"/>
      <c r="P1584" s="239"/>
      <c r="Q1584" s="239"/>
      <c r="R1584" s="239"/>
      <c r="S1584" s="239"/>
    </row>
    <row r="1585" spans="3:21" s="293" customFormat="1" x14ac:dyDescent="0.25">
      <c r="F1585" s="196" t="s">
        <v>934</v>
      </c>
      <c r="G1585" s="196" t="s">
        <v>170</v>
      </c>
      <c r="H1585" s="196" t="s">
        <v>480</v>
      </c>
      <c r="I1585" s="66"/>
      <c r="J1585" s="239"/>
      <c r="K1585" s="234"/>
      <c r="L1585" s="239"/>
      <c r="M1585" s="239"/>
      <c r="N1585" s="239"/>
      <c r="O1585" s="239"/>
      <c r="P1585" s="239"/>
      <c r="Q1585" s="239"/>
      <c r="R1585" s="239"/>
      <c r="S1585" s="239"/>
    </row>
    <row r="1586" spans="3:21" s="293" customFormat="1" x14ac:dyDescent="0.25">
      <c r="F1586" s="196" t="s">
        <v>935</v>
      </c>
      <c r="G1586" s="196" t="s">
        <v>170</v>
      </c>
      <c r="H1586" s="196" t="s">
        <v>480</v>
      </c>
      <c r="I1586" s="66"/>
      <c r="J1586" s="239"/>
      <c r="K1586" s="234"/>
      <c r="L1586" s="239"/>
      <c r="M1586" s="239"/>
      <c r="N1586" s="239"/>
      <c r="O1586" s="239"/>
      <c r="P1586" s="239"/>
      <c r="Q1586" s="239"/>
      <c r="R1586" s="239"/>
      <c r="S1586" s="239"/>
    </row>
    <row r="1587" spans="3:21" s="293" customFormat="1" x14ac:dyDescent="0.25">
      <c r="F1587" s="196" t="s">
        <v>936</v>
      </c>
      <c r="G1587" s="196" t="s">
        <v>170</v>
      </c>
      <c r="H1587" s="196" t="s">
        <v>480</v>
      </c>
      <c r="I1587" s="66"/>
      <c r="J1587" s="239"/>
      <c r="K1587" s="234"/>
      <c r="L1587" s="239"/>
      <c r="M1587" s="239"/>
      <c r="N1587" s="239"/>
      <c r="O1587" s="239"/>
      <c r="P1587" s="239"/>
      <c r="Q1587" s="239"/>
      <c r="R1587" s="239"/>
      <c r="S1587" s="239"/>
    </row>
    <row r="1588" spans="3:21" s="293" customFormat="1" x14ac:dyDescent="0.25">
      <c r="F1588" s="196" t="s">
        <v>937</v>
      </c>
      <c r="G1588" s="196" t="s">
        <v>170</v>
      </c>
      <c r="H1588" s="196" t="s">
        <v>480</v>
      </c>
      <c r="I1588" s="66"/>
      <c r="J1588" s="239"/>
      <c r="K1588" s="234"/>
      <c r="L1588" s="239"/>
      <c r="M1588" s="239"/>
      <c r="N1588" s="239"/>
      <c r="O1588" s="239"/>
      <c r="P1588" s="239"/>
      <c r="Q1588" s="239"/>
      <c r="R1588" s="239"/>
      <c r="S1588" s="239"/>
    </row>
    <row r="1589" spans="3:21" s="293" customFormat="1" x14ac:dyDescent="0.25">
      <c r="F1589" s="196" t="s">
        <v>938</v>
      </c>
      <c r="G1589" s="196" t="s">
        <v>170</v>
      </c>
      <c r="H1589" s="196" t="s">
        <v>480</v>
      </c>
      <c r="I1589" s="66"/>
      <c r="J1589" s="239"/>
      <c r="K1589" s="234"/>
      <c r="L1589" s="239"/>
      <c r="M1589" s="239"/>
      <c r="N1589" s="239"/>
      <c r="O1589" s="239"/>
      <c r="P1589" s="239"/>
      <c r="Q1589" s="239"/>
      <c r="R1589" s="239"/>
      <c r="S1589" s="239"/>
    </row>
    <row r="1590" spans="3:21" s="293" customFormat="1" x14ac:dyDescent="0.25">
      <c r="F1590" s="196" t="s">
        <v>939</v>
      </c>
      <c r="G1590" s="196" t="s">
        <v>170</v>
      </c>
      <c r="H1590" s="196" t="s">
        <v>480</v>
      </c>
      <c r="I1590" s="66"/>
      <c r="J1590" s="239"/>
      <c r="K1590" s="234"/>
      <c r="L1590" s="239"/>
      <c r="M1590" s="239"/>
      <c r="N1590" s="239"/>
      <c r="O1590" s="239"/>
      <c r="P1590" s="239"/>
      <c r="Q1590" s="239"/>
      <c r="R1590" s="239"/>
      <c r="S1590" s="239"/>
    </row>
    <row r="1591" spans="3:21" s="293" customFormat="1" x14ac:dyDescent="0.25">
      <c r="F1591" s="196" t="s">
        <v>940</v>
      </c>
      <c r="G1591" s="196" t="s">
        <v>170</v>
      </c>
      <c r="H1591" s="196" t="s">
        <v>480</v>
      </c>
      <c r="I1591" s="66"/>
      <c r="J1591" s="239"/>
      <c r="K1591" s="234"/>
      <c r="L1591" s="239"/>
      <c r="M1591" s="239"/>
      <c r="N1591" s="239"/>
      <c r="O1591" s="239"/>
      <c r="P1591" s="239"/>
      <c r="Q1591" s="239"/>
      <c r="R1591" s="239"/>
      <c r="S1591" s="239"/>
    </row>
    <row r="1592" spans="3:21" s="293" customFormat="1" x14ac:dyDescent="0.25">
      <c r="F1592" s="93" t="s">
        <v>941</v>
      </c>
      <c r="G1592" s="93" t="s">
        <v>170</v>
      </c>
      <c r="H1592" s="93" t="s">
        <v>480</v>
      </c>
      <c r="I1592" s="145"/>
      <c r="J1592" s="240"/>
      <c r="K1592" s="236"/>
      <c r="L1592" s="240"/>
      <c r="M1592" s="240"/>
      <c r="N1592" s="240"/>
      <c r="O1592" s="240"/>
      <c r="P1592" s="240"/>
      <c r="Q1592" s="240"/>
      <c r="R1592" s="240"/>
      <c r="S1592" s="240"/>
    </row>
    <row r="1593" spans="3:21" s="293" customFormat="1" x14ac:dyDescent="0.25">
      <c r="I1593" s="111"/>
      <c r="J1593" s="111"/>
      <c r="K1593" s="111"/>
      <c r="L1593" s="111"/>
      <c r="M1593" s="111"/>
      <c r="N1593" s="111"/>
      <c r="O1593" s="111"/>
      <c r="P1593" s="111"/>
      <c r="Q1593" s="111"/>
      <c r="R1593" s="111"/>
      <c r="S1593" s="111"/>
    </row>
    <row r="1594" spans="3:21" s="293" customFormat="1" x14ac:dyDescent="0.25">
      <c r="C1594" s="7" t="str">
        <f ca="1">INDEX('Version control'!$H$35:$H$61,MATCH($A$1,'Version control'!$F$35:$F$61,0),1)&amp;"-O: LDNO HV volumes - Residual band 2"</f>
        <v>Input 501-O: LDNO HV volumes - Residual band 2</v>
      </c>
      <c r="D1594" s="7"/>
      <c r="E1594" s="7"/>
      <c r="F1594" s="7"/>
      <c r="G1594" s="7"/>
      <c r="H1594" s="7"/>
      <c r="I1594" s="171"/>
      <c r="J1594" s="242"/>
      <c r="K1594" s="242"/>
      <c r="L1594" s="242"/>
      <c r="M1594" s="242"/>
      <c r="N1594" s="242"/>
      <c r="O1594" s="242"/>
      <c r="P1594" s="242"/>
      <c r="Q1594" s="242"/>
      <c r="R1594" s="242"/>
      <c r="S1594" s="242"/>
      <c r="T1594" s="7"/>
      <c r="U1594" s="7"/>
    </row>
    <row r="1595" spans="3:21" s="293" customFormat="1" x14ac:dyDescent="0.25">
      <c r="D1595" s="96"/>
      <c r="I1595" s="111"/>
    </row>
    <row r="1596" spans="3:21" s="293" customFormat="1" x14ac:dyDescent="0.25">
      <c r="E1596" s="144" t="s">
        <v>199</v>
      </c>
      <c r="I1596" s="111" t="s">
        <v>359</v>
      </c>
      <c r="J1596" s="237"/>
      <c r="K1596" s="237"/>
      <c r="L1596" s="237"/>
      <c r="M1596" s="237"/>
      <c r="N1596" s="237"/>
      <c r="O1596" s="237"/>
      <c r="P1596" s="237"/>
      <c r="Q1596" s="237"/>
      <c r="R1596" s="237"/>
      <c r="S1596" s="237"/>
      <c r="U1596" s="293" t="s">
        <v>692</v>
      </c>
    </row>
    <row r="1597" spans="3:21" s="293" customFormat="1" x14ac:dyDescent="0.25">
      <c r="F1597" s="91" t="s">
        <v>926</v>
      </c>
      <c r="G1597" s="91" t="s">
        <v>120</v>
      </c>
      <c r="H1597" s="91" t="s">
        <v>480</v>
      </c>
      <c r="I1597" s="112"/>
      <c r="J1597" s="238"/>
      <c r="K1597" s="232"/>
      <c r="L1597" s="238"/>
      <c r="M1597" s="238"/>
      <c r="N1597" s="238"/>
      <c r="O1597" s="238"/>
      <c r="P1597" s="238"/>
      <c r="Q1597" s="238"/>
      <c r="R1597" s="238"/>
      <c r="S1597" s="238"/>
    </row>
    <row r="1598" spans="3:21" s="293" customFormat="1" x14ac:dyDescent="0.25">
      <c r="F1598" s="196" t="s">
        <v>927</v>
      </c>
      <c r="G1598" s="196" t="s">
        <v>120</v>
      </c>
      <c r="H1598" s="196" t="s">
        <v>480</v>
      </c>
      <c r="I1598" s="66"/>
      <c r="J1598" s="239"/>
      <c r="K1598" s="234"/>
      <c r="L1598" s="239"/>
      <c r="M1598" s="239"/>
      <c r="N1598" s="239"/>
      <c r="O1598" s="239"/>
      <c r="P1598" s="239"/>
      <c r="Q1598" s="239"/>
      <c r="R1598" s="239"/>
      <c r="S1598" s="239"/>
    </row>
    <row r="1599" spans="3:21" s="293" customFormat="1" x14ac:dyDescent="0.25">
      <c r="F1599" s="196" t="s">
        <v>928</v>
      </c>
      <c r="G1599" s="196" t="s">
        <v>120</v>
      </c>
      <c r="H1599" s="196" t="s">
        <v>480</v>
      </c>
      <c r="I1599" s="66"/>
      <c r="J1599" s="233">
        <f t="shared" ref="J1599" si="160">CHOOSE(year_selection, L1599,M1599,N1599,O1599,P1599,Q1599,R1599,S1599)</f>
        <v>261.59466956810127</v>
      </c>
      <c r="K1599" s="234"/>
      <c r="L1599" s="330"/>
      <c r="M1599" s="330"/>
      <c r="N1599" s="330"/>
      <c r="O1599" s="330">
        <v>261.59466956810127</v>
      </c>
      <c r="P1599" s="330">
        <v>291.67723418664451</v>
      </c>
      <c r="Q1599" s="330">
        <v>321.75979880518759</v>
      </c>
      <c r="R1599" s="330">
        <v>351.84236342373077</v>
      </c>
      <c r="S1599" s="330">
        <v>381.92492804227379</v>
      </c>
    </row>
    <row r="1600" spans="3:21" s="293" customFormat="1" x14ac:dyDescent="0.25">
      <c r="F1600" s="196" t="s">
        <v>929</v>
      </c>
      <c r="G1600" s="196" t="s">
        <v>120</v>
      </c>
      <c r="H1600" s="196" t="s">
        <v>480</v>
      </c>
      <c r="I1600" s="66"/>
      <c r="J1600" s="239"/>
      <c r="K1600" s="234"/>
      <c r="L1600" s="239"/>
      <c r="M1600" s="239"/>
      <c r="N1600" s="239"/>
      <c r="O1600" s="239"/>
      <c r="P1600" s="239"/>
      <c r="Q1600" s="239"/>
      <c r="R1600" s="239"/>
      <c r="S1600" s="239"/>
    </row>
    <row r="1601" spans="5:19" s="293" customFormat="1" x14ac:dyDescent="0.25">
      <c r="F1601" s="196" t="s">
        <v>930</v>
      </c>
      <c r="G1601" s="196" t="s">
        <v>120</v>
      </c>
      <c r="H1601" s="196" t="s">
        <v>480</v>
      </c>
      <c r="I1601" s="66"/>
      <c r="J1601" s="233">
        <f t="shared" ref="J1601:J1603" si="161">CHOOSE(year_selection, L1601,M1601,N1601,O1601,P1601,Q1601,R1601,S1601)</f>
        <v>2436.3584506201018</v>
      </c>
      <c r="K1601" s="234"/>
      <c r="L1601" s="330"/>
      <c r="M1601" s="330"/>
      <c r="N1601" s="330"/>
      <c r="O1601" s="330">
        <v>2436.3584506201018</v>
      </c>
      <c r="P1601" s="330">
        <v>2299.9428498215834</v>
      </c>
      <c r="Q1601" s="330">
        <v>2288.6940020199568</v>
      </c>
      <c r="R1601" s="330">
        <v>2266.6165552441289</v>
      </c>
      <c r="S1601" s="330">
        <v>2244.539108468301</v>
      </c>
    </row>
    <row r="1602" spans="5:19" s="293" customFormat="1" x14ac:dyDescent="0.25">
      <c r="F1602" s="196" t="s">
        <v>931</v>
      </c>
      <c r="G1602" s="196" t="s">
        <v>120</v>
      </c>
      <c r="H1602" s="196" t="s">
        <v>480</v>
      </c>
      <c r="I1602" s="66"/>
      <c r="J1602" s="233">
        <f t="shared" si="161"/>
        <v>129.46571530946113</v>
      </c>
      <c r="K1602" s="234"/>
      <c r="L1602" s="330"/>
      <c r="M1602" s="330"/>
      <c r="N1602" s="330"/>
      <c r="O1602" s="330">
        <v>129.46571530946113</v>
      </c>
      <c r="P1602" s="330">
        <v>154.05165629879423</v>
      </c>
      <c r="Q1602" s="330">
        <v>186.13292151396686</v>
      </c>
      <c r="R1602" s="330">
        <v>218.21418672913967</v>
      </c>
      <c r="S1602" s="330">
        <v>250.29545194431239</v>
      </c>
    </row>
    <row r="1603" spans="5:19" s="293" customFormat="1" x14ac:dyDescent="0.25">
      <c r="F1603" s="196" t="s">
        <v>932</v>
      </c>
      <c r="G1603" s="196" t="s">
        <v>120</v>
      </c>
      <c r="H1603" s="196" t="s">
        <v>480</v>
      </c>
      <c r="I1603" s="66"/>
      <c r="J1603" s="233">
        <f t="shared" si="161"/>
        <v>747.76435380860607</v>
      </c>
      <c r="K1603" s="234"/>
      <c r="L1603" s="330"/>
      <c r="M1603" s="330"/>
      <c r="N1603" s="330"/>
      <c r="O1603" s="330">
        <v>747.76435380860607</v>
      </c>
      <c r="P1603" s="330">
        <v>747.76435380860607</v>
      </c>
      <c r="Q1603" s="330">
        <v>747.76435380860607</v>
      </c>
      <c r="R1603" s="330">
        <v>747.76435380860607</v>
      </c>
      <c r="S1603" s="330">
        <v>747.76435380860607</v>
      </c>
    </row>
    <row r="1604" spans="5:19" s="293" customFormat="1" x14ac:dyDescent="0.25">
      <c r="F1604" s="196" t="s">
        <v>933</v>
      </c>
      <c r="G1604" s="196" t="s">
        <v>120</v>
      </c>
      <c r="H1604" s="196" t="s">
        <v>480</v>
      </c>
      <c r="I1604" s="66"/>
      <c r="J1604" s="239"/>
      <c r="K1604" s="234"/>
      <c r="L1604" s="239"/>
      <c r="M1604" s="239"/>
      <c r="N1604" s="239"/>
      <c r="O1604" s="239"/>
      <c r="P1604" s="239"/>
      <c r="Q1604" s="239"/>
      <c r="R1604" s="239"/>
      <c r="S1604" s="239"/>
    </row>
    <row r="1605" spans="5:19" s="293" customFormat="1" x14ac:dyDescent="0.25">
      <c r="F1605" s="196" t="s">
        <v>934</v>
      </c>
      <c r="G1605" s="196" t="s">
        <v>120</v>
      </c>
      <c r="H1605" s="196" t="s">
        <v>480</v>
      </c>
      <c r="I1605" s="66"/>
      <c r="J1605" s="239"/>
      <c r="K1605" s="234"/>
      <c r="L1605" s="239"/>
      <c r="M1605" s="239"/>
      <c r="N1605" s="239"/>
      <c r="O1605" s="239"/>
      <c r="P1605" s="239"/>
      <c r="Q1605" s="239"/>
      <c r="R1605" s="239"/>
      <c r="S1605" s="239"/>
    </row>
    <row r="1606" spans="5:19" s="293" customFormat="1" x14ac:dyDescent="0.25">
      <c r="F1606" s="196" t="s">
        <v>935</v>
      </c>
      <c r="G1606" s="196" t="s">
        <v>120</v>
      </c>
      <c r="H1606" s="196" t="s">
        <v>480</v>
      </c>
      <c r="I1606" s="66"/>
      <c r="J1606" s="239"/>
      <c r="K1606" s="234"/>
      <c r="L1606" s="239"/>
      <c r="M1606" s="239"/>
      <c r="N1606" s="239"/>
      <c r="O1606" s="239"/>
      <c r="P1606" s="239"/>
      <c r="Q1606" s="239"/>
      <c r="R1606" s="239"/>
      <c r="S1606" s="239"/>
    </row>
    <row r="1607" spans="5:19" s="293" customFormat="1" x14ac:dyDescent="0.25">
      <c r="F1607" s="196" t="s">
        <v>936</v>
      </c>
      <c r="G1607" s="196" t="s">
        <v>120</v>
      </c>
      <c r="H1607" s="196" t="s">
        <v>480</v>
      </c>
      <c r="I1607" s="66"/>
      <c r="J1607" s="239"/>
      <c r="K1607" s="234"/>
      <c r="L1607" s="239"/>
      <c r="M1607" s="239"/>
      <c r="N1607" s="239"/>
      <c r="O1607" s="239"/>
      <c r="P1607" s="239"/>
      <c r="Q1607" s="239"/>
      <c r="R1607" s="239"/>
      <c r="S1607" s="239"/>
    </row>
    <row r="1608" spans="5:19" s="293" customFormat="1" x14ac:dyDescent="0.25">
      <c r="F1608" s="196" t="s">
        <v>937</v>
      </c>
      <c r="G1608" s="196" t="s">
        <v>120</v>
      </c>
      <c r="H1608" s="196" t="s">
        <v>480</v>
      </c>
      <c r="I1608" s="66"/>
      <c r="J1608" s="239"/>
      <c r="K1608" s="234"/>
      <c r="L1608" s="239"/>
      <c r="M1608" s="239"/>
      <c r="N1608" s="239"/>
      <c r="O1608" s="239"/>
      <c r="P1608" s="239"/>
      <c r="Q1608" s="239"/>
      <c r="R1608" s="239"/>
      <c r="S1608" s="239"/>
    </row>
    <row r="1609" spans="5:19" s="293" customFormat="1" x14ac:dyDescent="0.25">
      <c r="F1609" s="196" t="s">
        <v>938</v>
      </c>
      <c r="G1609" s="196" t="s">
        <v>120</v>
      </c>
      <c r="H1609" s="196" t="s">
        <v>480</v>
      </c>
      <c r="I1609" s="66"/>
      <c r="J1609" s="239"/>
      <c r="K1609" s="234"/>
      <c r="L1609" s="239"/>
      <c r="M1609" s="239"/>
      <c r="N1609" s="239"/>
      <c r="O1609" s="239"/>
      <c r="P1609" s="239"/>
      <c r="Q1609" s="239"/>
      <c r="R1609" s="239"/>
      <c r="S1609" s="239"/>
    </row>
    <row r="1610" spans="5:19" s="293" customFormat="1" x14ac:dyDescent="0.25">
      <c r="F1610" s="196" t="s">
        <v>939</v>
      </c>
      <c r="G1610" s="196" t="s">
        <v>120</v>
      </c>
      <c r="H1610" s="196" t="s">
        <v>480</v>
      </c>
      <c r="I1610" s="66"/>
      <c r="J1610" s="239"/>
      <c r="K1610" s="234"/>
      <c r="L1610" s="239"/>
      <c r="M1610" s="239"/>
      <c r="N1610" s="239"/>
      <c r="O1610" s="239"/>
      <c r="P1610" s="239"/>
      <c r="Q1610" s="239"/>
      <c r="R1610" s="239"/>
      <c r="S1610" s="239"/>
    </row>
    <row r="1611" spans="5:19" s="293" customFormat="1" x14ac:dyDescent="0.25">
      <c r="F1611" s="196" t="s">
        <v>940</v>
      </c>
      <c r="G1611" s="196" t="s">
        <v>120</v>
      </c>
      <c r="H1611" s="196" t="s">
        <v>480</v>
      </c>
      <c r="I1611" s="66"/>
      <c r="J1611" s="239"/>
      <c r="K1611" s="234"/>
      <c r="L1611" s="239"/>
      <c r="M1611" s="239"/>
      <c r="N1611" s="239"/>
      <c r="O1611" s="239"/>
      <c r="P1611" s="239"/>
      <c r="Q1611" s="239"/>
      <c r="R1611" s="239"/>
      <c r="S1611" s="239"/>
    </row>
    <row r="1612" spans="5:19" s="293" customFormat="1" x14ac:dyDescent="0.25">
      <c r="F1612" s="93" t="s">
        <v>941</v>
      </c>
      <c r="G1612" s="93" t="s">
        <v>120</v>
      </c>
      <c r="H1612" s="93" t="s">
        <v>480</v>
      </c>
      <c r="I1612" s="145"/>
      <c r="J1612" s="240"/>
      <c r="K1612" s="236"/>
      <c r="L1612" s="240"/>
      <c r="M1612" s="240"/>
      <c r="N1612" s="240"/>
      <c r="O1612" s="240"/>
      <c r="P1612" s="240"/>
      <c r="Q1612" s="240"/>
      <c r="R1612" s="240"/>
      <c r="S1612" s="240"/>
    </row>
    <row r="1613" spans="5:19" s="293" customFormat="1" x14ac:dyDescent="0.25">
      <c r="I1613" s="111"/>
      <c r="J1613" s="237"/>
      <c r="K1613" s="237"/>
      <c r="L1613" s="237"/>
      <c r="M1613" s="237"/>
      <c r="N1613" s="237"/>
      <c r="O1613" s="237"/>
      <c r="P1613" s="237"/>
      <c r="Q1613" s="237"/>
      <c r="R1613" s="237"/>
      <c r="S1613" s="237"/>
    </row>
    <row r="1614" spans="5:19" s="293" customFormat="1" x14ac:dyDescent="0.25">
      <c r="E1614" s="144" t="s">
        <v>200</v>
      </c>
      <c r="I1614" s="111"/>
      <c r="J1614" s="237"/>
      <c r="K1614" s="237"/>
      <c r="L1614" s="237"/>
      <c r="M1614" s="237"/>
      <c r="N1614" s="237"/>
      <c r="O1614" s="237"/>
      <c r="P1614" s="237"/>
      <c r="Q1614" s="237"/>
      <c r="R1614" s="237"/>
      <c r="S1614" s="237"/>
    </row>
    <row r="1615" spans="5:19" s="293" customFormat="1" x14ac:dyDescent="0.25">
      <c r="F1615" s="91" t="s">
        <v>926</v>
      </c>
      <c r="G1615" s="91" t="s">
        <v>120</v>
      </c>
      <c r="H1615" s="91" t="s">
        <v>480</v>
      </c>
      <c r="I1615" s="112"/>
      <c r="J1615" s="238"/>
      <c r="K1615" s="232"/>
      <c r="L1615" s="238"/>
      <c r="M1615" s="238"/>
      <c r="N1615" s="238"/>
      <c r="O1615" s="238"/>
      <c r="P1615" s="238"/>
      <c r="Q1615" s="238"/>
      <c r="R1615" s="238"/>
      <c r="S1615" s="238"/>
    </row>
    <row r="1616" spans="5:19" s="293" customFormat="1" x14ac:dyDescent="0.25">
      <c r="F1616" s="196" t="s">
        <v>927</v>
      </c>
      <c r="G1616" s="196" t="s">
        <v>120</v>
      </c>
      <c r="H1616" s="196" t="s">
        <v>480</v>
      </c>
      <c r="I1616" s="66"/>
      <c r="J1616" s="239"/>
      <c r="K1616" s="234"/>
      <c r="L1616" s="239"/>
      <c r="M1616" s="239"/>
      <c r="N1616" s="239"/>
      <c r="O1616" s="239"/>
      <c r="P1616" s="239"/>
      <c r="Q1616" s="239"/>
      <c r="R1616" s="239"/>
      <c r="S1616" s="239"/>
    </row>
    <row r="1617" spans="5:19" s="293" customFormat="1" x14ac:dyDescent="0.25">
      <c r="F1617" s="196" t="s">
        <v>928</v>
      </c>
      <c r="G1617" s="196" t="s">
        <v>120</v>
      </c>
      <c r="H1617" s="196" t="s">
        <v>480</v>
      </c>
      <c r="I1617" s="66"/>
      <c r="J1617" s="233">
        <f t="shared" ref="J1617" si="162">CHOOSE(year_selection, L1617,M1617,N1617,O1617,P1617,Q1617,R1617,S1617)</f>
        <v>1804.397062512721</v>
      </c>
      <c r="K1617" s="234"/>
      <c r="L1617" s="330"/>
      <c r="M1617" s="330"/>
      <c r="N1617" s="330"/>
      <c r="O1617" s="330">
        <v>1804.397062512721</v>
      </c>
      <c r="P1617" s="330">
        <v>2022.7144061297381</v>
      </c>
      <c r="Q1617" s="330">
        <v>2238.4412045940244</v>
      </c>
      <c r="R1617" s="330">
        <v>2453.0739292301091</v>
      </c>
      <c r="S1617" s="330">
        <v>2667.7066538661938</v>
      </c>
    </row>
    <row r="1618" spans="5:19" s="293" customFormat="1" x14ac:dyDescent="0.25">
      <c r="F1618" s="196" t="s">
        <v>929</v>
      </c>
      <c r="G1618" s="196" t="s">
        <v>120</v>
      </c>
      <c r="H1618" s="196" t="s">
        <v>480</v>
      </c>
      <c r="I1618" s="66"/>
      <c r="J1618" s="239"/>
      <c r="K1618" s="234"/>
      <c r="L1618" s="239"/>
      <c r="M1618" s="239"/>
      <c r="N1618" s="239"/>
      <c r="O1618" s="239"/>
      <c r="P1618" s="239"/>
      <c r="Q1618" s="239"/>
      <c r="R1618" s="239"/>
      <c r="S1618" s="239"/>
    </row>
    <row r="1619" spans="5:19" s="293" customFormat="1" x14ac:dyDescent="0.25">
      <c r="F1619" s="196" t="s">
        <v>930</v>
      </c>
      <c r="G1619" s="196" t="s">
        <v>120</v>
      </c>
      <c r="H1619" s="196" t="s">
        <v>480</v>
      </c>
      <c r="I1619" s="66"/>
      <c r="J1619" s="233">
        <f t="shared" ref="J1619:J1621" si="163">CHOOSE(year_selection, L1619,M1619,N1619,O1619,P1619,Q1619,R1619,S1619)</f>
        <v>13099.587264153046</v>
      </c>
      <c r="K1619" s="234"/>
      <c r="L1619" s="330"/>
      <c r="M1619" s="330"/>
      <c r="N1619" s="330"/>
      <c r="O1619" s="330">
        <v>13099.587264153046</v>
      </c>
      <c r="P1619" s="330">
        <v>12287.345154961566</v>
      </c>
      <c r="Q1619" s="330">
        <v>12169.544371303627</v>
      </c>
      <c r="R1619" s="330">
        <v>12002.619674168518</v>
      </c>
      <c r="S1619" s="330">
        <v>11835.694977033407</v>
      </c>
    </row>
    <row r="1620" spans="5:19" s="293" customFormat="1" x14ac:dyDescent="0.25">
      <c r="F1620" s="196" t="s">
        <v>931</v>
      </c>
      <c r="G1620" s="196" t="s">
        <v>120</v>
      </c>
      <c r="H1620" s="196" t="s">
        <v>480</v>
      </c>
      <c r="I1620" s="66"/>
      <c r="J1620" s="233">
        <f t="shared" si="163"/>
        <v>735.10409997452359</v>
      </c>
      <c r="K1620" s="234"/>
      <c r="L1620" s="330"/>
      <c r="M1620" s="330"/>
      <c r="N1620" s="330"/>
      <c r="O1620" s="330">
        <v>735.10409997452359</v>
      </c>
      <c r="P1620" s="330">
        <v>874.62638200520234</v>
      </c>
      <c r="Q1620" s="330">
        <v>1056.7069857960701</v>
      </c>
      <c r="R1620" s="330">
        <v>1238.7875895869379</v>
      </c>
      <c r="S1620" s="330">
        <v>1420.8681933778055</v>
      </c>
    </row>
    <row r="1621" spans="5:19" s="293" customFormat="1" x14ac:dyDescent="0.25">
      <c r="F1621" s="196" t="s">
        <v>932</v>
      </c>
      <c r="G1621" s="196" t="s">
        <v>120</v>
      </c>
      <c r="H1621" s="196" t="s">
        <v>480</v>
      </c>
      <c r="I1621" s="66"/>
      <c r="J1621" s="233">
        <f t="shared" si="163"/>
        <v>3103.8735075600434</v>
      </c>
      <c r="K1621" s="234"/>
      <c r="L1621" s="330"/>
      <c r="M1621" s="330"/>
      <c r="N1621" s="330"/>
      <c r="O1621" s="330">
        <v>3103.8735075600434</v>
      </c>
      <c r="P1621" s="330">
        <v>2731.7634295570501</v>
      </c>
      <c r="Q1621" s="330">
        <v>2359.6533515540582</v>
      </c>
      <c r="R1621" s="330">
        <v>2359.6533515540582</v>
      </c>
      <c r="S1621" s="330">
        <v>2359.6533515540582</v>
      </c>
    </row>
    <row r="1622" spans="5:19" s="293" customFormat="1" x14ac:dyDescent="0.25">
      <c r="F1622" s="196" t="s">
        <v>933</v>
      </c>
      <c r="G1622" s="196" t="s">
        <v>120</v>
      </c>
      <c r="H1622" s="196" t="s">
        <v>480</v>
      </c>
      <c r="I1622" s="66"/>
      <c r="J1622" s="239"/>
      <c r="K1622" s="234"/>
      <c r="L1622" s="239"/>
      <c r="M1622" s="239"/>
      <c r="N1622" s="239"/>
      <c r="O1622" s="239"/>
      <c r="P1622" s="239"/>
      <c r="Q1622" s="239"/>
      <c r="R1622" s="239"/>
      <c r="S1622" s="239"/>
    </row>
    <row r="1623" spans="5:19" s="293" customFormat="1" x14ac:dyDescent="0.25">
      <c r="F1623" s="196" t="s">
        <v>934</v>
      </c>
      <c r="G1623" s="196" t="s">
        <v>120</v>
      </c>
      <c r="H1623" s="196" t="s">
        <v>480</v>
      </c>
      <c r="I1623" s="66"/>
      <c r="J1623" s="239"/>
      <c r="K1623" s="234"/>
      <c r="L1623" s="239"/>
      <c r="M1623" s="239"/>
      <c r="N1623" s="239"/>
      <c r="O1623" s="239"/>
      <c r="P1623" s="239"/>
      <c r="Q1623" s="239"/>
      <c r="R1623" s="239"/>
      <c r="S1623" s="239"/>
    </row>
    <row r="1624" spans="5:19" s="293" customFormat="1" x14ac:dyDescent="0.25">
      <c r="F1624" s="196" t="s">
        <v>935</v>
      </c>
      <c r="G1624" s="196" t="s">
        <v>120</v>
      </c>
      <c r="H1624" s="196" t="s">
        <v>480</v>
      </c>
      <c r="I1624" s="66"/>
      <c r="J1624" s="239"/>
      <c r="K1624" s="234"/>
      <c r="L1624" s="239"/>
      <c r="M1624" s="239"/>
      <c r="N1624" s="239"/>
      <c r="O1624" s="239"/>
      <c r="P1624" s="239"/>
      <c r="Q1624" s="239"/>
      <c r="R1624" s="239"/>
      <c r="S1624" s="239"/>
    </row>
    <row r="1625" spans="5:19" s="293" customFormat="1" x14ac:dyDescent="0.25">
      <c r="F1625" s="196" t="s">
        <v>936</v>
      </c>
      <c r="G1625" s="196" t="s">
        <v>120</v>
      </c>
      <c r="H1625" s="196" t="s">
        <v>480</v>
      </c>
      <c r="I1625" s="66"/>
      <c r="J1625" s="239"/>
      <c r="K1625" s="234"/>
      <c r="L1625" s="239"/>
      <c r="M1625" s="239"/>
      <c r="N1625" s="239"/>
      <c r="O1625" s="239"/>
      <c r="P1625" s="239"/>
      <c r="Q1625" s="239"/>
      <c r="R1625" s="239"/>
      <c r="S1625" s="239"/>
    </row>
    <row r="1626" spans="5:19" s="293" customFormat="1" x14ac:dyDescent="0.25">
      <c r="F1626" s="196" t="s">
        <v>937</v>
      </c>
      <c r="G1626" s="196" t="s">
        <v>120</v>
      </c>
      <c r="H1626" s="196" t="s">
        <v>480</v>
      </c>
      <c r="I1626" s="66"/>
      <c r="J1626" s="239"/>
      <c r="K1626" s="234"/>
      <c r="L1626" s="239"/>
      <c r="M1626" s="239"/>
      <c r="N1626" s="239"/>
      <c r="O1626" s="239"/>
      <c r="P1626" s="239"/>
      <c r="Q1626" s="239"/>
      <c r="R1626" s="239"/>
      <c r="S1626" s="239"/>
    </row>
    <row r="1627" spans="5:19" s="293" customFormat="1" x14ac:dyDescent="0.25">
      <c r="F1627" s="196" t="s">
        <v>938</v>
      </c>
      <c r="G1627" s="196" t="s">
        <v>120</v>
      </c>
      <c r="H1627" s="196" t="s">
        <v>480</v>
      </c>
      <c r="I1627" s="66"/>
      <c r="J1627" s="239"/>
      <c r="K1627" s="234"/>
      <c r="L1627" s="239"/>
      <c r="M1627" s="239"/>
      <c r="N1627" s="239"/>
      <c r="O1627" s="239"/>
      <c r="P1627" s="239"/>
      <c r="Q1627" s="239"/>
      <c r="R1627" s="239"/>
      <c r="S1627" s="239"/>
    </row>
    <row r="1628" spans="5:19" s="293" customFormat="1" x14ac:dyDescent="0.25">
      <c r="F1628" s="196" t="s">
        <v>939</v>
      </c>
      <c r="G1628" s="196" t="s">
        <v>120</v>
      </c>
      <c r="H1628" s="196" t="s">
        <v>480</v>
      </c>
      <c r="I1628" s="66"/>
      <c r="J1628" s="239"/>
      <c r="K1628" s="234"/>
      <c r="L1628" s="239"/>
      <c r="M1628" s="239"/>
      <c r="N1628" s="239"/>
      <c r="O1628" s="239"/>
      <c r="P1628" s="239"/>
      <c r="Q1628" s="239"/>
      <c r="R1628" s="239"/>
      <c r="S1628" s="239"/>
    </row>
    <row r="1629" spans="5:19" s="293" customFormat="1" x14ac:dyDescent="0.25">
      <c r="F1629" s="196" t="s">
        <v>940</v>
      </c>
      <c r="G1629" s="196" t="s">
        <v>120</v>
      </c>
      <c r="H1629" s="196" t="s">
        <v>480</v>
      </c>
      <c r="I1629" s="66"/>
      <c r="J1629" s="239"/>
      <c r="K1629" s="234"/>
      <c r="L1629" s="239"/>
      <c r="M1629" s="239"/>
      <c r="N1629" s="239"/>
      <c r="O1629" s="239"/>
      <c r="P1629" s="239"/>
      <c r="Q1629" s="239"/>
      <c r="R1629" s="239"/>
      <c r="S1629" s="239"/>
    </row>
    <row r="1630" spans="5:19" s="293" customFormat="1" x14ac:dyDescent="0.25">
      <c r="F1630" s="93" t="s">
        <v>941</v>
      </c>
      <c r="G1630" s="93" t="s">
        <v>120</v>
      </c>
      <c r="H1630" s="93" t="s">
        <v>480</v>
      </c>
      <c r="I1630" s="145"/>
      <c r="J1630" s="240"/>
      <c r="K1630" s="236"/>
      <c r="L1630" s="240"/>
      <c r="M1630" s="240"/>
      <c r="N1630" s="240"/>
      <c r="O1630" s="240"/>
      <c r="P1630" s="240"/>
      <c r="Q1630" s="240"/>
      <c r="R1630" s="240"/>
      <c r="S1630" s="240"/>
    </row>
    <row r="1631" spans="5:19" s="293" customFormat="1" x14ac:dyDescent="0.25">
      <c r="I1631" s="111"/>
      <c r="J1631" s="237"/>
      <c r="K1631" s="237"/>
      <c r="L1631" s="237"/>
      <c r="M1631" s="237"/>
      <c r="N1631" s="237"/>
      <c r="O1631" s="237"/>
      <c r="P1631" s="237"/>
      <c r="Q1631" s="237"/>
      <c r="R1631" s="237"/>
      <c r="S1631" s="237"/>
    </row>
    <row r="1632" spans="5:19" s="293" customFormat="1" x14ac:dyDescent="0.25">
      <c r="E1632" s="144" t="s">
        <v>201</v>
      </c>
      <c r="I1632" s="111"/>
      <c r="J1632" s="237"/>
      <c r="K1632" s="237"/>
      <c r="L1632" s="237"/>
      <c r="M1632" s="237"/>
      <c r="N1632" s="237"/>
      <c r="O1632" s="237"/>
      <c r="P1632" s="237"/>
      <c r="Q1632" s="237"/>
      <c r="R1632" s="237"/>
      <c r="S1632" s="237"/>
    </row>
    <row r="1633" spans="6:19" s="293" customFormat="1" x14ac:dyDescent="0.25">
      <c r="F1633" s="91" t="s">
        <v>926</v>
      </c>
      <c r="G1633" s="91" t="s">
        <v>120</v>
      </c>
      <c r="H1633" s="91" t="s">
        <v>480</v>
      </c>
      <c r="I1633" s="112"/>
      <c r="J1633" s="238"/>
      <c r="K1633" s="232"/>
      <c r="L1633" s="238"/>
      <c r="M1633" s="238"/>
      <c r="N1633" s="238"/>
      <c r="O1633" s="238"/>
      <c r="P1633" s="238"/>
      <c r="Q1633" s="238"/>
      <c r="R1633" s="238"/>
      <c r="S1633" s="238"/>
    </row>
    <row r="1634" spans="6:19" s="293" customFormat="1" x14ac:dyDescent="0.25">
      <c r="F1634" s="196" t="s">
        <v>927</v>
      </c>
      <c r="G1634" s="196" t="s">
        <v>120</v>
      </c>
      <c r="H1634" s="196" t="s">
        <v>480</v>
      </c>
      <c r="I1634" s="66"/>
      <c r="J1634" s="239"/>
      <c r="K1634" s="234"/>
      <c r="L1634" s="239"/>
      <c r="M1634" s="239"/>
      <c r="N1634" s="239"/>
      <c r="O1634" s="239"/>
      <c r="P1634" s="239"/>
      <c r="Q1634" s="239"/>
      <c r="R1634" s="239"/>
      <c r="S1634" s="239"/>
    </row>
    <row r="1635" spans="6:19" s="293" customFormat="1" x14ac:dyDescent="0.25">
      <c r="F1635" s="196" t="s">
        <v>928</v>
      </c>
      <c r="G1635" s="196" t="s">
        <v>120</v>
      </c>
      <c r="H1635" s="196" t="s">
        <v>480</v>
      </c>
      <c r="I1635" s="66"/>
      <c r="J1635" s="233">
        <f t="shared" ref="J1635" si="164">CHOOSE(year_selection, L1635,M1635,N1635,O1635,P1635,Q1635,R1635,S1635)</f>
        <v>705.22718235200853</v>
      </c>
      <c r="K1635" s="234"/>
      <c r="L1635" s="330"/>
      <c r="M1635" s="330"/>
      <c r="N1635" s="330"/>
      <c r="O1635" s="330">
        <v>705.22718235200853</v>
      </c>
      <c r="P1635" s="330">
        <v>786.4186506147737</v>
      </c>
      <c r="Q1635" s="330">
        <v>867.61011887753898</v>
      </c>
      <c r="R1635" s="330">
        <v>948.80158714030404</v>
      </c>
      <c r="S1635" s="330">
        <v>1029.9930554030691</v>
      </c>
    </row>
    <row r="1636" spans="6:19" s="293" customFormat="1" x14ac:dyDescent="0.25">
      <c r="F1636" s="196" t="s">
        <v>929</v>
      </c>
      <c r="G1636" s="196" t="s">
        <v>120</v>
      </c>
      <c r="H1636" s="196" t="s">
        <v>480</v>
      </c>
      <c r="I1636" s="66"/>
      <c r="J1636" s="239"/>
      <c r="K1636" s="234"/>
      <c r="L1636" s="239"/>
      <c r="M1636" s="239"/>
      <c r="N1636" s="239"/>
      <c r="O1636" s="239"/>
      <c r="P1636" s="239"/>
      <c r="Q1636" s="239"/>
      <c r="R1636" s="239"/>
      <c r="S1636" s="239"/>
    </row>
    <row r="1637" spans="6:19" s="293" customFormat="1" x14ac:dyDescent="0.25">
      <c r="F1637" s="196" t="s">
        <v>930</v>
      </c>
      <c r="G1637" s="196" t="s">
        <v>120</v>
      </c>
      <c r="H1637" s="196" t="s">
        <v>480</v>
      </c>
      <c r="I1637" s="66"/>
      <c r="J1637" s="233">
        <f t="shared" ref="J1637:J1639" si="165">CHOOSE(year_selection, L1637,M1637,N1637,O1637,P1637,Q1637,R1637,S1637)</f>
        <v>7219.1879982463633</v>
      </c>
      <c r="K1637" s="234"/>
      <c r="L1637" s="330"/>
      <c r="M1637" s="330"/>
      <c r="N1637" s="330"/>
      <c r="O1637" s="330">
        <v>7219.1879982463633</v>
      </c>
      <c r="P1637" s="330">
        <v>6944.8548651173478</v>
      </c>
      <c r="Q1637" s="330">
        <v>7052.6950540312573</v>
      </c>
      <c r="R1637" s="330">
        <v>7137.8928840187255</v>
      </c>
      <c r="S1637" s="330">
        <v>7223.0907140061945</v>
      </c>
    </row>
    <row r="1638" spans="6:19" s="293" customFormat="1" x14ac:dyDescent="0.25">
      <c r="F1638" s="196" t="s">
        <v>931</v>
      </c>
      <c r="G1638" s="196" t="s">
        <v>120</v>
      </c>
      <c r="H1638" s="196" t="s">
        <v>480</v>
      </c>
      <c r="I1638" s="66"/>
      <c r="J1638" s="233">
        <f t="shared" si="165"/>
        <v>410.96964818207346</v>
      </c>
      <c r="K1638" s="234"/>
      <c r="L1638" s="330"/>
      <c r="M1638" s="330"/>
      <c r="N1638" s="330"/>
      <c r="O1638" s="330">
        <v>410.96964818207346</v>
      </c>
      <c r="P1638" s="330">
        <v>488.96267908129482</v>
      </c>
      <c r="Q1638" s="330">
        <v>590.74850139823582</v>
      </c>
      <c r="R1638" s="330">
        <v>692.53432371517692</v>
      </c>
      <c r="S1638" s="330">
        <v>794.32014603211815</v>
      </c>
    </row>
    <row r="1639" spans="6:19" s="293" customFormat="1" x14ac:dyDescent="0.25">
      <c r="F1639" s="196" t="s">
        <v>932</v>
      </c>
      <c r="G1639" s="196" t="s">
        <v>120</v>
      </c>
      <c r="H1639" s="196" t="s">
        <v>480</v>
      </c>
      <c r="I1639" s="66"/>
      <c r="J1639" s="233">
        <f t="shared" si="165"/>
        <v>2213.327784574677</v>
      </c>
      <c r="K1639" s="234"/>
      <c r="L1639" s="330"/>
      <c r="M1639" s="330"/>
      <c r="N1639" s="330"/>
      <c r="O1639" s="330">
        <v>2213.327784574677</v>
      </c>
      <c r="P1639" s="330">
        <v>1915.6397221722821</v>
      </c>
      <c r="Q1639" s="330">
        <v>1617.951659769888</v>
      </c>
      <c r="R1639" s="330">
        <v>1617.951659769888</v>
      </c>
      <c r="S1639" s="330">
        <v>1617.951659769888</v>
      </c>
    </row>
    <row r="1640" spans="6:19" s="293" customFormat="1" x14ac:dyDescent="0.25">
      <c r="F1640" s="196" t="s">
        <v>933</v>
      </c>
      <c r="G1640" s="196" t="s">
        <v>120</v>
      </c>
      <c r="H1640" s="196" t="s">
        <v>480</v>
      </c>
      <c r="I1640" s="66"/>
      <c r="J1640" s="239"/>
      <c r="K1640" s="234"/>
      <c r="L1640" s="239"/>
      <c r="M1640" s="239"/>
      <c r="N1640" s="239"/>
      <c r="O1640" s="239"/>
      <c r="P1640" s="239"/>
      <c r="Q1640" s="239"/>
      <c r="R1640" s="239"/>
      <c r="S1640" s="239"/>
    </row>
    <row r="1641" spans="6:19" s="293" customFormat="1" x14ac:dyDescent="0.25">
      <c r="F1641" s="196" t="s">
        <v>934</v>
      </c>
      <c r="G1641" s="196" t="s">
        <v>120</v>
      </c>
      <c r="H1641" s="196" t="s">
        <v>480</v>
      </c>
      <c r="I1641" s="66"/>
      <c r="J1641" s="239"/>
      <c r="K1641" s="234"/>
      <c r="L1641" s="239"/>
      <c r="M1641" s="239"/>
      <c r="N1641" s="239"/>
      <c r="O1641" s="239"/>
      <c r="P1641" s="239"/>
      <c r="Q1641" s="239"/>
      <c r="R1641" s="239"/>
      <c r="S1641" s="239"/>
    </row>
    <row r="1642" spans="6:19" s="293" customFormat="1" x14ac:dyDescent="0.25">
      <c r="F1642" s="196" t="s">
        <v>935</v>
      </c>
      <c r="G1642" s="196" t="s">
        <v>120</v>
      </c>
      <c r="H1642" s="196" t="s">
        <v>480</v>
      </c>
      <c r="I1642" s="66"/>
      <c r="J1642" s="239"/>
      <c r="K1642" s="234"/>
      <c r="L1642" s="239"/>
      <c r="M1642" s="239"/>
      <c r="N1642" s="239"/>
      <c r="O1642" s="239"/>
      <c r="P1642" s="239"/>
      <c r="Q1642" s="239"/>
      <c r="R1642" s="239"/>
      <c r="S1642" s="239"/>
    </row>
    <row r="1643" spans="6:19" s="293" customFormat="1" x14ac:dyDescent="0.25">
      <c r="F1643" s="196" t="s">
        <v>936</v>
      </c>
      <c r="G1643" s="196" t="s">
        <v>120</v>
      </c>
      <c r="H1643" s="196" t="s">
        <v>480</v>
      </c>
      <c r="I1643" s="66"/>
      <c r="J1643" s="239"/>
      <c r="K1643" s="234"/>
      <c r="L1643" s="239"/>
      <c r="M1643" s="239"/>
      <c r="N1643" s="239"/>
      <c r="O1643" s="239"/>
      <c r="P1643" s="239"/>
      <c r="Q1643" s="239"/>
      <c r="R1643" s="239"/>
      <c r="S1643" s="239"/>
    </row>
    <row r="1644" spans="6:19" s="293" customFormat="1" x14ac:dyDescent="0.25">
      <c r="F1644" s="196" t="s">
        <v>937</v>
      </c>
      <c r="G1644" s="196" t="s">
        <v>120</v>
      </c>
      <c r="H1644" s="196" t="s">
        <v>480</v>
      </c>
      <c r="I1644" s="66"/>
      <c r="J1644" s="239"/>
      <c r="K1644" s="234"/>
      <c r="L1644" s="239"/>
      <c r="M1644" s="239"/>
      <c r="N1644" s="239"/>
      <c r="O1644" s="239"/>
      <c r="P1644" s="239"/>
      <c r="Q1644" s="239"/>
      <c r="R1644" s="239"/>
      <c r="S1644" s="239"/>
    </row>
    <row r="1645" spans="6:19" s="293" customFormat="1" x14ac:dyDescent="0.25">
      <c r="F1645" s="196" t="s">
        <v>938</v>
      </c>
      <c r="G1645" s="196" t="s">
        <v>120</v>
      </c>
      <c r="H1645" s="196" t="s">
        <v>480</v>
      </c>
      <c r="I1645" s="66"/>
      <c r="J1645" s="239"/>
      <c r="K1645" s="234"/>
      <c r="L1645" s="239"/>
      <c r="M1645" s="239"/>
      <c r="N1645" s="239"/>
      <c r="O1645" s="239"/>
      <c r="P1645" s="239"/>
      <c r="Q1645" s="239"/>
      <c r="R1645" s="239"/>
      <c r="S1645" s="239"/>
    </row>
    <row r="1646" spans="6:19" s="293" customFormat="1" x14ac:dyDescent="0.25">
      <c r="F1646" s="196" t="s">
        <v>939</v>
      </c>
      <c r="G1646" s="196" t="s">
        <v>120</v>
      </c>
      <c r="H1646" s="196" t="s">
        <v>480</v>
      </c>
      <c r="I1646" s="66"/>
      <c r="J1646" s="239"/>
      <c r="K1646" s="234"/>
      <c r="L1646" s="239"/>
      <c r="M1646" s="239"/>
      <c r="N1646" s="239"/>
      <c r="O1646" s="239"/>
      <c r="P1646" s="239"/>
      <c r="Q1646" s="239"/>
      <c r="R1646" s="239"/>
      <c r="S1646" s="239"/>
    </row>
    <row r="1647" spans="6:19" s="293" customFormat="1" x14ac:dyDescent="0.25">
      <c r="F1647" s="196" t="s">
        <v>940</v>
      </c>
      <c r="G1647" s="196" t="s">
        <v>120</v>
      </c>
      <c r="H1647" s="196" t="s">
        <v>480</v>
      </c>
      <c r="I1647" s="66"/>
      <c r="J1647" s="239"/>
      <c r="K1647" s="234"/>
      <c r="L1647" s="239"/>
      <c r="M1647" s="239"/>
      <c r="N1647" s="239"/>
      <c r="O1647" s="239"/>
      <c r="P1647" s="239"/>
      <c r="Q1647" s="239"/>
      <c r="R1647" s="239"/>
      <c r="S1647" s="239"/>
    </row>
    <row r="1648" spans="6:19" s="293" customFormat="1" x14ac:dyDescent="0.25">
      <c r="F1648" s="93" t="s">
        <v>941</v>
      </c>
      <c r="G1648" s="93" t="s">
        <v>120</v>
      </c>
      <c r="H1648" s="93" t="s">
        <v>480</v>
      </c>
      <c r="I1648" s="145"/>
      <c r="J1648" s="240"/>
      <c r="K1648" s="236"/>
      <c r="L1648" s="240"/>
      <c r="M1648" s="240"/>
      <c r="N1648" s="240"/>
      <c r="O1648" s="240"/>
      <c r="P1648" s="240"/>
      <c r="Q1648" s="240"/>
      <c r="R1648" s="240"/>
      <c r="S1648" s="240"/>
    </row>
    <row r="1649" spans="5:19" s="293" customFormat="1" x14ac:dyDescent="0.25">
      <c r="I1649" s="111"/>
      <c r="J1649" s="237"/>
      <c r="K1649" s="237"/>
      <c r="L1649" s="237"/>
      <c r="M1649" s="237"/>
      <c r="N1649" s="237"/>
      <c r="O1649" s="237"/>
      <c r="P1649" s="237"/>
      <c r="Q1649" s="237"/>
      <c r="R1649" s="237"/>
      <c r="S1649" s="237"/>
    </row>
    <row r="1650" spans="5:19" s="293" customFormat="1" x14ac:dyDescent="0.25">
      <c r="E1650" s="144" t="s">
        <v>74</v>
      </c>
      <c r="I1650" s="111"/>
      <c r="J1650" s="237"/>
      <c r="K1650" s="237"/>
      <c r="L1650" s="237"/>
      <c r="M1650" s="237"/>
      <c r="N1650" s="237"/>
      <c r="O1650" s="237"/>
      <c r="P1650" s="237"/>
      <c r="Q1650" s="237"/>
      <c r="R1650" s="237"/>
      <c r="S1650" s="237"/>
    </row>
    <row r="1651" spans="5:19" s="293" customFormat="1" x14ac:dyDescent="0.25">
      <c r="F1651" s="91" t="s">
        <v>926</v>
      </c>
      <c r="G1651" s="91" t="s">
        <v>74</v>
      </c>
      <c r="H1651" s="91" t="s">
        <v>480</v>
      </c>
      <c r="I1651" s="112"/>
      <c r="J1651" s="238"/>
      <c r="K1651" s="232"/>
      <c r="L1651" s="238"/>
      <c r="M1651" s="238"/>
      <c r="N1651" s="238"/>
      <c r="O1651" s="238"/>
      <c r="P1651" s="238"/>
      <c r="Q1651" s="238"/>
      <c r="R1651" s="238"/>
      <c r="S1651" s="238"/>
    </row>
    <row r="1652" spans="5:19" s="293" customFormat="1" x14ac:dyDescent="0.25">
      <c r="F1652" s="196" t="s">
        <v>927</v>
      </c>
      <c r="G1652" s="196" t="s">
        <v>74</v>
      </c>
      <c r="H1652" s="196" t="s">
        <v>480</v>
      </c>
      <c r="I1652" s="66"/>
      <c r="J1652" s="239"/>
      <c r="K1652" s="234"/>
      <c r="L1652" s="239"/>
      <c r="M1652" s="239"/>
      <c r="N1652" s="239"/>
      <c r="O1652" s="239"/>
      <c r="P1652" s="239"/>
      <c r="Q1652" s="239"/>
      <c r="R1652" s="239"/>
      <c r="S1652" s="239"/>
    </row>
    <row r="1653" spans="5:19" s="293" customFormat="1" x14ac:dyDescent="0.25">
      <c r="F1653" s="196" t="s">
        <v>928</v>
      </c>
      <c r="G1653" s="196" t="s">
        <v>74</v>
      </c>
      <c r="H1653" s="196" t="s">
        <v>480</v>
      </c>
      <c r="I1653" s="66"/>
      <c r="J1653" s="233">
        <f t="shared" ref="J1653" si="166">CHOOSE(year_selection, L1653,M1653,N1653,O1653,P1653,Q1653,R1653,S1653)</f>
        <v>465.5099893681957</v>
      </c>
      <c r="K1653" s="234"/>
      <c r="L1653" s="330"/>
      <c r="M1653" s="330"/>
      <c r="N1653" s="330"/>
      <c r="O1653" s="330">
        <v>465.5099893681957</v>
      </c>
      <c r="P1653" s="330">
        <v>519.24112138161411</v>
      </c>
      <c r="Q1653" s="330">
        <v>572.97225339503245</v>
      </c>
      <c r="R1653" s="330">
        <v>626.70338540845069</v>
      </c>
      <c r="S1653" s="330">
        <v>680.43451742186892</v>
      </c>
    </row>
    <row r="1654" spans="5:19" s="293" customFormat="1" x14ac:dyDescent="0.25">
      <c r="F1654" s="196" t="s">
        <v>929</v>
      </c>
      <c r="G1654" s="196" t="s">
        <v>74</v>
      </c>
      <c r="H1654" s="196" t="s">
        <v>480</v>
      </c>
      <c r="I1654" s="66"/>
      <c r="J1654" s="239"/>
      <c r="K1654" s="234"/>
      <c r="L1654" s="239"/>
      <c r="M1654" s="239"/>
      <c r="N1654" s="239"/>
      <c r="O1654" s="239"/>
      <c r="P1654" s="239"/>
      <c r="Q1654" s="239"/>
      <c r="R1654" s="239"/>
      <c r="S1654" s="239"/>
    </row>
    <row r="1655" spans="5:19" s="293" customFormat="1" x14ac:dyDescent="0.25">
      <c r="F1655" s="196" t="s">
        <v>930</v>
      </c>
      <c r="G1655" s="196" t="s">
        <v>74</v>
      </c>
      <c r="H1655" s="196" t="s">
        <v>480</v>
      </c>
      <c r="I1655" s="66"/>
      <c r="J1655" s="233">
        <f t="shared" ref="J1655:J1657" si="167">CHOOSE(year_selection, L1655,M1655,N1655,O1655,P1655,Q1655,R1655,S1655)</f>
        <v>149.72641061657978</v>
      </c>
      <c r="K1655" s="234"/>
      <c r="L1655" s="330"/>
      <c r="M1655" s="330"/>
      <c r="N1655" s="330"/>
      <c r="O1655" s="330">
        <v>149.72641061657978</v>
      </c>
      <c r="P1655" s="330">
        <v>154.16506359958913</v>
      </c>
      <c r="Q1655" s="330">
        <v>158.63585462845268</v>
      </c>
      <c r="R1655" s="330">
        <v>163.074507611462</v>
      </c>
      <c r="S1655" s="330">
        <v>167.51316059447132</v>
      </c>
    </row>
    <row r="1656" spans="5:19" s="293" customFormat="1" x14ac:dyDescent="0.25">
      <c r="F1656" s="196" t="s">
        <v>931</v>
      </c>
      <c r="G1656" s="196" t="s">
        <v>74</v>
      </c>
      <c r="H1656" s="196" t="s">
        <v>480</v>
      </c>
      <c r="I1656" s="66"/>
      <c r="J1656" s="233">
        <f t="shared" si="167"/>
        <v>6.6499999999999995</v>
      </c>
      <c r="K1656" s="234"/>
      <c r="L1656" s="330"/>
      <c r="M1656" s="330"/>
      <c r="N1656" s="330"/>
      <c r="O1656" s="330">
        <v>6.6499999999999995</v>
      </c>
      <c r="P1656" s="330">
        <v>8.4038461538461533</v>
      </c>
      <c r="Q1656" s="330">
        <v>10.157692307692306</v>
      </c>
      <c r="R1656" s="330">
        <v>11.911538461538459</v>
      </c>
      <c r="S1656" s="330">
        <v>13.665384615384614</v>
      </c>
    </row>
    <row r="1657" spans="5:19" s="293" customFormat="1" x14ac:dyDescent="0.25">
      <c r="F1657" s="196" t="s">
        <v>932</v>
      </c>
      <c r="G1657" s="196" t="s">
        <v>74</v>
      </c>
      <c r="H1657" s="196" t="s">
        <v>480</v>
      </c>
      <c r="I1657" s="66"/>
      <c r="J1657" s="233">
        <f t="shared" si="167"/>
        <v>4.5758160853167809</v>
      </c>
      <c r="K1657" s="234"/>
      <c r="L1657" s="330"/>
      <c r="M1657" s="330"/>
      <c r="N1657" s="330"/>
      <c r="O1657" s="330">
        <v>4.5758160853167809</v>
      </c>
      <c r="P1657" s="330">
        <v>4.5758160853167809</v>
      </c>
      <c r="Q1657" s="330">
        <v>4.5758160853167809</v>
      </c>
      <c r="R1657" s="330">
        <v>4.5758160853167809</v>
      </c>
      <c r="S1657" s="330">
        <v>4.5758160853167809</v>
      </c>
    </row>
    <row r="1658" spans="5:19" s="293" customFormat="1" x14ac:dyDescent="0.25">
      <c r="F1658" s="196" t="s">
        <v>933</v>
      </c>
      <c r="G1658" s="196" t="s">
        <v>74</v>
      </c>
      <c r="H1658" s="196" t="s">
        <v>480</v>
      </c>
      <c r="I1658" s="66"/>
      <c r="J1658" s="239"/>
      <c r="K1658" s="234"/>
      <c r="L1658" s="239"/>
      <c r="M1658" s="239"/>
      <c r="N1658" s="239"/>
      <c r="O1658" s="239"/>
      <c r="P1658" s="239"/>
      <c r="Q1658" s="239"/>
      <c r="R1658" s="239"/>
      <c r="S1658" s="239"/>
    </row>
    <row r="1659" spans="5:19" s="293" customFormat="1" x14ac:dyDescent="0.25">
      <c r="F1659" s="196" t="s">
        <v>934</v>
      </c>
      <c r="G1659" s="196" t="s">
        <v>74</v>
      </c>
      <c r="H1659" s="196" t="s">
        <v>480</v>
      </c>
      <c r="I1659" s="66"/>
      <c r="J1659" s="239"/>
      <c r="K1659" s="234"/>
      <c r="L1659" s="239"/>
      <c r="M1659" s="239"/>
      <c r="N1659" s="239"/>
      <c r="O1659" s="239"/>
      <c r="P1659" s="239"/>
      <c r="Q1659" s="239"/>
      <c r="R1659" s="239"/>
      <c r="S1659" s="239"/>
    </row>
    <row r="1660" spans="5:19" s="293" customFormat="1" x14ac:dyDescent="0.25">
      <c r="F1660" s="196" t="s">
        <v>935</v>
      </c>
      <c r="G1660" s="196" t="s">
        <v>74</v>
      </c>
      <c r="H1660" s="196" t="s">
        <v>480</v>
      </c>
      <c r="I1660" s="66"/>
      <c r="J1660" s="239"/>
      <c r="K1660" s="234"/>
      <c r="L1660" s="239"/>
      <c r="M1660" s="239"/>
      <c r="N1660" s="239"/>
      <c r="O1660" s="239"/>
      <c r="P1660" s="239"/>
      <c r="Q1660" s="239"/>
      <c r="R1660" s="239"/>
      <c r="S1660" s="239"/>
    </row>
    <row r="1661" spans="5:19" s="293" customFormat="1" x14ac:dyDescent="0.25">
      <c r="F1661" s="196" t="s">
        <v>936</v>
      </c>
      <c r="G1661" s="196" t="s">
        <v>74</v>
      </c>
      <c r="H1661" s="196" t="s">
        <v>480</v>
      </c>
      <c r="I1661" s="66"/>
      <c r="J1661" s="239"/>
      <c r="K1661" s="234"/>
      <c r="L1661" s="239"/>
      <c r="M1661" s="239"/>
      <c r="N1661" s="239"/>
      <c r="O1661" s="239"/>
      <c r="P1661" s="239"/>
      <c r="Q1661" s="239"/>
      <c r="R1661" s="239"/>
      <c r="S1661" s="239"/>
    </row>
    <row r="1662" spans="5:19" s="293" customFormat="1" x14ac:dyDescent="0.25">
      <c r="F1662" s="196" t="s">
        <v>937</v>
      </c>
      <c r="G1662" s="196" t="s">
        <v>74</v>
      </c>
      <c r="H1662" s="196" t="s">
        <v>480</v>
      </c>
      <c r="I1662" s="66"/>
      <c r="J1662" s="239"/>
      <c r="K1662" s="234"/>
      <c r="L1662" s="239"/>
      <c r="M1662" s="239"/>
      <c r="N1662" s="239"/>
      <c r="O1662" s="239"/>
      <c r="P1662" s="239"/>
      <c r="Q1662" s="239"/>
      <c r="R1662" s="239"/>
      <c r="S1662" s="239"/>
    </row>
    <row r="1663" spans="5:19" s="293" customFormat="1" x14ac:dyDescent="0.25">
      <c r="F1663" s="196" t="s">
        <v>938</v>
      </c>
      <c r="G1663" s="196" t="s">
        <v>74</v>
      </c>
      <c r="H1663" s="196" t="s">
        <v>480</v>
      </c>
      <c r="I1663" s="66"/>
      <c r="J1663" s="239"/>
      <c r="K1663" s="234"/>
      <c r="L1663" s="239"/>
      <c r="M1663" s="239"/>
      <c r="N1663" s="239"/>
      <c r="O1663" s="239"/>
      <c r="P1663" s="239"/>
      <c r="Q1663" s="239"/>
      <c r="R1663" s="239"/>
      <c r="S1663" s="239"/>
    </row>
    <row r="1664" spans="5:19" s="293" customFormat="1" x14ac:dyDescent="0.25">
      <c r="F1664" s="196" t="s">
        <v>939</v>
      </c>
      <c r="G1664" s="196" t="s">
        <v>74</v>
      </c>
      <c r="H1664" s="196" t="s">
        <v>480</v>
      </c>
      <c r="I1664" s="66"/>
      <c r="J1664" s="239"/>
      <c r="K1664" s="234"/>
      <c r="L1664" s="239"/>
      <c r="M1664" s="239"/>
      <c r="N1664" s="239"/>
      <c r="O1664" s="239"/>
      <c r="P1664" s="239"/>
      <c r="Q1664" s="239"/>
      <c r="R1664" s="239"/>
      <c r="S1664" s="239"/>
    </row>
    <row r="1665" spans="5:19" s="293" customFormat="1" x14ac:dyDescent="0.25">
      <c r="F1665" s="196" t="s">
        <v>940</v>
      </c>
      <c r="G1665" s="196" t="s">
        <v>74</v>
      </c>
      <c r="H1665" s="196" t="s">
        <v>480</v>
      </c>
      <c r="I1665" s="66"/>
      <c r="J1665" s="239"/>
      <c r="K1665" s="234"/>
      <c r="L1665" s="239"/>
      <c r="M1665" s="239"/>
      <c r="N1665" s="239"/>
      <c r="O1665" s="239"/>
      <c r="P1665" s="239"/>
      <c r="Q1665" s="239"/>
      <c r="R1665" s="239"/>
      <c r="S1665" s="239"/>
    </row>
    <row r="1666" spans="5:19" s="293" customFormat="1" x14ac:dyDescent="0.25">
      <c r="F1666" s="93" t="s">
        <v>941</v>
      </c>
      <c r="G1666" s="93" t="s">
        <v>74</v>
      </c>
      <c r="H1666" s="93" t="s">
        <v>480</v>
      </c>
      <c r="I1666" s="145"/>
      <c r="J1666" s="240"/>
      <c r="K1666" s="236"/>
      <c r="L1666" s="240"/>
      <c r="M1666" s="240"/>
      <c r="N1666" s="240"/>
      <c r="O1666" s="240"/>
      <c r="P1666" s="240"/>
      <c r="Q1666" s="240"/>
      <c r="R1666" s="240"/>
      <c r="S1666" s="240"/>
    </row>
    <row r="1667" spans="5:19" s="293" customFormat="1" x14ac:dyDescent="0.25">
      <c r="I1667" s="111"/>
      <c r="J1667" s="237"/>
      <c r="K1667" s="237"/>
      <c r="L1667" s="237"/>
      <c r="M1667" s="237"/>
      <c r="N1667" s="237"/>
      <c r="O1667" s="237"/>
      <c r="P1667" s="237"/>
      <c r="Q1667" s="237"/>
      <c r="R1667" s="237"/>
      <c r="S1667" s="237"/>
    </row>
    <row r="1668" spans="5:19" s="293" customFormat="1" x14ac:dyDescent="0.25">
      <c r="E1668" s="144" t="s">
        <v>202</v>
      </c>
      <c r="I1668" s="111"/>
      <c r="J1668" s="237"/>
      <c r="K1668" s="237"/>
      <c r="L1668" s="237"/>
      <c r="M1668" s="237"/>
      <c r="N1668" s="237"/>
      <c r="O1668" s="237"/>
      <c r="P1668" s="237"/>
      <c r="Q1668" s="237"/>
      <c r="R1668" s="237"/>
      <c r="S1668" s="237"/>
    </row>
    <row r="1669" spans="5:19" s="293" customFormat="1" x14ac:dyDescent="0.25">
      <c r="F1669" s="91" t="s">
        <v>926</v>
      </c>
      <c r="G1669" s="91" t="s">
        <v>169</v>
      </c>
      <c r="H1669" s="91" t="s">
        <v>480</v>
      </c>
      <c r="I1669" s="112"/>
      <c r="J1669" s="238"/>
      <c r="K1669" s="232"/>
      <c r="L1669" s="238"/>
      <c r="M1669" s="238"/>
      <c r="N1669" s="238"/>
      <c r="O1669" s="238"/>
      <c r="P1669" s="238"/>
      <c r="Q1669" s="238"/>
      <c r="R1669" s="238"/>
      <c r="S1669" s="238"/>
    </row>
    <row r="1670" spans="5:19" s="293" customFormat="1" x14ac:dyDescent="0.25">
      <c r="F1670" s="196" t="s">
        <v>927</v>
      </c>
      <c r="G1670" s="196" t="s">
        <v>169</v>
      </c>
      <c r="H1670" s="196" t="s">
        <v>480</v>
      </c>
      <c r="I1670" s="66"/>
      <c r="J1670" s="239"/>
      <c r="K1670" s="234"/>
      <c r="L1670" s="239"/>
      <c r="M1670" s="239"/>
      <c r="N1670" s="239"/>
      <c r="O1670" s="239"/>
      <c r="P1670" s="239"/>
      <c r="Q1670" s="239"/>
      <c r="R1670" s="239"/>
      <c r="S1670" s="239"/>
    </row>
    <row r="1671" spans="5:19" s="293" customFormat="1" x14ac:dyDescent="0.25">
      <c r="F1671" s="196" t="s">
        <v>928</v>
      </c>
      <c r="G1671" s="196" t="s">
        <v>169</v>
      </c>
      <c r="H1671" s="196" t="s">
        <v>480</v>
      </c>
      <c r="I1671" s="66"/>
      <c r="J1671" s="239"/>
      <c r="K1671" s="234"/>
      <c r="L1671" s="239"/>
      <c r="M1671" s="239"/>
      <c r="N1671" s="239"/>
      <c r="O1671" s="239"/>
      <c r="P1671" s="239"/>
      <c r="Q1671" s="239"/>
      <c r="R1671" s="239"/>
      <c r="S1671" s="239"/>
    </row>
    <row r="1672" spans="5:19" s="293" customFormat="1" x14ac:dyDescent="0.25">
      <c r="F1672" s="196" t="s">
        <v>929</v>
      </c>
      <c r="G1672" s="196" t="s">
        <v>169</v>
      </c>
      <c r="H1672" s="196" t="s">
        <v>480</v>
      </c>
      <c r="I1672" s="66"/>
      <c r="J1672" s="239"/>
      <c r="K1672" s="234"/>
      <c r="L1672" s="239"/>
      <c r="M1672" s="239"/>
      <c r="N1672" s="239"/>
      <c r="O1672" s="239"/>
      <c r="P1672" s="239"/>
      <c r="Q1672" s="239"/>
      <c r="R1672" s="239"/>
      <c r="S1672" s="239"/>
    </row>
    <row r="1673" spans="5:19" s="293" customFormat="1" x14ac:dyDescent="0.25">
      <c r="F1673" s="196" t="s">
        <v>930</v>
      </c>
      <c r="G1673" s="196" t="s">
        <v>169</v>
      </c>
      <c r="H1673" s="196" t="s">
        <v>480</v>
      </c>
      <c r="I1673" s="66"/>
      <c r="J1673" s="233">
        <f t="shared" ref="J1673:J1675" si="168">CHOOSE(year_selection, L1673,M1673,N1673,O1673,P1673,Q1673,R1673,S1673)</f>
        <v>26786.551300980038</v>
      </c>
      <c r="K1673" s="234"/>
      <c r="L1673" s="330"/>
      <c r="M1673" s="330"/>
      <c r="N1673" s="330"/>
      <c r="O1673" s="330">
        <v>26786.551300980038</v>
      </c>
      <c r="P1673" s="330">
        <v>28380.480375379528</v>
      </c>
      <c r="Q1673" s="330">
        <v>28380.480375379528</v>
      </c>
      <c r="R1673" s="330">
        <v>29174.570111098219</v>
      </c>
      <c r="S1673" s="330">
        <v>29968.65984681691</v>
      </c>
    </row>
    <row r="1674" spans="5:19" s="293" customFormat="1" x14ac:dyDescent="0.25">
      <c r="F1674" s="196" t="s">
        <v>931</v>
      </c>
      <c r="G1674" s="196" t="s">
        <v>169</v>
      </c>
      <c r="H1674" s="196" t="s">
        <v>480</v>
      </c>
      <c r="I1674" s="66"/>
      <c r="J1674" s="233">
        <f t="shared" si="168"/>
        <v>1503.2347526099047</v>
      </c>
      <c r="K1674" s="234"/>
      <c r="L1674" s="330"/>
      <c r="M1674" s="330"/>
      <c r="N1674" s="330"/>
      <c r="O1674" s="330">
        <v>1503.2347526099047</v>
      </c>
      <c r="P1674" s="330">
        <v>2296.1497869535915</v>
      </c>
      <c r="Q1674" s="330">
        <v>2296.1497869535915</v>
      </c>
      <c r="R1674" s="330">
        <v>2692.6073041254349</v>
      </c>
      <c r="S1674" s="330">
        <v>3089.0648212972787</v>
      </c>
    </row>
    <row r="1675" spans="5:19" s="293" customFormat="1" x14ac:dyDescent="0.25">
      <c r="F1675" s="196" t="s">
        <v>932</v>
      </c>
      <c r="G1675" s="196" t="s">
        <v>169</v>
      </c>
      <c r="H1675" s="196" t="s">
        <v>480</v>
      </c>
      <c r="I1675" s="66"/>
      <c r="J1675" s="233">
        <f t="shared" si="168"/>
        <v>5768.4218053502436</v>
      </c>
      <c r="K1675" s="234"/>
      <c r="L1675" s="330"/>
      <c r="M1675" s="330"/>
      <c r="N1675" s="330"/>
      <c r="O1675" s="330">
        <v>5768.4218053502436</v>
      </c>
      <c r="P1675" s="330">
        <v>5768.4218053502436</v>
      </c>
      <c r="Q1675" s="330">
        <v>5768.4218053502436</v>
      </c>
      <c r="R1675" s="330">
        <v>5768.4218053502436</v>
      </c>
      <c r="S1675" s="330">
        <v>5768.4218053502436</v>
      </c>
    </row>
    <row r="1676" spans="5:19" s="293" customFormat="1" x14ac:dyDescent="0.25">
      <c r="F1676" s="196" t="s">
        <v>933</v>
      </c>
      <c r="G1676" s="196" t="s">
        <v>169</v>
      </c>
      <c r="H1676" s="196" t="s">
        <v>480</v>
      </c>
      <c r="I1676" s="66"/>
      <c r="J1676" s="239"/>
      <c r="K1676" s="234"/>
      <c r="L1676" s="239"/>
      <c r="M1676" s="239"/>
      <c r="N1676" s="239"/>
      <c r="O1676" s="239"/>
      <c r="P1676" s="239"/>
      <c r="Q1676" s="239"/>
      <c r="R1676" s="239"/>
      <c r="S1676" s="239"/>
    </row>
    <row r="1677" spans="5:19" s="293" customFormat="1" x14ac:dyDescent="0.25">
      <c r="F1677" s="196" t="s">
        <v>934</v>
      </c>
      <c r="G1677" s="196" t="s">
        <v>169</v>
      </c>
      <c r="H1677" s="196" t="s">
        <v>480</v>
      </c>
      <c r="I1677" s="66"/>
      <c r="J1677" s="239"/>
      <c r="K1677" s="234"/>
      <c r="L1677" s="239"/>
      <c r="M1677" s="239"/>
      <c r="N1677" s="239"/>
      <c r="O1677" s="239"/>
      <c r="P1677" s="239"/>
      <c r="Q1677" s="239"/>
      <c r="R1677" s="239"/>
      <c r="S1677" s="239"/>
    </row>
    <row r="1678" spans="5:19" s="293" customFormat="1" x14ac:dyDescent="0.25">
      <c r="F1678" s="196" t="s">
        <v>935</v>
      </c>
      <c r="G1678" s="196" t="s">
        <v>169</v>
      </c>
      <c r="H1678" s="196" t="s">
        <v>480</v>
      </c>
      <c r="I1678" s="66"/>
      <c r="J1678" s="239"/>
      <c r="K1678" s="234"/>
      <c r="L1678" s="239"/>
      <c r="M1678" s="239"/>
      <c r="N1678" s="239"/>
      <c r="O1678" s="239"/>
      <c r="P1678" s="239"/>
      <c r="Q1678" s="239"/>
      <c r="R1678" s="239"/>
      <c r="S1678" s="239"/>
    </row>
    <row r="1679" spans="5:19" s="293" customFormat="1" x14ac:dyDescent="0.25">
      <c r="F1679" s="196" t="s">
        <v>936</v>
      </c>
      <c r="G1679" s="196" t="s">
        <v>169</v>
      </c>
      <c r="H1679" s="196" t="s">
        <v>480</v>
      </c>
      <c r="I1679" s="66"/>
      <c r="J1679" s="239"/>
      <c r="K1679" s="234"/>
      <c r="L1679" s="239"/>
      <c r="M1679" s="239"/>
      <c r="N1679" s="239"/>
      <c r="O1679" s="239"/>
      <c r="P1679" s="239"/>
      <c r="Q1679" s="239"/>
      <c r="R1679" s="239"/>
      <c r="S1679" s="239"/>
    </row>
    <row r="1680" spans="5:19" s="293" customFormat="1" x14ac:dyDescent="0.25">
      <c r="F1680" s="196" t="s">
        <v>937</v>
      </c>
      <c r="G1680" s="196" t="s">
        <v>169</v>
      </c>
      <c r="H1680" s="196" t="s">
        <v>480</v>
      </c>
      <c r="I1680" s="66"/>
      <c r="J1680" s="239"/>
      <c r="K1680" s="234"/>
      <c r="L1680" s="239"/>
      <c r="M1680" s="239"/>
      <c r="N1680" s="239"/>
      <c r="O1680" s="239"/>
      <c r="P1680" s="239"/>
      <c r="Q1680" s="239"/>
      <c r="R1680" s="239"/>
      <c r="S1680" s="239"/>
    </row>
    <row r="1681" spans="5:19" s="293" customFormat="1" x14ac:dyDescent="0.25">
      <c r="F1681" s="196" t="s">
        <v>938</v>
      </c>
      <c r="G1681" s="196" t="s">
        <v>169</v>
      </c>
      <c r="H1681" s="196" t="s">
        <v>480</v>
      </c>
      <c r="I1681" s="66"/>
      <c r="J1681" s="239"/>
      <c r="K1681" s="234"/>
      <c r="L1681" s="239"/>
      <c r="M1681" s="239"/>
      <c r="N1681" s="239"/>
      <c r="O1681" s="239"/>
      <c r="P1681" s="239"/>
      <c r="Q1681" s="239"/>
      <c r="R1681" s="239"/>
      <c r="S1681" s="239"/>
    </row>
    <row r="1682" spans="5:19" s="293" customFormat="1" x14ac:dyDescent="0.25">
      <c r="F1682" s="196" t="s">
        <v>939</v>
      </c>
      <c r="G1682" s="196" t="s">
        <v>169</v>
      </c>
      <c r="H1682" s="196" t="s">
        <v>480</v>
      </c>
      <c r="I1682" s="66"/>
      <c r="J1682" s="239"/>
      <c r="K1682" s="234"/>
      <c r="L1682" s="239"/>
      <c r="M1682" s="239"/>
      <c r="N1682" s="239"/>
      <c r="O1682" s="239"/>
      <c r="P1682" s="239"/>
      <c r="Q1682" s="239"/>
      <c r="R1682" s="239"/>
      <c r="S1682" s="239"/>
    </row>
    <row r="1683" spans="5:19" s="293" customFormat="1" x14ac:dyDescent="0.25">
      <c r="F1683" s="196" t="s">
        <v>940</v>
      </c>
      <c r="G1683" s="196" t="s">
        <v>169</v>
      </c>
      <c r="H1683" s="196" t="s">
        <v>480</v>
      </c>
      <c r="I1683" s="66"/>
      <c r="J1683" s="239"/>
      <c r="K1683" s="234"/>
      <c r="L1683" s="239"/>
      <c r="M1683" s="239"/>
      <c r="N1683" s="239"/>
      <c r="O1683" s="239"/>
      <c r="P1683" s="239"/>
      <c r="Q1683" s="239"/>
      <c r="R1683" s="239"/>
      <c r="S1683" s="239"/>
    </row>
    <row r="1684" spans="5:19" s="293" customFormat="1" x14ac:dyDescent="0.25">
      <c r="F1684" s="93" t="s">
        <v>941</v>
      </c>
      <c r="G1684" s="93" t="s">
        <v>169</v>
      </c>
      <c r="H1684" s="93" t="s">
        <v>480</v>
      </c>
      <c r="I1684" s="145"/>
      <c r="J1684" s="240"/>
      <c r="K1684" s="236"/>
      <c r="L1684" s="240"/>
      <c r="M1684" s="240"/>
      <c r="N1684" s="240"/>
      <c r="O1684" s="240"/>
      <c r="P1684" s="240"/>
      <c r="Q1684" s="240"/>
      <c r="R1684" s="240"/>
      <c r="S1684" s="240"/>
    </row>
    <row r="1685" spans="5:19" s="293" customFormat="1" x14ac:dyDescent="0.25">
      <c r="I1685" s="111"/>
      <c r="J1685" s="237"/>
      <c r="K1685" s="237"/>
      <c r="L1685" s="237"/>
      <c r="M1685" s="237"/>
      <c r="N1685" s="237"/>
      <c r="O1685" s="237"/>
      <c r="P1685" s="237"/>
      <c r="Q1685" s="237"/>
      <c r="R1685" s="237"/>
      <c r="S1685" s="237"/>
    </row>
    <row r="1686" spans="5:19" s="293" customFormat="1" x14ac:dyDescent="0.25">
      <c r="E1686" s="144" t="s">
        <v>203</v>
      </c>
      <c r="I1686" s="111"/>
      <c r="J1686" s="237"/>
      <c r="K1686" s="237"/>
      <c r="L1686" s="237"/>
      <c r="M1686" s="237"/>
      <c r="N1686" s="237"/>
      <c r="O1686" s="237"/>
      <c r="P1686" s="237"/>
      <c r="Q1686" s="237"/>
      <c r="R1686" s="237"/>
      <c r="S1686" s="237"/>
    </row>
    <row r="1687" spans="5:19" s="293" customFormat="1" x14ac:dyDescent="0.25">
      <c r="F1687" s="91" t="s">
        <v>926</v>
      </c>
      <c r="G1687" s="91" t="s">
        <v>169</v>
      </c>
      <c r="H1687" s="91" t="s">
        <v>480</v>
      </c>
      <c r="I1687" s="112"/>
      <c r="J1687" s="238"/>
      <c r="K1687" s="232"/>
      <c r="L1687" s="238"/>
      <c r="M1687" s="238"/>
      <c r="N1687" s="238"/>
      <c r="O1687" s="238"/>
      <c r="P1687" s="238"/>
      <c r="Q1687" s="238"/>
      <c r="R1687" s="238"/>
      <c r="S1687" s="238"/>
    </row>
    <row r="1688" spans="5:19" s="293" customFormat="1" x14ac:dyDescent="0.25">
      <c r="F1688" s="196" t="s">
        <v>927</v>
      </c>
      <c r="G1688" s="196" t="s">
        <v>169</v>
      </c>
      <c r="H1688" s="196" t="s">
        <v>480</v>
      </c>
      <c r="I1688" s="66"/>
      <c r="J1688" s="239"/>
      <c r="K1688" s="234"/>
      <c r="L1688" s="239"/>
      <c r="M1688" s="239"/>
      <c r="N1688" s="239"/>
      <c r="O1688" s="239"/>
      <c r="P1688" s="239"/>
      <c r="Q1688" s="239"/>
      <c r="R1688" s="239"/>
      <c r="S1688" s="239"/>
    </row>
    <row r="1689" spans="5:19" s="293" customFormat="1" x14ac:dyDescent="0.25">
      <c r="F1689" s="196" t="s">
        <v>928</v>
      </c>
      <c r="G1689" s="196" t="s">
        <v>169</v>
      </c>
      <c r="H1689" s="196" t="s">
        <v>480</v>
      </c>
      <c r="I1689" s="66"/>
      <c r="J1689" s="239"/>
      <c r="K1689" s="234"/>
      <c r="L1689" s="239"/>
      <c r="M1689" s="239"/>
      <c r="N1689" s="239"/>
      <c r="O1689" s="239"/>
      <c r="P1689" s="239"/>
      <c r="Q1689" s="239"/>
      <c r="R1689" s="239"/>
      <c r="S1689" s="239"/>
    </row>
    <row r="1690" spans="5:19" s="293" customFormat="1" x14ac:dyDescent="0.25">
      <c r="F1690" s="196" t="s">
        <v>929</v>
      </c>
      <c r="G1690" s="196" t="s">
        <v>169</v>
      </c>
      <c r="H1690" s="196" t="s">
        <v>480</v>
      </c>
      <c r="I1690" s="66"/>
      <c r="J1690" s="239"/>
      <c r="K1690" s="234"/>
      <c r="L1690" s="239"/>
      <c r="M1690" s="239"/>
      <c r="N1690" s="239"/>
      <c r="O1690" s="239"/>
      <c r="P1690" s="239"/>
      <c r="Q1690" s="239"/>
      <c r="R1690" s="239"/>
      <c r="S1690" s="239"/>
    </row>
    <row r="1691" spans="5:19" s="293" customFormat="1" x14ac:dyDescent="0.25">
      <c r="F1691" s="196" t="s">
        <v>930</v>
      </c>
      <c r="G1691" s="196" t="s">
        <v>169</v>
      </c>
      <c r="H1691" s="196" t="s">
        <v>480</v>
      </c>
      <c r="I1691" s="66"/>
      <c r="J1691" s="233">
        <f t="shared" ref="J1691:J1693" si="169">CHOOSE(year_selection, L1691,M1691,N1691,O1691,P1691,Q1691,R1691,S1691)</f>
        <v>15.748674651264663</v>
      </c>
      <c r="K1691" s="234"/>
      <c r="L1691" s="330"/>
      <c r="M1691" s="330"/>
      <c r="N1691" s="330"/>
      <c r="O1691" s="330">
        <v>15.748674651264663</v>
      </c>
      <c r="P1691" s="330">
        <v>16.685796796174397</v>
      </c>
      <c r="Q1691" s="330">
        <v>16.685796796174397</v>
      </c>
      <c r="R1691" s="330">
        <v>17.152667680418638</v>
      </c>
      <c r="S1691" s="330">
        <v>17.619538564662875</v>
      </c>
    </row>
    <row r="1692" spans="5:19" s="293" customFormat="1" x14ac:dyDescent="0.25">
      <c r="F1692" s="196" t="s">
        <v>931</v>
      </c>
      <c r="G1692" s="196" t="s">
        <v>169</v>
      </c>
      <c r="H1692" s="196" t="s">
        <v>480</v>
      </c>
      <c r="I1692" s="66"/>
      <c r="J1692" s="233">
        <f t="shared" si="169"/>
        <v>8.2320962302903453</v>
      </c>
      <c r="K1692" s="234"/>
      <c r="L1692" s="330"/>
      <c r="M1692" s="330"/>
      <c r="N1692" s="330"/>
      <c r="O1692" s="330">
        <v>8.2320962302903453</v>
      </c>
      <c r="P1692" s="330">
        <v>12.574300835278656</v>
      </c>
      <c r="Q1692" s="330">
        <v>12.574300835278656</v>
      </c>
      <c r="R1692" s="330">
        <v>14.745403137772808</v>
      </c>
      <c r="S1692" s="330">
        <v>16.91650544026696</v>
      </c>
    </row>
    <row r="1693" spans="5:19" s="293" customFormat="1" x14ac:dyDescent="0.25">
      <c r="F1693" s="196" t="s">
        <v>932</v>
      </c>
      <c r="G1693" s="196" t="s">
        <v>169</v>
      </c>
      <c r="H1693" s="196" t="s">
        <v>480</v>
      </c>
      <c r="I1693" s="66"/>
      <c r="J1693" s="233">
        <f t="shared" si="169"/>
        <v>7.3944951398030696</v>
      </c>
      <c r="K1693" s="234"/>
      <c r="L1693" s="330"/>
      <c r="M1693" s="330"/>
      <c r="N1693" s="330"/>
      <c r="O1693" s="330">
        <v>7.3944951398030696</v>
      </c>
      <c r="P1693" s="330">
        <v>7.3944951398030696</v>
      </c>
      <c r="Q1693" s="330">
        <v>7.3944951398030696</v>
      </c>
      <c r="R1693" s="330">
        <v>7.3944951398030696</v>
      </c>
      <c r="S1693" s="330">
        <v>7.3944951398030696</v>
      </c>
    </row>
    <row r="1694" spans="5:19" s="293" customFormat="1" x14ac:dyDescent="0.25">
      <c r="F1694" s="196" t="s">
        <v>933</v>
      </c>
      <c r="G1694" s="196" t="s">
        <v>169</v>
      </c>
      <c r="H1694" s="196" t="s">
        <v>480</v>
      </c>
      <c r="I1694" s="66"/>
      <c r="J1694" s="239"/>
      <c r="K1694" s="234"/>
      <c r="L1694" s="239"/>
      <c r="M1694" s="239"/>
      <c r="N1694" s="239"/>
      <c r="O1694" s="239"/>
      <c r="P1694" s="239"/>
      <c r="Q1694" s="239"/>
      <c r="R1694" s="239"/>
      <c r="S1694" s="239"/>
    </row>
    <row r="1695" spans="5:19" s="293" customFormat="1" x14ac:dyDescent="0.25">
      <c r="F1695" s="196" t="s">
        <v>934</v>
      </c>
      <c r="G1695" s="196" t="s">
        <v>169</v>
      </c>
      <c r="H1695" s="196" t="s">
        <v>480</v>
      </c>
      <c r="I1695" s="66"/>
      <c r="J1695" s="239"/>
      <c r="K1695" s="234"/>
      <c r="L1695" s="239"/>
      <c r="M1695" s="239"/>
      <c r="N1695" s="239"/>
      <c r="O1695" s="239"/>
      <c r="P1695" s="239"/>
      <c r="Q1695" s="239"/>
      <c r="R1695" s="239"/>
      <c r="S1695" s="239"/>
    </row>
    <row r="1696" spans="5:19" s="293" customFormat="1" x14ac:dyDescent="0.25">
      <c r="F1696" s="196" t="s">
        <v>935</v>
      </c>
      <c r="G1696" s="196" t="s">
        <v>169</v>
      </c>
      <c r="H1696" s="196" t="s">
        <v>480</v>
      </c>
      <c r="I1696" s="66"/>
      <c r="J1696" s="239"/>
      <c r="K1696" s="234"/>
      <c r="L1696" s="239"/>
      <c r="M1696" s="239"/>
      <c r="N1696" s="239"/>
      <c r="O1696" s="239"/>
      <c r="P1696" s="239"/>
      <c r="Q1696" s="239"/>
      <c r="R1696" s="239"/>
      <c r="S1696" s="239"/>
    </row>
    <row r="1697" spans="5:19" s="293" customFormat="1" x14ac:dyDescent="0.25">
      <c r="F1697" s="196" t="s">
        <v>936</v>
      </c>
      <c r="G1697" s="196" t="s">
        <v>169</v>
      </c>
      <c r="H1697" s="196" t="s">
        <v>480</v>
      </c>
      <c r="I1697" s="66"/>
      <c r="J1697" s="239"/>
      <c r="K1697" s="234"/>
      <c r="L1697" s="239"/>
      <c r="M1697" s="239"/>
      <c r="N1697" s="239"/>
      <c r="O1697" s="239"/>
      <c r="P1697" s="239"/>
      <c r="Q1697" s="239"/>
      <c r="R1697" s="239"/>
      <c r="S1697" s="239"/>
    </row>
    <row r="1698" spans="5:19" s="293" customFormat="1" x14ac:dyDescent="0.25">
      <c r="F1698" s="196" t="s">
        <v>937</v>
      </c>
      <c r="G1698" s="196" t="s">
        <v>169</v>
      </c>
      <c r="H1698" s="196" t="s">
        <v>480</v>
      </c>
      <c r="I1698" s="66"/>
      <c r="J1698" s="239"/>
      <c r="K1698" s="234"/>
      <c r="L1698" s="239"/>
      <c r="M1698" s="239"/>
      <c r="N1698" s="239"/>
      <c r="O1698" s="239"/>
      <c r="P1698" s="239"/>
      <c r="Q1698" s="239"/>
      <c r="R1698" s="239"/>
      <c r="S1698" s="239"/>
    </row>
    <row r="1699" spans="5:19" s="293" customFormat="1" x14ac:dyDescent="0.25">
      <c r="F1699" s="196" t="s">
        <v>938</v>
      </c>
      <c r="G1699" s="196" t="s">
        <v>169</v>
      </c>
      <c r="H1699" s="196" t="s">
        <v>480</v>
      </c>
      <c r="I1699" s="66"/>
      <c r="J1699" s="239"/>
      <c r="K1699" s="234"/>
      <c r="L1699" s="239"/>
      <c r="M1699" s="239"/>
      <c r="N1699" s="239"/>
      <c r="O1699" s="239"/>
      <c r="P1699" s="239"/>
      <c r="Q1699" s="239"/>
      <c r="R1699" s="239"/>
      <c r="S1699" s="239"/>
    </row>
    <row r="1700" spans="5:19" s="293" customFormat="1" x14ac:dyDescent="0.25">
      <c r="F1700" s="196" t="s">
        <v>939</v>
      </c>
      <c r="G1700" s="196" t="s">
        <v>169</v>
      </c>
      <c r="H1700" s="196" t="s">
        <v>480</v>
      </c>
      <c r="I1700" s="66"/>
      <c r="J1700" s="239"/>
      <c r="K1700" s="234"/>
      <c r="L1700" s="239"/>
      <c r="M1700" s="239"/>
      <c r="N1700" s="239"/>
      <c r="O1700" s="239"/>
      <c r="P1700" s="239"/>
      <c r="Q1700" s="239"/>
      <c r="R1700" s="239"/>
      <c r="S1700" s="239"/>
    </row>
    <row r="1701" spans="5:19" s="293" customFormat="1" x14ac:dyDescent="0.25">
      <c r="F1701" s="196" t="s">
        <v>940</v>
      </c>
      <c r="G1701" s="196" t="s">
        <v>169</v>
      </c>
      <c r="H1701" s="196" t="s">
        <v>480</v>
      </c>
      <c r="I1701" s="66"/>
      <c r="J1701" s="239"/>
      <c r="K1701" s="234"/>
      <c r="L1701" s="239"/>
      <c r="M1701" s="239"/>
      <c r="N1701" s="239"/>
      <c r="O1701" s="239"/>
      <c r="P1701" s="239"/>
      <c r="Q1701" s="239"/>
      <c r="R1701" s="239"/>
      <c r="S1701" s="239"/>
    </row>
    <row r="1702" spans="5:19" s="293" customFormat="1" x14ac:dyDescent="0.25">
      <c r="F1702" s="93" t="s">
        <v>941</v>
      </c>
      <c r="G1702" s="93" t="s">
        <v>169</v>
      </c>
      <c r="H1702" s="93" t="s">
        <v>480</v>
      </c>
      <c r="I1702" s="145"/>
      <c r="J1702" s="240"/>
      <c r="K1702" s="236"/>
      <c r="L1702" s="240"/>
      <c r="M1702" s="240"/>
      <c r="N1702" s="240"/>
      <c r="O1702" s="240"/>
      <c r="P1702" s="240"/>
      <c r="Q1702" s="240"/>
      <c r="R1702" s="240"/>
      <c r="S1702" s="240"/>
    </row>
    <row r="1703" spans="5:19" s="293" customFormat="1" x14ac:dyDescent="0.25">
      <c r="I1703" s="111"/>
      <c r="J1703" s="237"/>
      <c r="K1703" s="237"/>
      <c r="L1703" s="237"/>
      <c r="M1703" s="237"/>
      <c r="N1703" s="237"/>
      <c r="O1703" s="237"/>
      <c r="P1703" s="237"/>
      <c r="Q1703" s="237"/>
      <c r="R1703" s="237"/>
      <c r="S1703" s="237"/>
    </row>
    <row r="1704" spans="5:19" s="293" customFormat="1" x14ac:dyDescent="0.25">
      <c r="E1704" s="144" t="s">
        <v>204</v>
      </c>
      <c r="I1704" s="111"/>
      <c r="J1704" s="237"/>
      <c r="K1704" s="237"/>
      <c r="L1704" s="237"/>
      <c r="M1704" s="237"/>
      <c r="N1704" s="237"/>
      <c r="O1704" s="237"/>
      <c r="P1704" s="237"/>
      <c r="Q1704" s="237"/>
      <c r="R1704" s="237"/>
      <c r="S1704" s="237"/>
    </row>
    <row r="1705" spans="5:19" s="293" customFormat="1" x14ac:dyDescent="0.25">
      <c r="F1705" s="91" t="s">
        <v>926</v>
      </c>
      <c r="G1705" s="91" t="s">
        <v>170</v>
      </c>
      <c r="H1705" s="91" t="s">
        <v>480</v>
      </c>
      <c r="I1705" s="112"/>
      <c r="J1705" s="238"/>
      <c r="K1705" s="232"/>
      <c r="L1705" s="238"/>
      <c r="M1705" s="238"/>
      <c r="N1705" s="238"/>
      <c r="O1705" s="238"/>
      <c r="P1705" s="238"/>
      <c r="Q1705" s="238"/>
      <c r="R1705" s="238"/>
      <c r="S1705" s="238"/>
    </row>
    <row r="1706" spans="5:19" s="293" customFormat="1" x14ac:dyDescent="0.25">
      <c r="F1706" s="196" t="s">
        <v>927</v>
      </c>
      <c r="G1706" s="196" t="s">
        <v>170</v>
      </c>
      <c r="H1706" s="196" t="s">
        <v>480</v>
      </c>
      <c r="I1706" s="66"/>
      <c r="J1706" s="239"/>
      <c r="K1706" s="234"/>
      <c r="L1706" s="239"/>
      <c r="M1706" s="239"/>
      <c r="N1706" s="239"/>
      <c r="O1706" s="239"/>
      <c r="P1706" s="239"/>
      <c r="Q1706" s="239"/>
      <c r="R1706" s="239"/>
      <c r="S1706" s="239"/>
    </row>
    <row r="1707" spans="5:19" s="293" customFormat="1" x14ac:dyDescent="0.25">
      <c r="F1707" s="196" t="s">
        <v>928</v>
      </c>
      <c r="G1707" s="196" t="s">
        <v>170</v>
      </c>
      <c r="H1707" s="196" t="s">
        <v>480</v>
      </c>
      <c r="I1707" s="66"/>
      <c r="J1707" s="239"/>
      <c r="K1707" s="234"/>
      <c r="L1707" s="239"/>
      <c r="M1707" s="239"/>
      <c r="N1707" s="239"/>
      <c r="O1707" s="239"/>
      <c r="P1707" s="239"/>
      <c r="Q1707" s="239"/>
      <c r="R1707" s="239"/>
      <c r="S1707" s="239"/>
    </row>
    <row r="1708" spans="5:19" s="293" customFormat="1" x14ac:dyDescent="0.25">
      <c r="F1708" s="196" t="s">
        <v>929</v>
      </c>
      <c r="G1708" s="196" t="s">
        <v>170</v>
      </c>
      <c r="H1708" s="196" t="s">
        <v>480</v>
      </c>
      <c r="I1708" s="66"/>
      <c r="J1708" s="239"/>
      <c r="K1708" s="234"/>
      <c r="L1708" s="239"/>
      <c r="M1708" s="239"/>
      <c r="N1708" s="239"/>
      <c r="O1708" s="239"/>
      <c r="P1708" s="239"/>
      <c r="Q1708" s="239"/>
      <c r="R1708" s="239"/>
      <c r="S1708" s="239"/>
    </row>
    <row r="1709" spans="5:19" s="293" customFormat="1" x14ac:dyDescent="0.25">
      <c r="F1709" s="196" t="s">
        <v>930</v>
      </c>
      <c r="G1709" s="196" t="s">
        <v>170</v>
      </c>
      <c r="H1709" s="196" t="s">
        <v>480</v>
      </c>
      <c r="I1709" s="66"/>
      <c r="J1709" s="233">
        <f t="shared" ref="J1709:J1711" si="170">CHOOSE(year_selection, L1709,M1709,N1709,O1709,P1709,Q1709,R1709,S1709)</f>
        <v>2297.6659306892579</v>
      </c>
      <c r="K1709" s="234"/>
      <c r="L1709" s="330"/>
      <c r="M1709" s="330"/>
      <c r="N1709" s="330"/>
      <c r="O1709" s="330">
        <v>2297.6659306892579</v>
      </c>
      <c r="P1709" s="330">
        <v>2307.7837152980278</v>
      </c>
      <c r="Q1709" s="330">
        <v>2307.7837152980278</v>
      </c>
      <c r="R1709" s="330">
        <v>2317.9014999067977</v>
      </c>
      <c r="S1709" s="330">
        <v>2328.0192845155675</v>
      </c>
    </row>
    <row r="1710" spans="5:19" s="293" customFormat="1" x14ac:dyDescent="0.25">
      <c r="F1710" s="196" t="s">
        <v>931</v>
      </c>
      <c r="G1710" s="196" t="s">
        <v>170</v>
      </c>
      <c r="H1710" s="196" t="s">
        <v>480</v>
      </c>
      <c r="I1710" s="66"/>
      <c r="J1710" s="233">
        <f t="shared" si="170"/>
        <v>113.80163973031853</v>
      </c>
      <c r="K1710" s="234"/>
      <c r="L1710" s="330"/>
      <c r="M1710" s="330"/>
      <c r="N1710" s="330"/>
      <c r="O1710" s="330">
        <v>113.80163973031853</v>
      </c>
      <c r="P1710" s="330">
        <v>143.72223056488622</v>
      </c>
      <c r="Q1710" s="330">
        <v>143.72223056488622</v>
      </c>
      <c r="R1710" s="330">
        <v>173.64282139945394</v>
      </c>
      <c r="S1710" s="330">
        <v>203.5634122340216</v>
      </c>
    </row>
    <row r="1711" spans="5:19" s="293" customFormat="1" x14ac:dyDescent="0.25">
      <c r="F1711" s="196" t="s">
        <v>932</v>
      </c>
      <c r="G1711" s="196" t="s">
        <v>170</v>
      </c>
      <c r="H1711" s="196" t="s">
        <v>480</v>
      </c>
      <c r="I1711" s="66"/>
      <c r="J1711" s="233">
        <f t="shared" si="170"/>
        <v>361.45789219585976</v>
      </c>
      <c r="K1711" s="234"/>
      <c r="L1711" s="330"/>
      <c r="M1711" s="330"/>
      <c r="N1711" s="330"/>
      <c r="O1711" s="330">
        <v>361.45789219585976</v>
      </c>
      <c r="P1711" s="330">
        <v>321.53947580885608</v>
      </c>
      <c r="Q1711" s="330">
        <v>321.53947580885608</v>
      </c>
      <c r="R1711" s="330">
        <v>281.62105942185235</v>
      </c>
      <c r="S1711" s="330">
        <v>241.70264303484868</v>
      </c>
    </row>
    <row r="1712" spans="5:19" s="293" customFormat="1" x14ac:dyDescent="0.25">
      <c r="F1712" s="196" t="s">
        <v>933</v>
      </c>
      <c r="G1712" s="196" t="s">
        <v>170</v>
      </c>
      <c r="H1712" s="196" t="s">
        <v>480</v>
      </c>
      <c r="I1712" s="66"/>
      <c r="J1712" s="239"/>
      <c r="K1712" s="234"/>
      <c r="L1712" s="239"/>
      <c r="M1712" s="239"/>
      <c r="N1712" s="239"/>
      <c r="O1712" s="239"/>
      <c r="P1712" s="239"/>
      <c r="Q1712" s="239"/>
      <c r="R1712" s="239"/>
      <c r="S1712" s="239"/>
    </row>
    <row r="1713" spans="3:21" s="293" customFormat="1" x14ac:dyDescent="0.25">
      <c r="F1713" s="196" t="s">
        <v>934</v>
      </c>
      <c r="G1713" s="196" t="s">
        <v>170</v>
      </c>
      <c r="H1713" s="196" t="s">
        <v>480</v>
      </c>
      <c r="I1713" s="66"/>
      <c r="J1713" s="239"/>
      <c r="K1713" s="234"/>
      <c r="L1713" s="239"/>
      <c r="M1713" s="239"/>
      <c r="N1713" s="239"/>
      <c r="O1713" s="239"/>
      <c r="P1713" s="239"/>
      <c r="Q1713" s="239"/>
      <c r="R1713" s="239"/>
      <c r="S1713" s="239"/>
    </row>
    <row r="1714" spans="3:21" s="293" customFormat="1" x14ac:dyDescent="0.25">
      <c r="F1714" s="196" t="s">
        <v>935</v>
      </c>
      <c r="G1714" s="196" t="s">
        <v>170</v>
      </c>
      <c r="H1714" s="196" t="s">
        <v>480</v>
      </c>
      <c r="I1714" s="66"/>
      <c r="J1714" s="239"/>
      <c r="K1714" s="234"/>
      <c r="L1714" s="239"/>
      <c r="M1714" s="239"/>
      <c r="N1714" s="239"/>
      <c r="O1714" s="239"/>
      <c r="P1714" s="239"/>
      <c r="Q1714" s="239"/>
      <c r="R1714" s="239"/>
      <c r="S1714" s="239"/>
    </row>
    <row r="1715" spans="3:21" s="293" customFormat="1" x14ac:dyDescent="0.25">
      <c r="F1715" s="196" t="s">
        <v>936</v>
      </c>
      <c r="G1715" s="196" t="s">
        <v>170</v>
      </c>
      <c r="H1715" s="196" t="s">
        <v>480</v>
      </c>
      <c r="I1715" s="66"/>
      <c r="J1715" s="239"/>
      <c r="K1715" s="234"/>
      <c r="L1715" s="239"/>
      <c r="M1715" s="239"/>
      <c r="N1715" s="239"/>
      <c r="O1715" s="239"/>
      <c r="P1715" s="239"/>
      <c r="Q1715" s="239"/>
      <c r="R1715" s="239"/>
      <c r="S1715" s="239"/>
    </row>
    <row r="1716" spans="3:21" s="293" customFormat="1" x14ac:dyDescent="0.25">
      <c r="F1716" s="196" t="s">
        <v>937</v>
      </c>
      <c r="G1716" s="196" t="s">
        <v>170</v>
      </c>
      <c r="H1716" s="196" t="s">
        <v>480</v>
      </c>
      <c r="I1716" s="66"/>
      <c r="J1716" s="239"/>
      <c r="K1716" s="234"/>
      <c r="L1716" s="239"/>
      <c r="M1716" s="239"/>
      <c r="N1716" s="239"/>
      <c r="O1716" s="239"/>
      <c r="P1716" s="239"/>
      <c r="Q1716" s="239"/>
      <c r="R1716" s="239"/>
      <c r="S1716" s="239"/>
    </row>
    <row r="1717" spans="3:21" s="293" customFormat="1" x14ac:dyDescent="0.25">
      <c r="F1717" s="196" t="s">
        <v>938</v>
      </c>
      <c r="G1717" s="196" t="s">
        <v>170</v>
      </c>
      <c r="H1717" s="196" t="s">
        <v>480</v>
      </c>
      <c r="I1717" s="66"/>
      <c r="J1717" s="239"/>
      <c r="K1717" s="234"/>
      <c r="L1717" s="239"/>
      <c r="M1717" s="239"/>
      <c r="N1717" s="239"/>
      <c r="O1717" s="239"/>
      <c r="P1717" s="239"/>
      <c r="Q1717" s="239"/>
      <c r="R1717" s="239"/>
      <c r="S1717" s="239"/>
    </row>
    <row r="1718" spans="3:21" s="293" customFormat="1" x14ac:dyDescent="0.25">
      <c r="F1718" s="196" t="s">
        <v>939</v>
      </c>
      <c r="G1718" s="196" t="s">
        <v>170</v>
      </c>
      <c r="H1718" s="196" t="s">
        <v>480</v>
      </c>
      <c r="I1718" s="66"/>
      <c r="J1718" s="239"/>
      <c r="K1718" s="234"/>
      <c r="L1718" s="239"/>
      <c r="M1718" s="239"/>
      <c r="N1718" s="239"/>
      <c r="O1718" s="239"/>
      <c r="P1718" s="239"/>
      <c r="Q1718" s="239"/>
      <c r="R1718" s="239"/>
      <c r="S1718" s="239"/>
    </row>
    <row r="1719" spans="3:21" s="293" customFormat="1" x14ac:dyDescent="0.25">
      <c r="F1719" s="196" t="s">
        <v>940</v>
      </c>
      <c r="G1719" s="196" t="s">
        <v>170</v>
      </c>
      <c r="H1719" s="196" t="s">
        <v>480</v>
      </c>
      <c r="I1719" s="66"/>
      <c r="J1719" s="239"/>
      <c r="K1719" s="234"/>
      <c r="L1719" s="239"/>
      <c r="M1719" s="239"/>
      <c r="N1719" s="239"/>
      <c r="O1719" s="239"/>
      <c r="P1719" s="239"/>
      <c r="Q1719" s="239"/>
      <c r="R1719" s="239"/>
      <c r="S1719" s="239"/>
    </row>
    <row r="1720" spans="3:21" s="293" customFormat="1" x14ac:dyDescent="0.25">
      <c r="F1720" s="93" t="s">
        <v>941</v>
      </c>
      <c r="G1720" s="93" t="s">
        <v>170</v>
      </c>
      <c r="H1720" s="93" t="s">
        <v>480</v>
      </c>
      <c r="I1720" s="145"/>
      <c r="J1720" s="240"/>
      <c r="K1720" s="236"/>
      <c r="L1720" s="240"/>
      <c r="M1720" s="240"/>
      <c r="N1720" s="240"/>
      <c r="O1720" s="240"/>
      <c r="P1720" s="240"/>
      <c r="Q1720" s="240"/>
      <c r="R1720" s="240"/>
      <c r="S1720" s="240"/>
    </row>
    <row r="1721" spans="3:21" s="293" customFormat="1" x14ac:dyDescent="0.25">
      <c r="I1721" s="111"/>
      <c r="J1721" s="111"/>
      <c r="K1721" s="111"/>
      <c r="L1721" s="111"/>
      <c r="M1721" s="111"/>
      <c r="N1721" s="111"/>
      <c r="O1721" s="111"/>
      <c r="P1721" s="111"/>
      <c r="Q1721" s="111"/>
      <c r="R1721" s="111"/>
      <c r="S1721" s="111"/>
    </row>
    <row r="1722" spans="3:21" s="293" customFormat="1" x14ac:dyDescent="0.25">
      <c r="C1722" s="7" t="str">
        <f ca="1">INDEX('Version control'!$H$35:$H$61,MATCH($A$1,'Version control'!$F$35:$F$61,0),1)&amp;"-P: LDNO HV volumes - Residual band 3"</f>
        <v>Input 501-P: LDNO HV volumes - Residual band 3</v>
      </c>
      <c r="D1722" s="7"/>
      <c r="E1722" s="7"/>
      <c r="F1722" s="7"/>
      <c r="G1722" s="7"/>
      <c r="H1722" s="7"/>
      <c r="I1722" s="171"/>
      <c r="J1722" s="242"/>
      <c r="K1722" s="242"/>
      <c r="L1722" s="242"/>
      <c r="M1722" s="242"/>
      <c r="N1722" s="242"/>
      <c r="O1722" s="242"/>
      <c r="P1722" s="242"/>
      <c r="Q1722" s="242"/>
      <c r="R1722" s="242"/>
      <c r="S1722" s="242"/>
      <c r="T1722" s="7"/>
      <c r="U1722" s="7"/>
    </row>
    <row r="1723" spans="3:21" s="293" customFormat="1" x14ac:dyDescent="0.25">
      <c r="D1723" s="96"/>
      <c r="I1723" s="111"/>
    </row>
    <row r="1724" spans="3:21" s="293" customFormat="1" x14ac:dyDescent="0.25">
      <c r="E1724" s="144" t="s">
        <v>199</v>
      </c>
      <c r="I1724" s="111" t="s">
        <v>359</v>
      </c>
      <c r="J1724" s="237"/>
      <c r="K1724" s="237"/>
      <c r="L1724" s="237"/>
      <c r="M1724" s="237"/>
      <c r="N1724" s="237"/>
      <c r="O1724" s="237"/>
      <c r="P1724" s="237"/>
      <c r="Q1724" s="237"/>
      <c r="R1724" s="237"/>
      <c r="S1724" s="237"/>
      <c r="U1724" s="293" t="s">
        <v>692</v>
      </c>
    </row>
    <row r="1725" spans="3:21" s="293" customFormat="1" x14ac:dyDescent="0.25">
      <c r="F1725" s="91" t="s">
        <v>926</v>
      </c>
      <c r="G1725" s="91" t="s">
        <v>120</v>
      </c>
      <c r="H1725" s="91" t="s">
        <v>480</v>
      </c>
      <c r="I1725" s="112"/>
      <c r="J1725" s="238"/>
      <c r="K1725" s="232"/>
      <c r="L1725" s="238"/>
      <c r="M1725" s="238"/>
      <c r="N1725" s="238"/>
      <c r="O1725" s="238"/>
      <c r="P1725" s="238"/>
      <c r="Q1725" s="238"/>
      <c r="R1725" s="238"/>
      <c r="S1725" s="238"/>
    </row>
    <row r="1726" spans="3:21" s="293" customFormat="1" x14ac:dyDescent="0.25">
      <c r="F1726" s="196" t="s">
        <v>927</v>
      </c>
      <c r="G1726" s="196" t="s">
        <v>120</v>
      </c>
      <c r="H1726" s="196" t="s">
        <v>480</v>
      </c>
      <c r="I1726" s="66"/>
      <c r="J1726" s="239"/>
      <c r="K1726" s="234"/>
      <c r="L1726" s="239"/>
      <c r="M1726" s="239"/>
      <c r="N1726" s="239"/>
      <c r="O1726" s="239"/>
      <c r="P1726" s="239"/>
      <c r="Q1726" s="239"/>
      <c r="R1726" s="239"/>
      <c r="S1726" s="239"/>
    </row>
    <row r="1727" spans="3:21" s="293" customFormat="1" x14ac:dyDescent="0.25">
      <c r="F1727" s="196" t="s">
        <v>928</v>
      </c>
      <c r="G1727" s="196" t="s">
        <v>120</v>
      </c>
      <c r="H1727" s="196" t="s">
        <v>480</v>
      </c>
      <c r="I1727" s="66"/>
      <c r="J1727" s="233">
        <f t="shared" ref="J1727" si="171">CHOOSE(year_selection, L1727,M1727,N1727,O1727,P1727,Q1727,R1727,S1727)</f>
        <v>313.86655064559477</v>
      </c>
      <c r="K1727" s="234"/>
      <c r="L1727" s="330"/>
      <c r="M1727" s="330"/>
      <c r="N1727" s="330"/>
      <c r="O1727" s="330">
        <v>313.86655064559477</v>
      </c>
      <c r="P1727" s="330">
        <v>349.96021725961322</v>
      </c>
      <c r="Q1727" s="330">
        <v>386.05388387363155</v>
      </c>
      <c r="R1727" s="330">
        <v>422.14755048764994</v>
      </c>
      <c r="S1727" s="330">
        <v>458.24121710166827</v>
      </c>
    </row>
    <row r="1728" spans="3:21" s="293" customFormat="1" x14ac:dyDescent="0.25">
      <c r="F1728" s="196" t="s">
        <v>929</v>
      </c>
      <c r="G1728" s="196" t="s">
        <v>120</v>
      </c>
      <c r="H1728" s="196" t="s">
        <v>480</v>
      </c>
      <c r="I1728" s="66"/>
      <c r="J1728" s="239"/>
      <c r="K1728" s="234"/>
      <c r="L1728" s="239"/>
      <c r="M1728" s="239"/>
      <c r="N1728" s="239"/>
      <c r="O1728" s="239"/>
      <c r="P1728" s="239"/>
      <c r="Q1728" s="239"/>
      <c r="R1728" s="239"/>
      <c r="S1728" s="239"/>
    </row>
    <row r="1729" spans="5:19" s="293" customFormat="1" x14ac:dyDescent="0.25">
      <c r="F1729" s="196" t="s">
        <v>930</v>
      </c>
      <c r="G1729" s="196" t="s">
        <v>120</v>
      </c>
      <c r="H1729" s="196" t="s">
        <v>480</v>
      </c>
      <c r="I1729" s="66"/>
      <c r="J1729" s="233">
        <f t="shared" ref="J1729:J1731" si="172">CHOOSE(year_selection, L1729,M1729,N1729,O1729,P1729,Q1729,R1729,S1729)</f>
        <v>2007.2494224918353</v>
      </c>
      <c r="K1729" s="234"/>
      <c r="L1729" s="330"/>
      <c r="M1729" s="330"/>
      <c r="N1729" s="330"/>
      <c r="O1729" s="330">
        <v>2007.2494224918353</v>
      </c>
      <c r="P1729" s="330">
        <v>1894.8603215153307</v>
      </c>
      <c r="Q1729" s="330">
        <v>1885.5927019465573</v>
      </c>
      <c r="R1729" s="330">
        <v>1867.4036943809438</v>
      </c>
      <c r="S1729" s="330">
        <v>1849.2146868153307</v>
      </c>
    </row>
    <row r="1730" spans="5:19" s="293" customFormat="1" x14ac:dyDescent="0.25">
      <c r="F1730" s="196" t="s">
        <v>931</v>
      </c>
      <c r="G1730" s="196" t="s">
        <v>120</v>
      </c>
      <c r="H1730" s="196" t="s">
        <v>480</v>
      </c>
      <c r="I1730" s="66"/>
      <c r="J1730" s="233">
        <f t="shared" si="172"/>
        <v>159.77103261868257</v>
      </c>
      <c r="K1730" s="234"/>
      <c r="L1730" s="330"/>
      <c r="M1730" s="330"/>
      <c r="N1730" s="330"/>
      <c r="O1730" s="330">
        <v>159.77103261868257</v>
      </c>
      <c r="P1730" s="330">
        <v>190.11204738369875</v>
      </c>
      <c r="Q1730" s="330">
        <v>229.70289086600698</v>
      </c>
      <c r="R1730" s="330">
        <v>269.29373434831541</v>
      </c>
      <c r="S1730" s="330">
        <v>308.88457783062381</v>
      </c>
    </row>
    <row r="1731" spans="5:19" s="293" customFormat="1" x14ac:dyDescent="0.25">
      <c r="F1731" s="196" t="s">
        <v>932</v>
      </c>
      <c r="G1731" s="196" t="s">
        <v>120</v>
      </c>
      <c r="H1731" s="196" t="s">
        <v>480</v>
      </c>
      <c r="I1731" s="66"/>
      <c r="J1731" s="233">
        <f t="shared" si="172"/>
        <v>593.51122118205615</v>
      </c>
      <c r="K1731" s="234"/>
      <c r="L1731" s="330"/>
      <c r="M1731" s="330"/>
      <c r="N1731" s="330"/>
      <c r="O1731" s="330">
        <v>593.51122118205615</v>
      </c>
      <c r="P1731" s="330">
        <v>593.51122118205615</v>
      </c>
      <c r="Q1731" s="330">
        <v>593.51122118205615</v>
      </c>
      <c r="R1731" s="330">
        <v>593.51122118205615</v>
      </c>
      <c r="S1731" s="330">
        <v>593.51122118205615</v>
      </c>
    </row>
    <row r="1732" spans="5:19" s="293" customFormat="1" x14ac:dyDescent="0.25">
      <c r="F1732" s="196" t="s">
        <v>933</v>
      </c>
      <c r="G1732" s="196" t="s">
        <v>120</v>
      </c>
      <c r="H1732" s="196" t="s">
        <v>480</v>
      </c>
      <c r="I1732" s="66"/>
      <c r="J1732" s="239"/>
      <c r="K1732" s="234"/>
      <c r="L1732" s="239"/>
      <c r="M1732" s="239"/>
      <c r="N1732" s="239"/>
      <c r="O1732" s="239"/>
      <c r="P1732" s="239"/>
      <c r="Q1732" s="239"/>
      <c r="R1732" s="239"/>
      <c r="S1732" s="239"/>
    </row>
    <row r="1733" spans="5:19" s="293" customFormat="1" x14ac:dyDescent="0.25">
      <c r="F1733" s="196" t="s">
        <v>934</v>
      </c>
      <c r="G1733" s="196" t="s">
        <v>120</v>
      </c>
      <c r="H1733" s="196" t="s">
        <v>480</v>
      </c>
      <c r="I1733" s="66"/>
      <c r="J1733" s="239"/>
      <c r="K1733" s="234"/>
      <c r="L1733" s="239"/>
      <c r="M1733" s="239"/>
      <c r="N1733" s="239"/>
      <c r="O1733" s="239"/>
      <c r="P1733" s="239"/>
      <c r="Q1733" s="239"/>
      <c r="R1733" s="239"/>
      <c r="S1733" s="239"/>
    </row>
    <row r="1734" spans="5:19" s="293" customFormat="1" x14ac:dyDescent="0.25">
      <c r="F1734" s="196" t="s">
        <v>935</v>
      </c>
      <c r="G1734" s="196" t="s">
        <v>120</v>
      </c>
      <c r="H1734" s="196" t="s">
        <v>480</v>
      </c>
      <c r="I1734" s="66"/>
      <c r="J1734" s="239"/>
      <c r="K1734" s="234"/>
      <c r="L1734" s="239"/>
      <c r="M1734" s="239"/>
      <c r="N1734" s="239"/>
      <c r="O1734" s="239"/>
      <c r="P1734" s="239"/>
      <c r="Q1734" s="239"/>
      <c r="R1734" s="239"/>
      <c r="S1734" s="239"/>
    </row>
    <row r="1735" spans="5:19" s="293" customFormat="1" x14ac:dyDescent="0.25">
      <c r="F1735" s="196" t="s">
        <v>936</v>
      </c>
      <c r="G1735" s="196" t="s">
        <v>120</v>
      </c>
      <c r="H1735" s="196" t="s">
        <v>480</v>
      </c>
      <c r="I1735" s="66"/>
      <c r="J1735" s="239"/>
      <c r="K1735" s="234"/>
      <c r="L1735" s="239"/>
      <c r="M1735" s="239"/>
      <c r="N1735" s="239"/>
      <c r="O1735" s="239"/>
      <c r="P1735" s="239"/>
      <c r="Q1735" s="239"/>
      <c r="R1735" s="239"/>
      <c r="S1735" s="239"/>
    </row>
    <row r="1736" spans="5:19" s="293" customFormat="1" x14ac:dyDescent="0.25">
      <c r="F1736" s="196" t="s">
        <v>937</v>
      </c>
      <c r="G1736" s="196" t="s">
        <v>120</v>
      </c>
      <c r="H1736" s="196" t="s">
        <v>480</v>
      </c>
      <c r="I1736" s="66"/>
      <c r="J1736" s="239"/>
      <c r="K1736" s="234"/>
      <c r="L1736" s="239"/>
      <c r="M1736" s="239"/>
      <c r="N1736" s="239"/>
      <c r="O1736" s="239"/>
      <c r="P1736" s="239"/>
      <c r="Q1736" s="239"/>
      <c r="R1736" s="239"/>
      <c r="S1736" s="239"/>
    </row>
    <row r="1737" spans="5:19" s="293" customFormat="1" x14ac:dyDescent="0.25">
      <c r="F1737" s="196" t="s">
        <v>938</v>
      </c>
      <c r="G1737" s="196" t="s">
        <v>120</v>
      </c>
      <c r="H1737" s="196" t="s">
        <v>480</v>
      </c>
      <c r="I1737" s="66"/>
      <c r="J1737" s="239"/>
      <c r="K1737" s="234"/>
      <c r="L1737" s="239"/>
      <c r="M1737" s="239"/>
      <c r="N1737" s="239"/>
      <c r="O1737" s="239"/>
      <c r="P1737" s="239"/>
      <c r="Q1737" s="239"/>
      <c r="R1737" s="239"/>
      <c r="S1737" s="239"/>
    </row>
    <row r="1738" spans="5:19" s="293" customFormat="1" x14ac:dyDescent="0.25">
      <c r="F1738" s="196" t="s">
        <v>939</v>
      </c>
      <c r="G1738" s="196" t="s">
        <v>120</v>
      </c>
      <c r="H1738" s="196" t="s">
        <v>480</v>
      </c>
      <c r="I1738" s="66"/>
      <c r="J1738" s="239"/>
      <c r="K1738" s="234"/>
      <c r="L1738" s="239"/>
      <c r="M1738" s="239"/>
      <c r="N1738" s="239"/>
      <c r="O1738" s="239"/>
      <c r="P1738" s="239"/>
      <c r="Q1738" s="239"/>
      <c r="R1738" s="239"/>
      <c r="S1738" s="239"/>
    </row>
    <row r="1739" spans="5:19" s="293" customFormat="1" x14ac:dyDescent="0.25">
      <c r="F1739" s="196" t="s">
        <v>940</v>
      </c>
      <c r="G1739" s="196" t="s">
        <v>120</v>
      </c>
      <c r="H1739" s="196" t="s">
        <v>480</v>
      </c>
      <c r="I1739" s="66"/>
      <c r="J1739" s="239"/>
      <c r="K1739" s="234"/>
      <c r="L1739" s="239"/>
      <c r="M1739" s="239"/>
      <c r="N1739" s="239"/>
      <c r="O1739" s="239"/>
      <c r="P1739" s="239"/>
      <c r="Q1739" s="239"/>
      <c r="R1739" s="239"/>
      <c r="S1739" s="239"/>
    </row>
    <row r="1740" spans="5:19" s="293" customFormat="1" x14ac:dyDescent="0.25">
      <c r="F1740" s="93" t="s">
        <v>941</v>
      </c>
      <c r="G1740" s="93" t="s">
        <v>120</v>
      </c>
      <c r="H1740" s="93" t="s">
        <v>480</v>
      </c>
      <c r="I1740" s="145"/>
      <c r="J1740" s="240"/>
      <c r="K1740" s="236"/>
      <c r="L1740" s="240"/>
      <c r="M1740" s="240"/>
      <c r="N1740" s="240"/>
      <c r="O1740" s="240"/>
      <c r="P1740" s="240"/>
      <c r="Q1740" s="240"/>
      <c r="R1740" s="240"/>
      <c r="S1740" s="240"/>
    </row>
    <row r="1741" spans="5:19" s="293" customFormat="1" x14ac:dyDescent="0.25">
      <c r="I1741" s="111"/>
      <c r="J1741" s="237"/>
      <c r="K1741" s="237"/>
      <c r="L1741" s="237"/>
      <c r="M1741" s="237"/>
      <c r="N1741" s="237"/>
      <c r="O1741" s="237"/>
      <c r="P1741" s="237"/>
      <c r="Q1741" s="237"/>
      <c r="R1741" s="237"/>
      <c r="S1741" s="237"/>
    </row>
    <row r="1742" spans="5:19" s="293" customFormat="1" x14ac:dyDescent="0.25">
      <c r="E1742" s="144" t="s">
        <v>200</v>
      </c>
      <c r="I1742" s="111"/>
      <c r="J1742" s="237"/>
      <c r="K1742" s="237"/>
      <c r="L1742" s="237"/>
      <c r="M1742" s="237"/>
      <c r="N1742" s="237"/>
      <c r="O1742" s="237"/>
      <c r="P1742" s="237"/>
      <c r="Q1742" s="237"/>
      <c r="R1742" s="237"/>
      <c r="S1742" s="237"/>
    </row>
    <row r="1743" spans="5:19" s="293" customFormat="1" x14ac:dyDescent="0.25">
      <c r="F1743" s="91" t="s">
        <v>926</v>
      </c>
      <c r="G1743" s="91" t="s">
        <v>120</v>
      </c>
      <c r="H1743" s="91" t="s">
        <v>480</v>
      </c>
      <c r="I1743" s="112"/>
      <c r="J1743" s="238"/>
      <c r="K1743" s="232"/>
      <c r="L1743" s="238"/>
      <c r="M1743" s="238"/>
      <c r="N1743" s="238"/>
      <c r="O1743" s="238"/>
      <c r="P1743" s="238"/>
      <c r="Q1743" s="238"/>
      <c r="R1743" s="238"/>
      <c r="S1743" s="238"/>
    </row>
    <row r="1744" spans="5:19" s="293" customFormat="1" x14ac:dyDescent="0.25">
      <c r="F1744" s="196" t="s">
        <v>927</v>
      </c>
      <c r="G1744" s="196" t="s">
        <v>120</v>
      </c>
      <c r="H1744" s="196" t="s">
        <v>480</v>
      </c>
      <c r="I1744" s="66"/>
      <c r="J1744" s="239"/>
      <c r="K1744" s="234"/>
      <c r="L1744" s="239"/>
      <c r="M1744" s="239"/>
      <c r="N1744" s="239"/>
      <c r="O1744" s="239"/>
      <c r="P1744" s="239"/>
      <c r="Q1744" s="239"/>
      <c r="R1744" s="239"/>
      <c r="S1744" s="239"/>
    </row>
    <row r="1745" spans="5:19" s="293" customFormat="1" x14ac:dyDescent="0.25">
      <c r="F1745" s="196" t="s">
        <v>928</v>
      </c>
      <c r="G1745" s="196" t="s">
        <v>120</v>
      </c>
      <c r="H1745" s="196" t="s">
        <v>480</v>
      </c>
      <c r="I1745" s="66"/>
      <c r="J1745" s="233">
        <f t="shared" ref="J1745" si="173">CHOOSE(year_selection, L1745,M1745,N1745,O1745,P1745,Q1745,R1745,S1745)</f>
        <v>2164.9519194750847</v>
      </c>
      <c r="K1745" s="234"/>
      <c r="L1745" s="330"/>
      <c r="M1745" s="330"/>
      <c r="N1745" s="330"/>
      <c r="O1745" s="330">
        <v>2164.9519194750847</v>
      </c>
      <c r="P1745" s="330">
        <v>2426.8934632393916</v>
      </c>
      <c r="Q1745" s="330">
        <v>2685.7268187798263</v>
      </c>
      <c r="R1745" s="330">
        <v>2943.2474825166541</v>
      </c>
      <c r="S1745" s="330">
        <v>3200.7681462534824</v>
      </c>
    </row>
    <row r="1746" spans="5:19" s="293" customFormat="1" x14ac:dyDescent="0.25">
      <c r="F1746" s="196" t="s">
        <v>929</v>
      </c>
      <c r="G1746" s="196" t="s">
        <v>120</v>
      </c>
      <c r="H1746" s="196" t="s">
        <v>480</v>
      </c>
      <c r="I1746" s="66"/>
      <c r="J1746" s="239"/>
      <c r="K1746" s="234"/>
      <c r="L1746" s="239"/>
      <c r="M1746" s="239"/>
      <c r="N1746" s="239"/>
      <c r="O1746" s="239"/>
      <c r="P1746" s="239"/>
      <c r="Q1746" s="239"/>
      <c r="R1746" s="239"/>
      <c r="S1746" s="239"/>
    </row>
    <row r="1747" spans="5:19" s="293" customFormat="1" x14ac:dyDescent="0.25">
      <c r="F1747" s="196" t="s">
        <v>930</v>
      </c>
      <c r="G1747" s="196" t="s">
        <v>120</v>
      </c>
      <c r="H1747" s="196" t="s">
        <v>480</v>
      </c>
      <c r="I1747" s="66"/>
      <c r="J1747" s="233">
        <f t="shared" ref="J1747:J1749" si="174">CHOOSE(year_selection, L1747,M1747,N1747,O1747,P1747,Q1747,R1747,S1747)</f>
        <v>10792.393444470463</v>
      </c>
      <c r="K1747" s="234"/>
      <c r="L1747" s="330"/>
      <c r="M1747" s="330"/>
      <c r="N1747" s="330"/>
      <c r="O1747" s="330">
        <v>10792.393444470463</v>
      </c>
      <c r="P1747" s="330">
        <v>10123.209275702857</v>
      </c>
      <c r="Q1747" s="330">
        <v>10026.15641597021</v>
      </c>
      <c r="R1747" s="330">
        <v>9888.6317008205169</v>
      </c>
      <c r="S1747" s="330">
        <v>9751.1069856708236</v>
      </c>
    </row>
    <row r="1748" spans="5:19" s="293" customFormat="1" x14ac:dyDescent="0.25">
      <c r="F1748" s="196" t="s">
        <v>931</v>
      </c>
      <c r="G1748" s="196" t="s">
        <v>120</v>
      </c>
      <c r="H1748" s="196" t="s">
        <v>480</v>
      </c>
      <c r="I1748" s="66"/>
      <c r="J1748" s="233">
        <f t="shared" si="174"/>
        <v>907.17716929474977</v>
      </c>
      <c r="K1748" s="234"/>
      <c r="L1748" s="330"/>
      <c r="M1748" s="330"/>
      <c r="N1748" s="330"/>
      <c r="O1748" s="330">
        <v>907.17716929474977</v>
      </c>
      <c r="P1748" s="330">
        <v>1079.3588084265698</v>
      </c>
      <c r="Q1748" s="330">
        <v>1304.0608155793022</v>
      </c>
      <c r="R1748" s="330">
        <v>1528.7628227320347</v>
      </c>
      <c r="S1748" s="330">
        <v>1753.4648298847669</v>
      </c>
    </row>
    <row r="1749" spans="5:19" s="293" customFormat="1" x14ac:dyDescent="0.25">
      <c r="F1749" s="196" t="s">
        <v>932</v>
      </c>
      <c r="G1749" s="196" t="s">
        <v>120</v>
      </c>
      <c r="H1749" s="196" t="s">
        <v>480</v>
      </c>
      <c r="I1749" s="66"/>
      <c r="J1749" s="233">
        <f t="shared" si="174"/>
        <v>2463.5886245228921</v>
      </c>
      <c r="K1749" s="234"/>
      <c r="L1749" s="330"/>
      <c r="M1749" s="330"/>
      <c r="N1749" s="330"/>
      <c r="O1749" s="330">
        <v>2463.5886245228921</v>
      </c>
      <c r="P1749" s="330">
        <v>2168.2395540773191</v>
      </c>
      <c r="Q1749" s="330">
        <v>1872.8904836317463</v>
      </c>
      <c r="R1749" s="330">
        <v>1872.8904836317463</v>
      </c>
      <c r="S1749" s="330">
        <v>1872.8904836317463</v>
      </c>
    </row>
    <row r="1750" spans="5:19" s="293" customFormat="1" x14ac:dyDescent="0.25">
      <c r="F1750" s="196" t="s">
        <v>933</v>
      </c>
      <c r="G1750" s="196" t="s">
        <v>120</v>
      </c>
      <c r="H1750" s="196" t="s">
        <v>480</v>
      </c>
      <c r="I1750" s="66"/>
      <c r="J1750" s="239"/>
      <c r="K1750" s="234"/>
      <c r="L1750" s="239"/>
      <c r="M1750" s="239"/>
      <c r="N1750" s="239"/>
      <c r="O1750" s="239"/>
      <c r="P1750" s="239"/>
      <c r="Q1750" s="239"/>
      <c r="R1750" s="239"/>
      <c r="S1750" s="239"/>
    </row>
    <row r="1751" spans="5:19" s="293" customFormat="1" x14ac:dyDescent="0.25">
      <c r="F1751" s="196" t="s">
        <v>934</v>
      </c>
      <c r="G1751" s="196" t="s">
        <v>120</v>
      </c>
      <c r="H1751" s="196" t="s">
        <v>480</v>
      </c>
      <c r="I1751" s="66"/>
      <c r="J1751" s="239"/>
      <c r="K1751" s="234"/>
      <c r="L1751" s="239"/>
      <c r="M1751" s="239"/>
      <c r="N1751" s="239"/>
      <c r="O1751" s="239"/>
      <c r="P1751" s="239"/>
      <c r="Q1751" s="239"/>
      <c r="R1751" s="239"/>
      <c r="S1751" s="239"/>
    </row>
    <row r="1752" spans="5:19" s="293" customFormat="1" x14ac:dyDescent="0.25">
      <c r="F1752" s="196" t="s">
        <v>935</v>
      </c>
      <c r="G1752" s="196" t="s">
        <v>120</v>
      </c>
      <c r="H1752" s="196" t="s">
        <v>480</v>
      </c>
      <c r="I1752" s="66"/>
      <c r="J1752" s="239"/>
      <c r="K1752" s="234"/>
      <c r="L1752" s="239"/>
      <c r="M1752" s="239"/>
      <c r="N1752" s="239"/>
      <c r="O1752" s="239"/>
      <c r="P1752" s="239"/>
      <c r="Q1752" s="239"/>
      <c r="R1752" s="239"/>
      <c r="S1752" s="239"/>
    </row>
    <row r="1753" spans="5:19" s="293" customFormat="1" x14ac:dyDescent="0.25">
      <c r="F1753" s="196" t="s">
        <v>936</v>
      </c>
      <c r="G1753" s="196" t="s">
        <v>120</v>
      </c>
      <c r="H1753" s="196" t="s">
        <v>480</v>
      </c>
      <c r="I1753" s="66"/>
      <c r="J1753" s="239"/>
      <c r="K1753" s="234"/>
      <c r="L1753" s="239"/>
      <c r="M1753" s="239"/>
      <c r="N1753" s="239"/>
      <c r="O1753" s="239"/>
      <c r="P1753" s="239"/>
      <c r="Q1753" s="239"/>
      <c r="R1753" s="239"/>
      <c r="S1753" s="239"/>
    </row>
    <row r="1754" spans="5:19" s="293" customFormat="1" x14ac:dyDescent="0.25">
      <c r="F1754" s="196" t="s">
        <v>937</v>
      </c>
      <c r="G1754" s="196" t="s">
        <v>120</v>
      </c>
      <c r="H1754" s="196" t="s">
        <v>480</v>
      </c>
      <c r="I1754" s="66"/>
      <c r="J1754" s="239"/>
      <c r="K1754" s="234"/>
      <c r="L1754" s="239"/>
      <c r="M1754" s="239"/>
      <c r="N1754" s="239"/>
      <c r="O1754" s="239"/>
      <c r="P1754" s="239"/>
      <c r="Q1754" s="239"/>
      <c r="R1754" s="239"/>
      <c r="S1754" s="239"/>
    </row>
    <row r="1755" spans="5:19" s="293" customFormat="1" x14ac:dyDescent="0.25">
      <c r="F1755" s="196" t="s">
        <v>938</v>
      </c>
      <c r="G1755" s="196" t="s">
        <v>120</v>
      </c>
      <c r="H1755" s="196" t="s">
        <v>480</v>
      </c>
      <c r="I1755" s="66"/>
      <c r="J1755" s="239"/>
      <c r="K1755" s="234"/>
      <c r="L1755" s="239"/>
      <c r="M1755" s="239"/>
      <c r="N1755" s="239"/>
      <c r="O1755" s="239"/>
      <c r="P1755" s="239"/>
      <c r="Q1755" s="239"/>
      <c r="R1755" s="239"/>
      <c r="S1755" s="239"/>
    </row>
    <row r="1756" spans="5:19" s="293" customFormat="1" x14ac:dyDescent="0.25">
      <c r="F1756" s="196" t="s">
        <v>939</v>
      </c>
      <c r="G1756" s="196" t="s">
        <v>120</v>
      </c>
      <c r="H1756" s="196" t="s">
        <v>480</v>
      </c>
      <c r="I1756" s="66"/>
      <c r="J1756" s="239"/>
      <c r="K1756" s="234"/>
      <c r="L1756" s="239"/>
      <c r="M1756" s="239"/>
      <c r="N1756" s="239"/>
      <c r="O1756" s="239"/>
      <c r="P1756" s="239"/>
      <c r="Q1756" s="239"/>
      <c r="R1756" s="239"/>
      <c r="S1756" s="239"/>
    </row>
    <row r="1757" spans="5:19" s="293" customFormat="1" x14ac:dyDescent="0.25">
      <c r="F1757" s="196" t="s">
        <v>940</v>
      </c>
      <c r="G1757" s="196" t="s">
        <v>120</v>
      </c>
      <c r="H1757" s="196" t="s">
        <v>480</v>
      </c>
      <c r="I1757" s="66"/>
      <c r="J1757" s="239"/>
      <c r="K1757" s="234"/>
      <c r="L1757" s="239"/>
      <c r="M1757" s="239"/>
      <c r="N1757" s="239"/>
      <c r="O1757" s="239"/>
      <c r="P1757" s="239"/>
      <c r="Q1757" s="239"/>
      <c r="R1757" s="239"/>
      <c r="S1757" s="239"/>
    </row>
    <row r="1758" spans="5:19" s="293" customFormat="1" x14ac:dyDescent="0.25">
      <c r="F1758" s="93" t="s">
        <v>941</v>
      </c>
      <c r="G1758" s="93" t="s">
        <v>120</v>
      </c>
      <c r="H1758" s="93" t="s">
        <v>480</v>
      </c>
      <c r="I1758" s="145"/>
      <c r="J1758" s="240"/>
      <c r="K1758" s="236"/>
      <c r="L1758" s="240"/>
      <c r="M1758" s="240"/>
      <c r="N1758" s="240"/>
      <c r="O1758" s="240"/>
      <c r="P1758" s="240"/>
      <c r="Q1758" s="240"/>
      <c r="R1758" s="240"/>
      <c r="S1758" s="240"/>
    </row>
    <row r="1759" spans="5:19" s="293" customFormat="1" x14ac:dyDescent="0.25">
      <c r="I1759" s="111"/>
      <c r="J1759" s="237"/>
      <c r="K1759" s="237"/>
      <c r="L1759" s="237"/>
      <c r="M1759" s="237"/>
      <c r="N1759" s="237"/>
      <c r="O1759" s="237"/>
      <c r="P1759" s="237"/>
      <c r="Q1759" s="237"/>
      <c r="R1759" s="237"/>
      <c r="S1759" s="237"/>
    </row>
    <row r="1760" spans="5:19" s="293" customFormat="1" x14ac:dyDescent="0.25">
      <c r="E1760" s="144" t="s">
        <v>201</v>
      </c>
      <c r="I1760" s="111"/>
      <c r="J1760" s="237"/>
      <c r="K1760" s="237"/>
      <c r="L1760" s="237"/>
      <c r="M1760" s="237"/>
      <c r="N1760" s="237"/>
      <c r="O1760" s="237"/>
      <c r="P1760" s="237"/>
      <c r="Q1760" s="237"/>
      <c r="R1760" s="237"/>
      <c r="S1760" s="237"/>
    </row>
    <row r="1761" spans="6:19" s="293" customFormat="1" x14ac:dyDescent="0.25">
      <c r="F1761" s="91" t="s">
        <v>926</v>
      </c>
      <c r="G1761" s="91" t="s">
        <v>120</v>
      </c>
      <c r="H1761" s="91" t="s">
        <v>480</v>
      </c>
      <c r="I1761" s="112"/>
      <c r="J1761" s="238"/>
      <c r="K1761" s="232"/>
      <c r="L1761" s="238"/>
      <c r="M1761" s="238"/>
      <c r="N1761" s="238"/>
      <c r="O1761" s="238"/>
      <c r="P1761" s="238"/>
      <c r="Q1761" s="238"/>
      <c r="R1761" s="238"/>
      <c r="S1761" s="238"/>
    </row>
    <row r="1762" spans="6:19" s="293" customFormat="1" x14ac:dyDescent="0.25">
      <c r="F1762" s="196" t="s">
        <v>927</v>
      </c>
      <c r="G1762" s="196" t="s">
        <v>120</v>
      </c>
      <c r="H1762" s="196" t="s">
        <v>480</v>
      </c>
      <c r="I1762" s="66"/>
      <c r="J1762" s="239"/>
      <c r="K1762" s="234"/>
      <c r="L1762" s="239"/>
      <c r="M1762" s="239"/>
      <c r="N1762" s="239"/>
      <c r="O1762" s="239"/>
      <c r="P1762" s="239"/>
      <c r="Q1762" s="239"/>
      <c r="R1762" s="239"/>
      <c r="S1762" s="239"/>
    </row>
    <row r="1763" spans="6:19" s="293" customFormat="1" x14ac:dyDescent="0.25">
      <c r="F1763" s="196" t="s">
        <v>928</v>
      </c>
      <c r="G1763" s="196" t="s">
        <v>120</v>
      </c>
      <c r="H1763" s="196" t="s">
        <v>480</v>
      </c>
      <c r="I1763" s="66"/>
      <c r="J1763" s="233">
        <f t="shared" ref="J1763" si="175">CHOOSE(year_selection, L1763,M1763,N1763,O1763,P1763,Q1763,R1763,S1763)</f>
        <v>846.14577014044687</v>
      </c>
      <c r="K1763" s="234"/>
      <c r="L1763" s="330"/>
      <c r="M1763" s="330"/>
      <c r="N1763" s="330"/>
      <c r="O1763" s="330">
        <v>846.14577014044687</v>
      </c>
      <c r="P1763" s="330">
        <v>943.56092820753929</v>
      </c>
      <c r="Q1763" s="330">
        <v>1040.9760862746316</v>
      </c>
      <c r="R1763" s="330">
        <v>1138.3912443417239</v>
      </c>
      <c r="S1763" s="330">
        <v>1235.8064024088162</v>
      </c>
    </row>
    <row r="1764" spans="6:19" s="293" customFormat="1" x14ac:dyDescent="0.25">
      <c r="F1764" s="196" t="s">
        <v>929</v>
      </c>
      <c r="G1764" s="196" t="s">
        <v>120</v>
      </c>
      <c r="H1764" s="196" t="s">
        <v>480</v>
      </c>
      <c r="I1764" s="66"/>
      <c r="J1764" s="239"/>
      <c r="K1764" s="234"/>
      <c r="L1764" s="239"/>
      <c r="M1764" s="239"/>
      <c r="N1764" s="239"/>
      <c r="O1764" s="239"/>
      <c r="P1764" s="239"/>
      <c r="Q1764" s="239"/>
      <c r="R1764" s="239"/>
      <c r="S1764" s="239"/>
    </row>
    <row r="1765" spans="6:19" s="293" customFormat="1" x14ac:dyDescent="0.25">
      <c r="F1765" s="196" t="s">
        <v>930</v>
      </c>
      <c r="G1765" s="196" t="s">
        <v>120</v>
      </c>
      <c r="H1765" s="196" t="s">
        <v>480</v>
      </c>
      <c r="I1765" s="66"/>
      <c r="J1765" s="233">
        <f t="shared" ref="J1765:J1767" si="176">CHOOSE(year_selection, L1765,M1765,N1765,O1765,P1765,Q1765,R1765,S1765)</f>
        <v>5947.6925230980796</v>
      </c>
      <c r="K1765" s="234"/>
      <c r="L1765" s="330"/>
      <c r="M1765" s="330"/>
      <c r="N1765" s="330"/>
      <c r="O1765" s="330">
        <v>5947.6925230980796</v>
      </c>
      <c r="P1765" s="330">
        <v>5721.676920630619</v>
      </c>
      <c r="Q1765" s="330">
        <v>5810.5235174291156</v>
      </c>
      <c r="R1765" s="330">
        <v>5880.7156909150726</v>
      </c>
      <c r="S1765" s="330">
        <v>5950.9078644010306</v>
      </c>
    </row>
    <row r="1766" spans="6:19" s="293" customFormat="1" x14ac:dyDescent="0.25">
      <c r="F1766" s="196" t="s">
        <v>931</v>
      </c>
      <c r="G1766" s="196" t="s">
        <v>120</v>
      </c>
      <c r="H1766" s="196" t="s">
        <v>480</v>
      </c>
      <c r="I1766" s="66"/>
      <c r="J1766" s="233">
        <f t="shared" si="176"/>
        <v>507.16936841570254</v>
      </c>
      <c r="K1766" s="234"/>
      <c r="L1766" s="330"/>
      <c r="M1766" s="330"/>
      <c r="N1766" s="330"/>
      <c r="O1766" s="330">
        <v>507.16936841570254</v>
      </c>
      <c r="P1766" s="330">
        <v>603.41899754758424</v>
      </c>
      <c r="Q1766" s="330">
        <v>729.03083152731722</v>
      </c>
      <c r="R1766" s="330">
        <v>854.64266550705042</v>
      </c>
      <c r="S1766" s="330">
        <v>980.25449948678363</v>
      </c>
    </row>
    <row r="1767" spans="6:19" s="293" customFormat="1" x14ac:dyDescent="0.25">
      <c r="F1767" s="196" t="s">
        <v>932</v>
      </c>
      <c r="G1767" s="196" t="s">
        <v>120</v>
      </c>
      <c r="H1767" s="196" t="s">
        <v>480</v>
      </c>
      <c r="I1767" s="66"/>
      <c r="J1767" s="233">
        <f t="shared" si="176"/>
        <v>1756.7497963874894</v>
      </c>
      <c r="K1767" s="234"/>
      <c r="L1767" s="330"/>
      <c r="M1767" s="330"/>
      <c r="N1767" s="330"/>
      <c r="O1767" s="330">
        <v>1756.7497963874894</v>
      </c>
      <c r="P1767" s="330">
        <v>1520.4705400310304</v>
      </c>
      <c r="Q1767" s="330">
        <v>1284.1912836745721</v>
      </c>
      <c r="R1767" s="330">
        <v>1284.1912836745721</v>
      </c>
      <c r="S1767" s="330">
        <v>1284.1912836745721</v>
      </c>
    </row>
    <row r="1768" spans="6:19" s="293" customFormat="1" x14ac:dyDescent="0.25">
      <c r="F1768" s="196" t="s">
        <v>933</v>
      </c>
      <c r="G1768" s="196" t="s">
        <v>120</v>
      </c>
      <c r="H1768" s="196" t="s">
        <v>480</v>
      </c>
      <c r="I1768" s="66"/>
      <c r="J1768" s="239"/>
      <c r="K1768" s="234"/>
      <c r="L1768" s="239"/>
      <c r="M1768" s="239"/>
      <c r="N1768" s="239"/>
      <c r="O1768" s="239"/>
      <c r="P1768" s="239"/>
      <c r="Q1768" s="239"/>
      <c r="R1768" s="239"/>
      <c r="S1768" s="239"/>
    </row>
    <row r="1769" spans="6:19" s="293" customFormat="1" x14ac:dyDescent="0.25">
      <c r="F1769" s="196" t="s">
        <v>934</v>
      </c>
      <c r="G1769" s="196" t="s">
        <v>120</v>
      </c>
      <c r="H1769" s="196" t="s">
        <v>480</v>
      </c>
      <c r="I1769" s="66"/>
      <c r="J1769" s="239"/>
      <c r="K1769" s="234"/>
      <c r="L1769" s="239"/>
      <c r="M1769" s="239"/>
      <c r="N1769" s="239"/>
      <c r="O1769" s="239"/>
      <c r="P1769" s="239"/>
      <c r="Q1769" s="239"/>
      <c r="R1769" s="239"/>
      <c r="S1769" s="239"/>
    </row>
    <row r="1770" spans="6:19" s="293" customFormat="1" x14ac:dyDescent="0.25">
      <c r="F1770" s="196" t="s">
        <v>935</v>
      </c>
      <c r="G1770" s="196" t="s">
        <v>120</v>
      </c>
      <c r="H1770" s="196" t="s">
        <v>480</v>
      </c>
      <c r="I1770" s="66"/>
      <c r="J1770" s="239"/>
      <c r="K1770" s="234"/>
      <c r="L1770" s="239"/>
      <c r="M1770" s="239"/>
      <c r="N1770" s="239"/>
      <c r="O1770" s="239"/>
      <c r="P1770" s="239"/>
      <c r="Q1770" s="239"/>
      <c r="R1770" s="239"/>
      <c r="S1770" s="239"/>
    </row>
    <row r="1771" spans="6:19" s="293" customFormat="1" x14ac:dyDescent="0.25">
      <c r="F1771" s="196" t="s">
        <v>936</v>
      </c>
      <c r="G1771" s="196" t="s">
        <v>120</v>
      </c>
      <c r="H1771" s="196" t="s">
        <v>480</v>
      </c>
      <c r="I1771" s="66"/>
      <c r="J1771" s="239"/>
      <c r="K1771" s="234"/>
      <c r="L1771" s="239"/>
      <c r="M1771" s="239"/>
      <c r="N1771" s="239"/>
      <c r="O1771" s="239"/>
      <c r="P1771" s="239"/>
      <c r="Q1771" s="239"/>
      <c r="R1771" s="239"/>
      <c r="S1771" s="239"/>
    </row>
    <row r="1772" spans="6:19" s="293" customFormat="1" x14ac:dyDescent="0.25">
      <c r="F1772" s="196" t="s">
        <v>937</v>
      </c>
      <c r="G1772" s="196" t="s">
        <v>120</v>
      </c>
      <c r="H1772" s="196" t="s">
        <v>480</v>
      </c>
      <c r="I1772" s="66"/>
      <c r="J1772" s="239"/>
      <c r="K1772" s="234"/>
      <c r="L1772" s="239"/>
      <c r="M1772" s="239"/>
      <c r="N1772" s="239"/>
      <c r="O1772" s="239"/>
      <c r="P1772" s="239"/>
      <c r="Q1772" s="239"/>
      <c r="R1772" s="239"/>
      <c r="S1772" s="239"/>
    </row>
    <row r="1773" spans="6:19" s="293" customFormat="1" x14ac:dyDescent="0.25">
      <c r="F1773" s="196" t="s">
        <v>938</v>
      </c>
      <c r="G1773" s="196" t="s">
        <v>120</v>
      </c>
      <c r="H1773" s="196" t="s">
        <v>480</v>
      </c>
      <c r="I1773" s="66"/>
      <c r="J1773" s="239"/>
      <c r="K1773" s="234"/>
      <c r="L1773" s="239"/>
      <c r="M1773" s="239"/>
      <c r="N1773" s="239"/>
      <c r="O1773" s="239"/>
      <c r="P1773" s="239"/>
      <c r="Q1773" s="239"/>
      <c r="R1773" s="239"/>
      <c r="S1773" s="239"/>
    </row>
    <row r="1774" spans="6:19" s="293" customFormat="1" x14ac:dyDescent="0.25">
      <c r="F1774" s="196" t="s">
        <v>939</v>
      </c>
      <c r="G1774" s="196" t="s">
        <v>120</v>
      </c>
      <c r="H1774" s="196" t="s">
        <v>480</v>
      </c>
      <c r="I1774" s="66"/>
      <c r="J1774" s="239"/>
      <c r="K1774" s="234"/>
      <c r="L1774" s="239"/>
      <c r="M1774" s="239"/>
      <c r="N1774" s="239"/>
      <c r="O1774" s="239"/>
      <c r="P1774" s="239"/>
      <c r="Q1774" s="239"/>
      <c r="R1774" s="239"/>
      <c r="S1774" s="239"/>
    </row>
    <row r="1775" spans="6:19" s="293" customFormat="1" x14ac:dyDescent="0.25">
      <c r="F1775" s="196" t="s">
        <v>940</v>
      </c>
      <c r="G1775" s="196" t="s">
        <v>120</v>
      </c>
      <c r="H1775" s="196" t="s">
        <v>480</v>
      </c>
      <c r="I1775" s="66"/>
      <c r="J1775" s="239"/>
      <c r="K1775" s="234"/>
      <c r="L1775" s="239"/>
      <c r="M1775" s="239"/>
      <c r="N1775" s="239"/>
      <c r="O1775" s="239"/>
      <c r="P1775" s="239"/>
      <c r="Q1775" s="239"/>
      <c r="R1775" s="239"/>
      <c r="S1775" s="239"/>
    </row>
    <row r="1776" spans="6:19" s="293" customFormat="1" x14ac:dyDescent="0.25">
      <c r="F1776" s="93" t="s">
        <v>941</v>
      </c>
      <c r="G1776" s="93" t="s">
        <v>120</v>
      </c>
      <c r="H1776" s="93" t="s">
        <v>480</v>
      </c>
      <c r="I1776" s="145"/>
      <c r="J1776" s="240"/>
      <c r="K1776" s="236"/>
      <c r="L1776" s="240"/>
      <c r="M1776" s="240"/>
      <c r="N1776" s="240"/>
      <c r="O1776" s="240"/>
      <c r="P1776" s="240"/>
      <c r="Q1776" s="240"/>
      <c r="R1776" s="240"/>
      <c r="S1776" s="240"/>
    </row>
    <row r="1777" spans="5:19" s="293" customFormat="1" x14ac:dyDescent="0.25">
      <c r="I1777" s="111"/>
      <c r="J1777" s="237"/>
      <c r="K1777" s="237"/>
      <c r="L1777" s="237"/>
      <c r="M1777" s="237"/>
      <c r="N1777" s="237"/>
      <c r="O1777" s="237"/>
      <c r="P1777" s="237"/>
      <c r="Q1777" s="237"/>
      <c r="R1777" s="237"/>
      <c r="S1777" s="237"/>
    </row>
    <row r="1778" spans="5:19" s="293" customFormat="1" x14ac:dyDescent="0.25">
      <c r="E1778" s="144" t="s">
        <v>74</v>
      </c>
      <c r="I1778" s="111"/>
      <c r="J1778" s="237"/>
      <c r="K1778" s="237"/>
      <c r="L1778" s="237"/>
      <c r="M1778" s="237"/>
      <c r="N1778" s="237"/>
      <c r="O1778" s="237"/>
      <c r="P1778" s="237"/>
      <c r="Q1778" s="237"/>
      <c r="R1778" s="237"/>
      <c r="S1778" s="237"/>
    </row>
    <row r="1779" spans="5:19" s="293" customFormat="1" x14ac:dyDescent="0.25">
      <c r="F1779" s="91" t="s">
        <v>926</v>
      </c>
      <c r="G1779" s="91" t="s">
        <v>74</v>
      </c>
      <c r="H1779" s="91" t="s">
        <v>480</v>
      </c>
      <c r="I1779" s="112"/>
      <c r="J1779" s="238"/>
      <c r="K1779" s="232"/>
      <c r="L1779" s="238"/>
      <c r="M1779" s="238"/>
      <c r="N1779" s="238"/>
      <c r="O1779" s="238"/>
      <c r="P1779" s="238"/>
      <c r="Q1779" s="238"/>
      <c r="R1779" s="238"/>
      <c r="S1779" s="238"/>
    </row>
    <row r="1780" spans="5:19" s="293" customFormat="1" x14ac:dyDescent="0.25">
      <c r="F1780" s="196" t="s">
        <v>927</v>
      </c>
      <c r="G1780" s="196" t="s">
        <v>74</v>
      </c>
      <c r="H1780" s="196" t="s">
        <v>480</v>
      </c>
      <c r="I1780" s="66"/>
      <c r="J1780" s="239"/>
      <c r="K1780" s="234"/>
      <c r="L1780" s="239"/>
      <c r="M1780" s="239"/>
      <c r="N1780" s="239"/>
      <c r="O1780" s="239"/>
      <c r="P1780" s="239"/>
      <c r="Q1780" s="239"/>
      <c r="R1780" s="239"/>
      <c r="S1780" s="239"/>
    </row>
    <row r="1781" spans="5:19" s="293" customFormat="1" x14ac:dyDescent="0.25">
      <c r="F1781" s="196" t="s">
        <v>928</v>
      </c>
      <c r="G1781" s="196" t="s">
        <v>74</v>
      </c>
      <c r="H1781" s="196" t="s">
        <v>480</v>
      </c>
      <c r="I1781" s="66"/>
      <c r="J1781" s="233">
        <f t="shared" ref="J1781" si="177">CHOOSE(year_selection, L1781,M1781,N1781,O1781,P1781,Q1781,R1781,S1781)</f>
        <v>246.43363288943598</v>
      </c>
      <c r="K1781" s="234"/>
      <c r="L1781" s="330"/>
      <c r="M1781" s="330"/>
      <c r="N1781" s="330"/>
      <c r="O1781" s="330">
        <v>246.43363288943598</v>
      </c>
      <c r="P1781" s="330">
        <v>274.87804517648459</v>
      </c>
      <c r="Q1781" s="330">
        <v>303.32245746353317</v>
      </c>
      <c r="R1781" s="330">
        <v>331.76686975058169</v>
      </c>
      <c r="S1781" s="330">
        <v>360.21128203763021</v>
      </c>
    </row>
    <row r="1782" spans="5:19" s="293" customFormat="1" x14ac:dyDescent="0.25">
      <c r="F1782" s="196" t="s">
        <v>929</v>
      </c>
      <c r="G1782" s="196" t="s">
        <v>74</v>
      </c>
      <c r="H1782" s="196" t="s">
        <v>480</v>
      </c>
      <c r="I1782" s="66"/>
      <c r="J1782" s="239"/>
      <c r="K1782" s="234"/>
      <c r="L1782" s="239"/>
      <c r="M1782" s="239"/>
      <c r="N1782" s="239"/>
      <c r="O1782" s="239"/>
      <c r="P1782" s="239"/>
      <c r="Q1782" s="239"/>
      <c r="R1782" s="239"/>
      <c r="S1782" s="239"/>
    </row>
    <row r="1783" spans="5:19" s="293" customFormat="1" x14ac:dyDescent="0.25">
      <c r="F1783" s="196" t="s">
        <v>930</v>
      </c>
      <c r="G1783" s="196" t="s">
        <v>74</v>
      </c>
      <c r="H1783" s="196" t="s">
        <v>480</v>
      </c>
      <c r="I1783" s="66"/>
      <c r="J1783" s="233">
        <f t="shared" ref="J1783:J1785" si="178">CHOOSE(year_selection, L1783,M1783,N1783,O1783,P1783,Q1783,R1783,S1783)</f>
        <v>79.742083586910155</v>
      </c>
      <c r="K1783" s="234"/>
      <c r="L1783" s="330"/>
      <c r="M1783" s="330"/>
      <c r="N1783" s="330"/>
      <c r="O1783" s="330">
        <v>79.742083586910155</v>
      </c>
      <c r="P1783" s="330">
        <v>82.106044866198488</v>
      </c>
      <c r="Q1783" s="330">
        <v>84.487122395908315</v>
      </c>
      <c r="R1783" s="330">
        <v>86.85108367519662</v>
      </c>
      <c r="S1783" s="330">
        <v>89.215044954484938</v>
      </c>
    </row>
    <row r="1784" spans="5:19" s="293" customFormat="1" x14ac:dyDescent="0.25">
      <c r="F1784" s="196" t="s">
        <v>931</v>
      </c>
      <c r="G1784" s="196" t="s">
        <v>74</v>
      </c>
      <c r="H1784" s="196" t="s">
        <v>480</v>
      </c>
      <c r="I1784" s="66"/>
      <c r="J1784" s="233">
        <f t="shared" si="178"/>
        <v>7.875</v>
      </c>
      <c r="K1784" s="234"/>
      <c r="L1784" s="330"/>
      <c r="M1784" s="330"/>
      <c r="N1784" s="330"/>
      <c r="O1784" s="330">
        <v>7.875</v>
      </c>
      <c r="P1784" s="330">
        <v>9.9519230769230766</v>
      </c>
      <c r="Q1784" s="330">
        <v>12.028846153846153</v>
      </c>
      <c r="R1784" s="330">
        <v>14.10576923076923</v>
      </c>
      <c r="S1784" s="330">
        <v>16.182692307692307</v>
      </c>
    </row>
    <row r="1785" spans="5:19" s="293" customFormat="1" x14ac:dyDescent="0.25">
      <c r="F1785" s="196" t="s">
        <v>932</v>
      </c>
      <c r="G1785" s="196" t="s">
        <v>74</v>
      </c>
      <c r="H1785" s="196" t="s">
        <v>480</v>
      </c>
      <c r="I1785" s="66"/>
      <c r="J1785" s="233">
        <f t="shared" si="178"/>
        <v>1.978724940000361</v>
      </c>
      <c r="K1785" s="234"/>
      <c r="L1785" s="330"/>
      <c r="M1785" s="330"/>
      <c r="N1785" s="330"/>
      <c r="O1785" s="330">
        <v>1.978724940000361</v>
      </c>
      <c r="P1785" s="330">
        <v>1.978724940000361</v>
      </c>
      <c r="Q1785" s="330">
        <v>1.978724940000361</v>
      </c>
      <c r="R1785" s="330">
        <v>1.978724940000361</v>
      </c>
      <c r="S1785" s="330">
        <v>1.978724940000361</v>
      </c>
    </row>
    <row r="1786" spans="5:19" s="293" customFormat="1" x14ac:dyDescent="0.25">
      <c r="F1786" s="196" t="s">
        <v>933</v>
      </c>
      <c r="G1786" s="196" t="s">
        <v>74</v>
      </c>
      <c r="H1786" s="196" t="s">
        <v>480</v>
      </c>
      <c r="I1786" s="66"/>
      <c r="J1786" s="239"/>
      <c r="K1786" s="234"/>
      <c r="L1786" s="239"/>
      <c r="M1786" s="239"/>
      <c r="N1786" s="239"/>
      <c r="O1786" s="239"/>
      <c r="P1786" s="239"/>
      <c r="Q1786" s="239"/>
      <c r="R1786" s="239"/>
      <c r="S1786" s="239"/>
    </row>
    <row r="1787" spans="5:19" s="293" customFormat="1" x14ac:dyDescent="0.25">
      <c r="F1787" s="196" t="s">
        <v>934</v>
      </c>
      <c r="G1787" s="196" t="s">
        <v>74</v>
      </c>
      <c r="H1787" s="196" t="s">
        <v>480</v>
      </c>
      <c r="I1787" s="66"/>
      <c r="J1787" s="239"/>
      <c r="K1787" s="234"/>
      <c r="L1787" s="239"/>
      <c r="M1787" s="239"/>
      <c r="N1787" s="239"/>
      <c r="O1787" s="239"/>
      <c r="P1787" s="239"/>
      <c r="Q1787" s="239"/>
      <c r="R1787" s="239"/>
      <c r="S1787" s="239"/>
    </row>
    <row r="1788" spans="5:19" s="293" customFormat="1" x14ac:dyDescent="0.25">
      <c r="F1788" s="196" t="s">
        <v>935</v>
      </c>
      <c r="G1788" s="196" t="s">
        <v>74</v>
      </c>
      <c r="H1788" s="196" t="s">
        <v>480</v>
      </c>
      <c r="I1788" s="66"/>
      <c r="J1788" s="239"/>
      <c r="K1788" s="234"/>
      <c r="L1788" s="239"/>
      <c r="M1788" s="239"/>
      <c r="N1788" s="239"/>
      <c r="O1788" s="239"/>
      <c r="P1788" s="239"/>
      <c r="Q1788" s="239"/>
      <c r="R1788" s="239"/>
      <c r="S1788" s="239"/>
    </row>
    <row r="1789" spans="5:19" s="293" customFormat="1" x14ac:dyDescent="0.25">
      <c r="F1789" s="196" t="s">
        <v>936</v>
      </c>
      <c r="G1789" s="196" t="s">
        <v>74</v>
      </c>
      <c r="H1789" s="196" t="s">
        <v>480</v>
      </c>
      <c r="I1789" s="66"/>
      <c r="J1789" s="239"/>
      <c r="K1789" s="234"/>
      <c r="L1789" s="239"/>
      <c r="M1789" s="239"/>
      <c r="N1789" s="239"/>
      <c r="O1789" s="239"/>
      <c r="P1789" s="239"/>
      <c r="Q1789" s="239"/>
      <c r="R1789" s="239"/>
      <c r="S1789" s="239"/>
    </row>
    <row r="1790" spans="5:19" s="293" customFormat="1" x14ac:dyDescent="0.25">
      <c r="F1790" s="196" t="s">
        <v>937</v>
      </c>
      <c r="G1790" s="196" t="s">
        <v>74</v>
      </c>
      <c r="H1790" s="196" t="s">
        <v>480</v>
      </c>
      <c r="I1790" s="66"/>
      <c r="J1790" s="239"/>
      <c r="K1790" s="234"/>
      <c r="L1790" s="239"/>
      <c r="M1790" s="239"/>
      <c r="N1790" s="239"/>
      <c r="O1790" s="239"/>
      <c r="P1790" s="239"/>
      <c r="Q1790" s="239"/>
      <c r="R1790" s="239"/>
      <c r="S1790" s="239"/>
    </row>
    <row r="1791" spans="5:19" s="293" customFormat="1" x14ac:dyDescent="0.25">
      <c r="F1791" s="196" t="s">
        <v>938</v>
      </c>
      <c r="G1791" s="196" t="s">
        <v>74</v>
      </c>
      <c r="H1791" s="196" t="s">
        <v>480</v>
      </c>
      <c r="I1791" s="66"/>
      <c r="J1791" s="239"/>
      <c r="K1791" s="234"/>
      <c r="L1791" s="239"/>
      <c r="M1791" s="239"/>
      <c r="N1791" s="239"/>
      <c r="O1791" s="239"/>
      <c r="P1791" s="239"/>
      <c r="Q1791" s="239"/>
      <c r="R1791" s="239"/>
      <c r="S1791" s="239"/>
    </row>
    <row r="1792" spans="5:19" s="293" customFormat="1" x14ac:dyDescent="0.25">
      <c r="F1792" s="196" t="s">
        <v>939</v>
      </c>
      <c r="G1792" s="196" t="s">
        <v>74</v>
      </c>
      <c r="H1792" s="196" t="s">
        <v>480</v>
      </c>
      <c r="I1792" s="66"/>
      <c r="J1792" s="239"/>
      <c r="K1792" s="234"/>
      <c r="L1792" s="239"/>
      <c r="M1792" s="239"/>
      <c r="N1792" s="239"/>
      <c r="O1792" s="239"/>
      <c r="P1792" s="239"/>
      <c r="Q1792" s="239"/>
      <c r="R1792" s="239"/>
      <c r="S1792" s="239"/>
    </row>
    <row r="1793" spans="5:19" s="293" customFormat="1" x14ac:dyDescent="0.25">
      <c r="F1793" s="196" t="s">
        <v>940</v>
      </c>
      <c r="G1793" s="196" t="s">
        <v>74</v>
      </c>
      <c r="H1793" s="196" t="s">
        <v>480</v>
      </c>
      <c r="I1793" s="66"/>
      <c r="J1793" s="239"/>
      <c r="K1793" s="234"/>
      <c r="L1793" s="239"/>
      <c r="M1793" s="239"/>
      <c r="N1793" s="239"/>
      <c r="O1793" s="239"/>
      <c r="P1793" s="239"/>
      <c r="Q1793" s="239"/>
      <c r="R1793" s="239"/>
      <c r="S1793" s="239"/>
    </row>
    <row r="1794" spans="5:19" s="293" customFormat="1" x14ac:dyDescent="0.25">
      <c r="F1794" s="93" t="s">
        <v>941</v>
      </c>
      <c r="G1794" s="93" t="s">
        <v>74</v>
      </c>
      <c r="H1794" s="93" t="s">
        <v>480</v>
      </c>
      <c r="I1794" s="145"/>
      <c r="J1794" s="240"/>
      <c r="K1794" s="236"/>
      <c r="L1794" s="240"/>
      <c r="M1794" s="240"/>
      <c r="N1794" s="240"/>
      <c r="O1794" s="240"/>
      <c r="P1794" s="240"/>
      <c r="Q1794" s="240"/>
      <c r="R1794" s="240"/>
      <c r="S1794" s="240"/>
    </row>
    <row r="1795" spans="5:19" s="293" customFormat="1" x14ac:dyDescent="0.25">
      <c r="I1795" s="111"/>
      <c r="J1795" s="237"/>
      <c r="K1795" s="237"/>
      <c r="L1795" s="237"/>
      <c r="M1795" s="237"/>
      <c r="N1795" s="237"/>
      <c r="O1795" s="237"/>
      <c r="P1795" s="237"/>
      <c r="Q1795" s="237"/>
      <c r="R1795" s="237"/>
      <c r="S1795" s="237"/>
    </row>
    <row r="1796" spans="5:19" s="293" customFormat="1" x14ac:dyDescent="0.25">
      <c r="E1796" s="144" t="s">
        <v>202</v>
      </c>
      <c r="I1796" s="111"/>
      <c r="J1796" s="237"/>
      <c r="K1796" s="237"/>
      <c r="L1796" s="237"/>
      <c r="M1796" s="237"/>
      <c r="N1796" s="237"/>
      <c r="O1796" s="237"/>
      <c r="P1796" s="237"/>
      <c r="Q1796" s="237"/>
      <c r="R1796" s="237"/>
      <c r="S1796" s="237"/>
    </row>
    <row r="1797" spans="5:19" s="293" customFormat="1" x14ac:dyDescent="0.25">
      <c r="F1797" s="91" t="s">
        <v>926</v>
      </c>
      <c r="G1797" s="91" t="s">
        <v>169</v>
      </c>
      <c r="H1797" s="91" t="s">
        <v>480</v>
      </c>
      <c r="I1797" s="112"/>
      <c r="J1797" s="238"/>
      <c r="K1797" s="232"/>
      <c r="L1797" s="238"/>
      <c r="M1797" s="238"/>
      <c r="N1797" s="238"/>
      <c r="O1797" s="238"/>
      <c r="P1797" s="238"/>
      <c r="Q1797" s="238"/>
      <c r="R1797" s="238"/>
      <c r="S1797" s="238"/>
    </row>
    <row r="1798" spans="5:19" s="293" customFormat="1" x14ac:dyDescent="0.25">
      <c r="F1798" s="196" t="s">
        <v>927</v>
      </c>
      <c r="G1798" s="196" t="s">
        <v>169</v>
      </c>
      <c r="H1798" s="196" t="s">
        <v>480</v>
      </c>
      <c r="I1798" s="66"/>
      <c r="J1798" s="239"/>
      <c r="K1798" s="234"/>
      <c r="L1798" s="239"/>
      <c r="M1798" s="239"/>
      <c r="N1798" s="239"/>
      <c r="O1798" s="239"/>
      <c r="P1798" s="239"/>
      <c r="Q1798" s="239"/>
      <c r="R1798" s="239"/>
      <c r="S1798" s="239"/>
    </row>
    <row r="1799" spans="5:19" s="293" customFormat="1" x14ac:dyDescent="0.25">
      <c r="F1799" s="196" t="s">
        <v>928</v>
      </c>
      <c r="G1799" s="196" t="s">
        <v>169</v>
      </c>
      <c r="H1799" s="196" t="s">
        <v>480</v>
      </c>
      <c r="I1799" s="66"/>
      <c r="J1799" s="239"/>
      <c r="K1799" s="234"/>
      <c r="L1799" s="239"/>
      <c r="M1799" s="239"/>
      <c r="N1799" s="239"/>
      <c r="O1799" s="239"/>
      <c r="P1799" s="239"/>
      <c r="Q1799" s="239"/>
      <c r="R1799" s="239"/>
      <c r="S1799" s="239"/>
    </row>
    <row r="1800" spans="5:19" s="293" customFormat="1" x14ac:dyDescent="0.25">
      <c r="F1800" s="196" t="s">
        <v>929</v>
      </c>
      <c r="G1800" s="196" t="s">
        <v>169</v>
      </c>
      <c r="H1800" s="196" t="s">
        <v>480</v>
      </c>
      <c r="I1800" s="66"/>
      <c r="J1800" s="239"/>
      <c r="K1800" s="234"/>
      <c r="L1800" s="239"/>
      <c r="M1800" s="239"/>
      <c r="N1800" s="239"/>
      <c r="O1800" s="239"/>
      <c r="P1800" s="239"/>
      <c r="Q1800" s="239"/>
      <c r="R1800" s="239"/>
      <c r="S1800" s="239"/>
    </row>
    <row r="1801" spans="5:19" s="293" customFormat="1" x14ac:dyDescent="0.25">
      <c r="F1801" s="196" t="s">
        <v>930</v>
      </c>
      <c r="G1801" s="196" t="s">
        <v>169</v>
      </c>
      <c r="H1801" s="196" t="s">
        <v>480</v>
      </c>
      <c r="I1801" s="66"/>
      <c r="J1801" s="233">
        <f t="shared" ref="J1801:J1803" si="179">CHOOSE(year_selection, L1801,M1801,N1801,O1801,P1801,Q1801,R1801,S1801)</f>
        <v>22068.710626613771</v>
      </c>
      <c r="K1801" s="234"/>
      <c r="L1801" s="330"/>
      <c r="M1801" s="330"/>
      <c r="N1801" s="330"/>
      <c r="O1801" s="330">
        <v>22068.710626613771</v>
      </c>
      <c r="P1801" s="330">
        <v>23381.905412572709</v>
      </c>
      <c r="Q1801" s="330">
        <v>23381.905412572709</v>
      </c>
      <c r="R1801" s="330">
        <v>24036.134334849048</v>
      </c>
      <c r="S1801" s="330">
        <v>24690.363257125387</v>
      </c>
    </row>
    <row r="1802" spans="5:19" s="293" customFormat="1" x14ac:dyDescent="0.25">
      <c r="F1802" s="196" t="s">
        <v>931</v>
      </c>
      <c r="G1802" s="196" t="s">
        <v>169</v>
      </c>
      <c r="H1802" s="196" t="s">
        <v>480</v>
      </c>
      <c r="I1802" s="66"/>
      <c r="J1802" s="233">
        <f t="shared" si="179"/>
        <v>1855.1117422762413</v>
      </c>
      <c r="K1802" s="234"/>
      <c r="L1802" s="330"/>
      <c r="M1802" s="330"/>
      <c r="N1802" s="330"/>
      <c r="O1802" s="330">
        <v>1855.1117422762413</v>
      </c>
      <c r="P1802" s="330">
        <v>2833.6322217186553</v>
      </c>
      <c r="Q1802" s="330">
        <v>2833.6322217186553</v>
      </c>
      <c r="R1802" s="330">
        <v>3322.8924614398625</v>
      </c>
      <c r="S1802" s="330">
        <v>3812.1527011610701</v>
      </c>
    </row>
    <row r="1803" spans="5:19" s="293" customFormat="1" x14ac:dyDescent="0.25">
      <c r="F1803" s="196" t="s">
        <v>932</v>
      </c>
      <c r="G1803" s="196" t="s">
        <v>169</v>
      </c>
      <c r="H1803" s="196" t="s">
        <v>480</v>
      </c>
      <c r="I1803" s="66"/>
      <c r="J1803" s="233">
        <f t="shared" si="179"/>
        <v>4578.4785708880108</v>
      </c>
      <c r="K1803" s="234"/>
      <c r="L1803" s="330"/>
      <c r="M1803" s="330"/>
      <c r="N1803" s="330"/>
      <c r="O1803" s="330">
        <v>4578.4785708880108</v>
      </c>
      <c r="P1803" s="330">
        <v>4578.4785708880108</v>
      </c>
      <c r="Q1803" s="330">
        <v>4578.4785708880108</v>
      </c>
      <c r="R1803" s="330">
        <v>4578.4785708880108</v>
      </c>
      <c r="S1803" s="330">
        <v>4578.4785708880108</v>
      </c>
    </row>
    <row r="1804" spans="5:19" s="293" customFormat="1" x14ac:dyDescent="0.25">
      <c r="F1804" s="196" t="s">
        <v>933</v>
      </c>
      <c r="G1804" s="196" t="s">
        <v>169</v>
      </c>
      <c r="H1804" s="196" t="s">
        <v>480</v>
      </c>
      <c r="I1804" s="66"/>
      <c r="J1804" s="239"/>
      <c r="K1804" s="234"/>
      <c r="L1804" s="239"/>
      <c r="M1804" s="239"/>
      <c r="N1804" s="239"/>
      <c r="O1804" s="239"/>
      <c r="P1804" s="239"/>
      <c r="Q1804" s="239"/>
      <c r="R1804" s="239"/>
      <c r="S1804" s="239"/>
    </row>
    <row r="1805" spans="5:19" s="293" customFormat="1" x14ac:dyDescent="0.25">
      <c r="F1805" s="196" t="s">
        <v>934</v>
      </c>
      <c r="G1805" s="196" t="s">
        <v>169</v>
      </c>
      <c r="H1805" s="196" t="s">
        <v>480</v>
      </c>
      <c r="I1805" s="66"/>
      <c r="J1805" s="239"/>
      <c r="K1805" s="234"/>
      <c r="L1805" s="239"/>
      <c r="M1805" s="239"/>
      <c r="N1805" s="239"/>
      <c r="O1805" s="239"/>
      <c r="P1805" s="239"/>
      <c r="Q1805" s="239"/>
      <c r="R1805" s="239"/>
      <c r="S1805" s="239"/>
    </row>
    <row r="1806" spans="5:19" s="293" customFormat="1" x14ac:dyDescent="0.25">
      <c r="F1806" s="196" t="s">
        <v>935</v>
      </c>
      <c r="G1806" s="196" t="s">
        <v>169</v>
      </c>
      <c r="H1806" s="196" t="s">
        <v>480</v>
      </c>
      <c r="I1806" s="66"/>
      <c r="J1806" s="239"/>
      <c r="K1806" s="234"/>
      <c r="L1806" s="239"/>
      <c r="M1806" s="239"/>
      <c r="N1806" s="239"/>
      <c r="O1806" s="239"/>
      <c r="P1806" s="239"/>
      <c r="Q1806" s="239"/>
      <c r="R1806" s="239"/>
      <c r="S1806" s="239"/>
    </row>
    <row r="1807" spans="5:19" s="293" customFormat="1" x14ac:dyDescent="0.25">
      <c r="F1807" s="196" t="s">
        <v>936</v>
      </c>
      <c r="G1807" s="196" t="s">
        <v>169</v>
      </c>
      <c r="H1807" s="196" t="s">
        <v>480</v>
      </c>
      <c r="I1807" s="66"/>
      <c r="J1807" s="239"/>
      <c r="K1807" s="234"/>
      <c r="L1807" s="239"/>
      <c r="M1807" s="239"/>
      <c r="N1807" s="239"/>
      <c r="O1807" s="239"/>
      <c r="P1807" s="239"/>
      <c r="Q1807" s="239"/>
      <c r="R1807" s="239"/>
      <c r="S1807" s="239"/>
    </row>
    <row r="1808" spans="5:19" s="293" customFormat="1" x14ac:dyDescent="0.25">
      <c r="F1808" s="196" t="s">
        <v>937</v>
      </c>
      <c r="G1808" s="196" t="s">
        <v>169</v>
      </c>
      <c r="H1808" s="196" t="s">
        <v>480</v>
      </c>
      <c r="I1808" s="66"/>
      <c r="J1808" s="239"/>
      <c r="K1808" s="234"/>
      <c r="L1808" s="239"/>
      <c r="M1808" s="239"/>
      <c r="N1808" s="239"/>
      <c r="O1808" s="239"/>
      <c r="P1808" s="239"/>
      <c r="Q1808" s="239"/>
      <c r="R1808" s="239"/>
      <c r="S1808" s="239"/>
    </row>
    <row r="1809" spans="5:19" s="293" customFormat="1" x14ac:dyDescent="0.25">
      <c r="F1809" s="196" t="s">
        <v>938</v>
      </c>
      <c r="G1809" s="196" t="s">
        <v>169</v>
      </c>
      <c r="H1809" s="196" t="s">
        <v>480</v>
      </c>
      <c r="I1809" s="66"/>
      <c r="J1809" s="239"/>
      <c r="K1809" s="234"/>
      <c r="L1809" s="239"/>
      <c r="M1809" s="239"/>
      <c r="N1809" s="239"/>
      <c r="O1809" s="239"/>
      <c r="P1809" s="239"/>
      <c r="Q1809" s="239"/>
      <c r="R1809" s="239"/>
      <c r="S1809" s="239"/>
    </row>
    <row r="1810" spans="5:19" s="293" customFormat="1" x14ac:dyDescent="0.25">
      <c r="F1810" s="196" t="s">
        <v>939</v>
      </c>
      <c r="G1810" s="196" t="s">
        <v>169</v>
      </c>
      <c r="H1810" s="196" t="s">
        <v>480</v>
      </c>
      <c r="I1810" s="66"/>
      <c r="J1810" s="239"/>
      <c r="K1810" s="234"/>
      <c r="L1810" s="239"/>
      <c r="M1810" s="239"/>
      <c r="N1810" s="239"/>
      <c r="O1810" s="239"/>
      <c r="P1810" s="239"/>
      <c r="Q1810" s="239"/>
      <c r="R1810" s="239"/>
      <c r="S1810" s="239"/>
    </row>
    <row r="1811" spans="5:19" s="293" customFormat="1" x14ac:dyDescent="0.25">
      <c r="F1811" s="196" t="s">
        <v>940</v>
      </c>
      <c r="G1811" s="196" t="s">
        <v>169</v>
      </c>
      <c r="H1811" s="196" t="s">
        <v>480</v>
      </c>
      <c r="I1811" s="66"/>
      <c r="J1811" s="239"/>
      <c r="K1811" s="234"/>
      <c r="L1811" s="239"/>
      <c r="M1811" s="239"/>
      <c r="N1811" s="239"/>
      <c r="O1811" s="239"/>
      <c r="P1811" s="239"/>
      <c r="Q1811" s="239"/>
      <c r="R1811" s="239"/>
      <c r="S1811" s="239"/>
    </row>
    <row r="1812" spans="5:19" s="293" customFormat="1" x14ac:dyDescent="0.25">
      <c r="F1812" s="93" t="s">
        <v>941</v>
      </c>
      <c r="G1812" s="93" t="s">
        <v>169</v>
      </c>
      <c r="H1812" s="93" t="s">
        <v>480</v>
      </c>
      <c r="I1812" s="145"/>
      <c r="J1812" s="240"/>
      <c r="K1812" s="236"/>
      <c r="L1812" s="240"/>
      <c r="M1812" s="240"/>
      <c r="N1812" s="240"/>
      <c r="O1812" s="240"/>
      <c r="P1812" s="240"/>
      <c r="Q1812" s="240"/>
      <c r="R1812" s="240"/>
      <c r="S1812" s="240"/>
    </row>
    <row r="1813" spans="5:19" s="293" customFormat="1" x14ac:dyDescent="0.25">
      <c r="I1813" s="111"/>
      <c r="J1813" s="237"/>
      <c r="K1813" s="237"/>
      <c r="L1813" s="237"/>
      <c r="M1813" s="237"/>
      <c r="N1813" s="237"/>
      <c r="O1813" s="237"/>
      <c r="P1813" s="237"/>
      <c r="Q1813" s="237"/>
      <c r="R1813" s="237"/>
      <c r="S1813" s="237"/>
    </row>
    <row r="1814" spans="5:19" s="293" customFormat="1" x14ac:dyDescent="0.25">
      <c r="E1814" s="144" t="s">
        <v>203</v>
      </c>
      <c r="I1814" s="111"/>
      <c r="J1814" s="237"/>
      <c r="K1814" s="237"/>
      <c r="L1814" s="237"/>
      <c r="M1814" s="237"/>
      <c r="N1814" s="237"/>
      <c r="O1814" s="237"/>
      <c r="P1814" s="237"/>
      <c r="Q1814" s="237"/>
      <c r="R1814" s="237"/>
      <c r="S1814" s="237"/>
    </row>
    <row r="1815" spans="5:19" s="293" customFormat="1" x14ac:dyDescent="0.25">
      <c r="F1815" s="91" t="s">
        <v>926</v>
      </c>
      <c r="G1815" s="91" t="s">
        <v>169</v>
      </c>
      <c r="H1815" s="91" t="s">
        <v>480</v>
      </c>
      <c r="I1815" s="112"/>
      <c r="J1815" s="238"/>
      <c r="K1815" s="232"/>
      <c r="L1815" s="238"/>
      <c r="M1815" s="238"/>
      <c r="N1815" s="238"/>
      <c r="O1815" s="238"/>
      <c r="P1815" s="238"/>
      <c r="Q1815" s="238"/>
      <c r="R1815" s="238"/>
      <c r="S1815" s="238"/>
    </row>
    <row r="1816" spans="5:19" s="293" customFormat="1" x14ac:dyDescent="0.25">
      <c r="F1816" s="196" t="s">
        <v>927</v>
      </c>
      <c r="G1816" s="196" t="s">
        <v>169</v>
      </c>
      <c r="H1816" s="196" t="s">
        <v>480</v>
      </c>
      <c r="I1816" s="66"/>
      <c r="J1816" s="239"/>
      <c r="K1816" s="234"/>
      <c r="L1816" s="239"/>
      <c r="M1816" s="239"/>
      <c r="N1816" s="239"/>
      <c r="O1816" s="239"/>
      <c r="P1816" s="239"/>
      <c r="Q1816" s="239"/>
      <c r="R1816" s="239"/>
      <c r="S1816" s="239"/>
    </row>
    <row r="1817" spans="5:19" s="293" customFormat="1" x14ac:dyDescent="0.25">
      <c r="F1817" s="196" t="s">
        <v>928</v>
      </c>
      <c r="G1817" s="196" t="s">
        <v>169</v>
      </c>
      <c r="H1817" s="196" t="s">
        <v>480</v>
      </c>
      <c r="I1817" s="66"/>
      <c r="J1817" s="239"/>
      <c r="K1817" s="234"/>
      <c r="L1817" s="239"/>
      <c r="M1817" s="239"/>
      <c r="N1817" s="239"/>
      <c r="O1817" s="239"/>
      <c r="P1817" s="239"/>
      <c r="Q1817" s="239"/>
      <c r="R1817" s="239"/>
      <c r="S1817" s="239"/>
    </row>
    <row r="1818" spans="5:19" s="293" customFormat="1" x14ac:dyDescent="0.25">
      <c r="F1818" s="196" t="s">
        <v>929</v>
      </c>
      <c r="G1818" s="196" t="s">
        <v>169</v>
      </c>
      <c r="H1818" s="196" t="s">
        <v>480</v>
      </c>
      <c r="I1818" s="66"/>
      <c r="J1818" s="239"/>
      <c r="K1818" s="234"/>
      <c r="L1818" s="239"/>
      <c r="M1818" s="239"/>
      <c r="N1818" s="239"/>
      <c r="O1818" s="239"/>
      <c r="P1818" s="239"/>
      <c r="Q1818" s="239"/>
      <c r="R1818" s="239"/>
      <c r="S1818" s="239"/>
    </row>
    <row r="1819" spans="5:19" s="293" customFormat="1" x14ac:dyDescent="0.25">
      <c r="F1819" s="196" t="s">
        <v>930</v>
      </c>
      <c r="G1819" s="196" t="s">
        <v>169</v>
      </c>
      <c r="H1819" s="196" t="s">
        <v>480</v>
      </c>
      <c r="I1819" s="66"/>
      <c r="J1819" s="233">
        <f t="shared" ref="J1819:J1821" si="180">CHOOSE(year_selection, L1819,M1819,N1819,O1819,P1819,Q1819,R1819,S1819)</f>
        <v>12.974904448365157</v>
      </c>
      <c r="K1819" s="234"/>
      <c r="L1819" s="330"/>
      <c r="M1819" s="330"/>
      <c r="N1819" s="330"/>
      <c r="O1819" s="330">
        <v>12.974904448365157</v>
      </c>
      <c r="P1819" s="330">
        <v>13.746973879977576</v>
      </c>
      <c r="Q1819" s="330">
        <v>13.746973879977576</v>
      </c>
      <c r="R1819" s="330">
        <v>14.13161609571516</v>
      </c>
      <c r="S1819" s="330">
        <v>14.51625831145274</v>
      </c>
    </row>
    <row r="1820" spans="5:19" s="293" customFormat="1" x14ac:dyDescent="0.25">
      <c r="F1820" s="196" t="s">
        <v>931</v>
      </c>
      <c r="G1820" s="196" t="s">
        <v>169</v>
      </c>
      <c r="H1820" s="196" t="s">
        <v>480</v>
      </c>
      <c r="I1820" s="66"/>
      <c r="J1820" s="233">
        <f t="shared" si="180"/>
        <v>10.159064213919624</v>
      </c>
      <c r="K1820" s="234"/>
      <c r="L1820" s="330"/>
      <c r="M1820" s="330"/>
      <c r="N1820" s="330"/>
      <c r="O1820" s="330">
        <v>10.159064213919624</v>
      </c>
      <c r="P1820" s="330">
        <v>15.51769149159151</v>
      </c>
      <c r="Q1820" s="330">
        <v>15.51769149159151</v>
      </c>
      <c r="R1820" s="330">
        <v>18.197005130427446</v>
      </c>
      <c r="S1820" s="330">
        <v>20.876318769263385</v>
      </c>
    </row>
    <row r="1821" spans="5:19" s="293" customFormat="1" x14ac:dyDescent="0.25">
      <c r="F1821" s="196" t="s">
        <v>932</v>
      </c>
      <c r="G1821" s="196" t="s">
        <v>169</v>
      </c>
      <c r="H1821" s="196" t="s">
        <v>480</v>
      </c>
      <c r="I1821" s="66"/>
      <c r="J1821" s="233">
        <f t="shared" si="180"/>
        <v>5.8691161434697268</v>
      </c>
      <c r="K1821" s="234"/>
      <c r="L1821" s="330"/>
      <c r="M1821" s="330"/>
      <c r="N1821" s="330"/>
      <c r="O1821" s="330">
        <v>5.8691161434697268</v>
      </c>
      <c r="P1821" s="330">
        <v>5.8691161434697268</v>
      </c>
      <c r="Q1821" s="330">
        <v>5.8691161434697268</v>
      </c>
      <c r="R1821" s="330">
        <v>5.8691161434697268</v>
      </c>
      <c r="S1821" s="330">
        <v>5.8691161434697268</v>
      </c>
    </row>
    <row r="1822" spans="5:19" s="293" customFormat="1" x14ac:dyDescent="0.25">
      <c r="F1822" s="196" t="s">
        <v>933</v>
      </c>
      <c r="G1822" s="196" t="s">
        <v>169</v>
      </c>
      <c r="H1822" s="196" t="s">
        <v>480</v>
      </c>
      <c r="I1822" s="66"/>
      <c r="J1822" s="239"/>
      <c r="K1822" s="234"/>
      <c r="L1822" s="239"/>
      <c r="M1822" s="239"/>
      <c r="N1822" s="239"/>
      <c r="O1822" s="239"/>
      <c r="P1822" s="239"/>
      <c r="Q1822" s="239"/>
      <c r="R1822" s="239"/>
      <c r="S1822" s="239"/>
    </row>
    <row r="1823" spans="5:19" s="293" customFormat="1" x14ac:dyDescent="0.25">
      <c r="F1823" s="196" t="s">
        <v>934</v>
      </c>
      <c r="G1823" s="196" t="s">
        <v>169</v>
      </c>
      <c r="H1823" s="196" t="s">
        <v>480</v>
      </c>
      <c r="I1823" s="66"/>
      <c r="J1823" s="239"/>
      <c r="K1823" s="234"/>
      <c r="L1823" s="239"/>
      <c r="M1823" s="239"/>
      <c r="N1823" s="239"/>
      <c r="O1823" s="239"/>
      <c r="P1823" s="239"/>
      <c r="Q1823" s="239"/>
      <c r="R1823" s="239"/>
      <c r="S1823" s="239"/>
    </row>
    <row r="1824" spans="5:19" s="293" customFormat="1" x14ac:dyDescent="0.25">
      <c r="F1824" s="196" t="s">
        <v>935</v>
      </c>
      <c r="G1824" s="196" t="s">
        <v>169</v>
      </c>
      <c r="H1824" s="196" t="s">
        <v>480</v>
      </c>
      <c r="I1824" s="66"/>
      <c r="J1824" s="239"/>
      <c r="K1824" s="234"/>
      <c r="L1824" s="239"/>
      <c r="M1824" s="239"/>
      <c r="N1824" s="239"/>
      <c r="O1824" s="239"/>
      <c r="P1824" s="239"/>
      <c r="Q1824" s="239"/>
      <c r="R1824" s="239"/>
      <c r="S1824" s="239"/>
    </row>
    <row r="1825" spans="5:19" s="293" customFormat="1" x14ac:dyDescent="0.25">
      <c r="F1825" s="196" t="s">
        <v>936</v>
      </c>
      <c r="G1825" s="196" t="s">
        <v>169</v>
      </c>
      <c r="H1825" s="196" t="s">
        <v>480</v>
      </c>
      <c r="I1825" s="66"/>
      <c r="J1825" s="239"/>
      <c r="K1825" s="234"/>
      <c r="L1825" s="239"/>
      <c r="M1825" s="239"/>
      <c r="N1825" s="239"/>
      <c r="O1825" s="239"/>
      <c r="P1825" s="239"/>
      <c r="Q1825" s="239"/>
      <c r="R1825" s="239"/>
      <c r="S1825" s="239"/>
    </row>
    <row r="1826" spans="5:19" s="293" customFormat="1" x14ac:dyDescent="0.25">
      <c r="F1826" s="196" t="s">
        <v>937</v>
      </c>
      <c r="G1826" s="196" t="s">
        <v>169</v>
      </c>
      <c r="H1826" s="196" t="s">
        <v>480</v>
      </c>
      <c r="I1826" s="66"/>
      <c r="J1826" s="239"/>
      <c r="K1826" s="234"/>
      <c r="L1826" s="239"/>
      <c r="M1826" s="239"/>
      <c r="N1826" s="239"/>
      <c r="O1826" s="239"/>
      <c r="P1826" s="239"/>
      <c r="Q1826" s="239"/>
      <c r="R1826" s="239"/>
      <c r="S1826" s="239"/>
    </row>
    <row r="1827" spans="5:19" s="293" customFormat="1" x14ac:dyDescent="0.25">
      <c r="F1827" s="196" t="s">
        <v>938</v>
      </c>
      <c r="G1827" s="196" t="s">
        <v>169</v>
      </c>
      <c r="H1827" s="196" t="s">
        <v>480</v>
      </c>
      <c r="I1827" s="66"/>
      <c r="J1827" s="239"/>
      <c r="K1827" s="234"/>
      <c r="L1827" s="239"/>
      <c r="M1827" s="239"/>
      <c r="N1827" s="239"/>
      <c r="O1827" s="239"/>
      <c r="P1827" s="239"/>
      <c r="Q1827" s="239"/>
      <c r="R1827" s="239"/>
      <c r="S1827" s="239"/>
    </row>
    <row r="1828" spans="5:19" s="293" customFormat="1" x14ac:dyDescent="0.25">
      <c r="F1828" s="196" t="s">
        <v>939</v>
      </c>
      <c r="G1828" s="196" t="s">
        <v>169</v>
      </c>
      <c r="H1828" s="196" t="s">
        <v>480</v>
      </c>
      <c r="I1828" s="66"/>
      <c r="J1828" s="239"/>
      <c r="K1828" s="234"/>
      <c r="L1828" s="239"/>
      <c r="M1828" s="239"/>
      <c r="N1828" s="239"/>
      <c r="O1828" s="239"/>
      <c r="P1828" s="239"/>
      <c r="Q1828" s="239"/>
      <c r="R1828" s="239"/>
      <c r="S1828" s="239"/>
    </row>
    <row r="1829" spans="5:19" s="293" customFormat="1" x14ac:dyDescent="0.25">
      <c r="F1829" s="196" t="s">
        <v>940</v>
      </c>
      <c r="G1829" s="196" t="s">
        <v>169</v>
      </c>
      <c r="H1829" s="196" t="s">
        <v>480</v>
      </c>
      <c r="I1829" s="66"/>
      <c r="J1829" s="239"/>
      <c r="K1829" s="234"/>
      <c r="L1829" s="239"/>
      <c r="M1829" s="239"/>
      <c r="N1829" s="239"/>
      <c r="O1829" s="239"/>
      <c r="P1829" s="239"/>
      <c r="Q1829" s="239"/>
      <c r="R1829" s="239"/>
      <c r="S1829" s="239"/>
    </row>
    <row r="1830" spans="5:19" s="293" customFormat="1" x14ac:dyDescent="0.25">
      <c r="F1830" s="93" t="s">
        <v>941</v>
      </c>
      <c r="G1830" s="93" t="s">
        <v>169</v>
      </c>
      <c r="H1830" s="93" t="s">
        <v>480</v>
      </c>
      <c r="I1830" s="145"/>
      <c r="J1830" s="240"/>
      <c r="K1830" s="236"/>
      <c r="L1830" s="240"/>
      <c r="M1830" s="240"/>
      <c r="N1830" s="240"/>
      <c r="O1830" s="240"/>
      <c r="P1830" s="240"/>
      <c r="Q1830" s="240"/>
      <c r="R1830" s="240"/>
      <c r="S1830" s="240"/>
    </row>
    <row r="1831" spans="5:19" s="293" customFormat="1" x14ac:dyDescent="0.25">
      <c r="I1831" s="111"/>
      <c r="J1831" s="237"/>
      <c r="K1831" s="237"/>
      <c r="L1831" s="237"/>
      <c r="M1831" s="237"/>
      <c r="N1831" s="237"/>
      <c r="O1831" s="237"/>
      <c r="P1831" s="237"/>
      <c r="Q1831" s="237"/>
      <c r="R1831" s="237"/>
      <c r="S1831" s="237"/>
    </row>
    <row r="1832" spans="5:19" s="293" customFormat="1" x14ac:dyDescent="0.25">
      <c r="E1832" s="144" t="s">
        <v>204</v>
      </c>
      <c r="I1832" s="111"/>
      <c r="J1832" s="237"/>
      <c r="K1832" s="237"/>
      <c r="L1832" s="237"/>
      <c r="M1832" s="237"/>
      <c r="N1832" s="237"/>
      <c r="O1832" s="237"/>
      <c r="P1832" s="237"/>
      <c r="Q1832" s="237"/>
      <c r="R1832" s="237"/>
      <c r="S1832" s="237"/>
    </row>
    <row r="1833" spans="5:19" s="293" customFormat="1" x14ac:dyDescent="0.25">
      <c r="F1833" s="91" t="s">
        <v>926</v>
      </c>
      <c r="G1833" s="91" t="s">
        <v>170</v>
      </c>
      <c r="H1833" s="91" t="s">
        <v>480</v>
      </c>
      <c r="I1833" s="112"/>
      <c r="J1833" s="238"/>
      <c r="K1833" s="232"/>
      <c r="L1833" s="238"/>
      <c r="M1833" s="238"/>
      <c r="N1833" s="238"/>
      <c r="O1833" s="238"/>
      <c r="P1833" s="238"/>
      <c r="Q1833" s="238"/>
      <c r="R1833" s="238"/>
      <c r="S1833" s="238"/>
    </row>
    <row r="1834" spans="5:19" s="293" customFormat="1" x14ac:dyDescent="0.25">
      <c r="F1834" s="196" t="s">
        <v>927</v>
      </c>
      <c r="G1834" s="196" t="s">
        <v>170</v>
      </c>
      <c r="H1834" s="196" t="s">
        <v>480</v>
      </c>
      <c r="I1834" s="66"/>
      <c r="J1834" s="239"/>
      <c r="K1834" s="234"/>
      <c r="L1834" s="239"/>
      <c r="M1834" s="239"/>
      <c r="N1834" s="239"/>
      <c r="O1834" s="239"/>
      <c r="P1834" s="239"/>
      <c r="Q1834" s="239"/>
      <c r="R1834" s="239"/>
      <c r="S1834" s="239"/>
    </row>
    <row r="1835" spans="5:19" s="293" customFormat="1" x14ac:dyDescent="0.25">
      <c r="F1835" s="196" t="s">
        <v>928</v>
      </c>
      <c r="G1835" s="196" t="s">
        <v>170</v>
      </c>
      <c r="H1835" s="196" t="s">
        <v>480</v>
      </c>
      <c r="I1835" s="66"/>
      <c r="J1835" s="239"/>
      <c r="K1835" s="234"/>
      <c r="L1835" s="239"/>
      <c r="M1835" s="239"/>
      <c r="N1835" s="239"/>
      <c r="O1835" s="239"/>
      <c r="P1835" s="239"/>
      <c r="Q1835" s="239"/>
      <c r="R1835" s="239"/>
      <c r="S1835" s="239"/>
    </row>
    <row r="1836" spans="5:19" s="293" customFormat="1" x14ac:dyDescent="0.25">
      <c r="F1836" s="196" t="s">
        <v>929</v>
      </c>
      <c r="G1836" s="196" t="s">
        <v>170</v>
      </c>
      <c r="H1836" s="196" t="s">
        <v>480</v>
      </c>
      <c r="I1836" s="66"/>
      <c r="J1836" s="239"/>
      <c r="K1836" s="234"/>
      <c r="L1836" s="239"/>
      <c r="M1836" s="239"/>
      <c r="N1836" s="239"/>
      <c r="O1836" s="239"/>
      <c r="P1836" s="239"/>
      <c r="Q1836" s="239"/>
      <c r="R1836" s="239"/>
      <c r="S1836" s="239"/>
    </row>
    <row r="1837" spans="5:19" s="293" customFormat="1" x14ac:dyDescent="0.25">
      <c r="F1837" s="196" t="s">
        <v>930</v>
      </c>
      <c r="G1837" s="196" t="s">
        <v>170</v>
      </c>
      <c r="H1837" s="196" t="s">
        <v>480</v>
      </c>
      <c r="I1837" s="66"/>
      <c r="J1837" s="233">
        <f t="shared" ref="J1837:J1839" si="181">CHOOSE(year_selection, L1837,M1837,N1837,O1837,P1837,Q1837,R1837,S1837)</f>
        <v>1892.984429808075</v>
      </c>
      <c r="K1837" s="234"/>
      <c r="L1837" s="330"/>
      <c r="M1837" s="330"/>
      <c r="N1837" s="330"/>
      <c r="O1837" s="330">
        <v>1892.984429808075</v>
      </c>
      <c r="P1837" s="330">
        <v>1901.3201971938968</v>
      </c>
      <c r="Q1837" s="330">
        <v>1901.3201971938968</v>
      </c>
      <c r="R1837" s="330">
        <v>1909.6559645797183</v>
      </c>
      <c r="S1837" s="330">
        <v>1917.9917319655401</v>
      </c>
    </row>
    <row r="1838" spans="5:19" s="293" customFormat="1" x14ac:dyDescent="0.25">
      <c r="F1838" s="196" t="s">
        <v>931</v>
      </c>
      <c r="G1838" s="196" t="s">
        <v>170</v>
      </c>
      <c r="H1838" s="196" t="s">
        <v>480</v>
      </c>
      <c r="I1838" s="66"/>
      <c r="J1838" s="233">
        <f t="shared" si="181"/>
        <v>140.44031232478395</v>
      </c>
      <c r="K1838" s="234"/>
      <c r="L1838" s="330"/>
      <c r="M1838" s="330"/>
      <c r="N1838" s="330"/>
      <c r="O1838" s="330">
        <v>140.44031232478395</v>
      </c>
      <c r="P1838" s="330">
        <v>177.3647110567054</v>
      </c>
      <c r="Q1838" s="330">
        <v>177.3647110567054</v>
      </c>
      <c r="R1838" s="330">
        <v>214.28910978862686</v>
      </c>
      <c r="S1838" s="330">
        <v>251.21350852054829</v>
      </c>
    </row>
    <row r="1839" spans="5:19" s="293" customFormat="1" x14ac:dyDescent="0.25">
      <c r="F1839" s="196" t="s">
        <v>932</v>
      </c>
      <c r="G1839" s="196" t="s">
        <v>170</v>
      </c>
      <c r="H1839" s="196" t="s">
        <v>480</v>
      </c>
      <c r="I1839" s="66"/>
      <c r="J1839" s="233">
        <f t="shared" si="181"/>
        <v>286.89427880640397</v>
      </c>
      <c r="K1839" s="234"/>
      <c r="L1839" s="330"/>
      <c r="M1839" s="330"/>
      <c r="N1839" s="330"/>
      <c r="O1839" s="330">
        <v>286.89427880640397</v>
      </c>
      <c r="P1839" s="330">
        <v>255.21046299353029</v>
      </c>
      <c r="Q1839" s="330">
        <v>255.21046299353029</v>
      </c>
      <c r="R1839" s="330">
        <v>223.52664718065662</v>
      </c>
      <c r="S1839" s="330">
        <v>191.84283136778296</v>
      </c>
    </row>
    <row r="1840" spans="5:19" s="293" customFormat="1" x14ac:dyDescent="0.25">
      <c r="F1840" s="196" t="s">
        <v>933</v>
      </c>
      <c r="G1840" s="196" t="s">
        <v>170</v>
      </c>
      <c r="H1840" s="196" t="s">
        <v>480</v>
      </c>
      <c r="I1840" s="66"/>
      <c r="J1840" s="239"/>
      <c r="K1840" s="234"/>
      <c r="L1840" s="239"/>
      <c r="M1840" s="239"/>
      <c r="N1840" s="239"/>
      <c r="O1840" s="239"/>
      <c r="P1840" s="239"/>
      <c r="Q1840" s="239"/>
      <c r="R1840" s="239"/>
      <c r="S1840" s="239"/>
    </row>
    <row r="1841" spans="3:21" s="293" customFormat="1" x14ac:dyDescent="0.25">
      <c r="F1841" s="196" t="s">
        <v>934</v>
      </c>
      <c r="G1841" s="196" t="s">
        <v>170</v>
      </c>
      <c r="H1841" s="196" t="s">
        <v>480</v>
      </c>
      <c r="I1841" s="66"/>
      <c r="J1841" s="239"/>
      <c r="K1841" s="234"/>
      <c r="L1841" s="239"/>
      <c r="M1841" s="239"/>
      <c r="N1841" s="239"/>
      <c r="O1841" s="239"/>
      <c r="P1841" s="239"/>
      <c r="Q1841" s="239"/>
      <c r="R1841" s="239"/>
      <c r="S1841" s="239"/>
    </row>
    <row r="1842" spans="3:21" s="293" customFormat="1" x14ac:dyDescent="0.25">
      <c r="F1842" s="196" t="s">
        <v>935</v>
      </c>
      <c r="G1842" s="196" t="s">
        <v>170</v>
      </c>
      <c r="H1842" s="196" t="s">
        <v>480</v>
      </c>
      <c r="I1842" s="66"/>
      <c r="J1842" s="239"/>
      <c r="K1842" s="234"/>
      <c r="L1842" s="239"/>
      <c r="M1842" s="239"/>
      <c r="N1842" s="239"/>
      <c r="O1842" s="239"/>
      <c r="P1842" s="239"/>
      <c r="Q1842" s="239"/>
      <c r="R1842" s="239"/>
      <c r="S1842" s="239"/>
    </row>
    <row r="1843" spans="3:21" s="293" customFormat="1" x14ac:dyDescent="0.25">
      <c r="F1843" s="196" t="s">
        <v>936</v>
      </c>
      <c r="G1843" s="196" t="s">
        <v>170</v>
      </c>
      <c r="H1843" s="196" t="s">
        <v>480</v>
      </c>
      <c r="I1843" s="66"/>
      <c r="J1843" s="239"/>
      <c r="K1843" s="234"/>
      <c r="L1843" s="239"/>
      <c r="M1843" s="239"/>
      <c r="N1843" s="239"/>
      <c r="O1843" s="239"/>
      <c r="P1843" s="239"/>
      <c r="Q1843" s="239"/>
      <c r="R1843" s="239"/>
      <c r="S1843" s="239"/>
    </row>
    <row r="1844" spans="3:21" s="293" customFormat="1" x14ac:dyDescent="0.25">
      <c r="F1844" s="196" t="s">
        <v>937</v>
      </c>
      <c r="G1844" s="196" t="s">
        <v>170</v>
      </c>
      <c r="H1844" s="196" t="s">
        <v>480</v>
      </c>
      <c r="I1844" s="66"/>
      <c r="J1844" s="239"/>
      <c r="K1844" s="234"/>
      <c r="L1844" s="239"/>
      <c r="M1844" s="239"/>
      <c r="N1844" s="239"/>
      <c r="O1844" s="239"/>
      <c r="P1844" s="239"/>
      <c r="Q1844" s="239"/>
      <c r="R1844" s="239"/>
      <c r="S1844" s="239"/>
    </row>
    <row r="1845" spans="3:21" s="293" customFormat="1" x14ac:dyDescent="0.25">
      <c r="F1845" s="196" t="s">
        <v>938</v>
      </c>
      <c r="G1845" s="196" t="s">
        <v>170</v>
      </c>
      <c r="H1845" s="196" t="s">
        <v>480</v>
      </c>
      <c r="I1845" s="66"/>
      <c r="J1845" s="239"/>
      <c r="K1845" s="234"/>
      <c r="L1845" s="239"/>
      <c r="M1845" s="239"/>
      <c r="N1845" s="239"/>
      <c r="O1845" s="239"/>
      <c r="P1845" s="239"/>
      <c r="Q1845" s="239"/>
      <c r="R1845" s="239"/>
      <c r="S1845" s="239"/>
    </row>
    <row r="1846" spans="3:21" s="293" customFormat="1" x14ac:dyDescent="0.25">
      <c r="F1846" s="196" t="s">
        <v>939</v>
      </c>
      <c r="G1846" s="196" t="s">
        <v>170</v>
      </c>
      <c r="H1846" s="196" t="s">
        <v>480</v>
      </c>
      <c r="I1846" s="66"/>
      <c r="J1846" s="239"/>
      <c r="K1846" s="234"/>
      <c r="L1846" s="239"/>
      <c r="M1846" s="239"/>
      <c r="N1846" s="239"/>
      <c r="O1846" s="239"/>
      <c r="P1846" s="239"/>
      <c r="Q1846" s="239"/>
      <c r="R1846" s="239"/>
      <c r="S1846" s="239"/>
    </row>
    <row r="1847" spans="3:21" s="293" customFormat="1" x14ac:dyDescent="0.25">
      <c r="F1847" s="196" t="s">
        <v>940</v>
      </c>
      <c r="G1847" s="196" t="s">
        <v>170</v>
      </c>
      <c r="H1847" s="196" t="s">
        <v>480</v>
      </c>
      <c r="I1847" s="66"/>
      <c r="J1847" s="239"/>
      <c r="K1847" s="234"/>
      <c r="L1847" s="239"/>
      <c r="M1847" s="239"/>
      <c r="N1847" s="239"/>
      <c r="O1847" s="239"/>
      <c r="P1847" s="239"/>
      <c r="Q1847" s="239"/>
      <c r="R1847" s="239"/>
      <c r="S1847" s="239"/>
    </row>
    <row r="1848" spans="3:21" s="293" customFormat="1" x14ac:dyDescent="0.25">
      <c r="F1848" s="93" t="s">
        <v>941</v>
      </c>
      <c r="G1848" s="93" t="s">
        <v>170</v>
      </c>
      <c r="H1848" s="93" t="s">
        <v>480</v>
      </c>
      <c r="I1848" s="145"/>
      <c r="J1848" s="240"/>
      <c r="K1848" s="236"/>
      <c r="L1848" s="240"/>
      <c r="M1848" s="240"/>
      <c r="N1848" s="240"/>
      <c r="O1848" s="240"/>
      <c r="P1848" s="240"/>
      <c r="Q1848" s="240"/>
      <c r="R1848" s="240"/>
      <c r="S1848" s="240"/>
    </row>
    <row r="1849" spans="3:21" s="293" customFormat="1" x14ac:dyDescent="0.25">
      <c r="I1849" s="111"/>
      <c r="J1849" s="111"/>
      <c r="K1849" s="111"/>
      <c r="L1849" s="111"/>
      <c r="M1849" s="111"/>
      <c r="N1849" s="111"/>
      <c r="O1849" s="111"/>
      <c r="P1849" s="111"/>
      <c r="Q1849" s="111"/>
      <c r="R1849" s="111"/>
      <c r="S1849" s="111"/>
    </row>
    <row r="1850" spans="3:21" s="293" customFormat="1" x14ac:dyDescent="0.25">
      <c r="C1850" s="7" t="str">
        <f ca="1">INDEX('Version control'!$H$35:$H$61,MATCH($A$1,'Version control'!$F$35:$F$61,0),1)&amp;"-Q: LDNO HV volumes - Residual band 4"</f>
        <v>Input 501-Q: LDNO HV volumes - Residual band 4</v>
      </c>
      <c r="D1850" s="7"/>
      <c r="E1850" s="7"/>
      <c r="F1850" s="7"/>
      <c r="G1850" s="7"/>
      <c r="H1850" s="7"/>
      <c r="I1850" s="171"/>
      <c r="J1850" s="242"/>
      <c r="K1850" s="242"/>
      <c r="L1850" s="242"/>
      <c r="M1850" s="242"/>
      <c r="N1850" s="242"/>
      <c r="O1850" s="242"/>
      <c r="P1850" s="242"/>
      <c r="Q1850" s="242"/>
      <c r="R1850" s="242"/>
      <c r="S1850" s="242"/>
      <c r="T1850" s="7"/>
      <c r="U1850" s="7"/>
    </row>
    <row r="1851" spans="3:21" s="293" customFormat="1" x14ac:dyDescent="0.25">
      <c r="D1851" s="96"/>
      <c r="I1851" s="111"/>
    </row>
    <row r="1852" spans="3:21" s="293" customFormat="1" x14ac:dyDescent="0.25">
      <c r="E1852" s="144" t="s">
        <v>199</v>
      </c>
      <c r="I1852" s="111" t="s">
        <v>359</v>
      </c>
      <c r="J1852" s="237"/>
      <c r="K1852" s="237"/>
      <c r="L1852" s="237"/>
      <c r="M1852" s="237"/>
      <c r="N1852" s="237"/>
      <c r="O1852" s="237"/>
      <c r="P1852" s="237"/>
      <c r="Q1852" s="237"/>
      <c r="R1852" s="237"/>
      <c r="S1852" s="237"/>
      <c r="U1852" s="293" t="s">
        <v>692</v>
      </c>
    </row>
    <row r="1853" spans="3:21" s="293" customFormat="1" x14ac:dyDescent="0.25">
      <c r="F1853" s="91" t="s">
        <v>926</v>
      </c>
      <c r="G1853" s="91" t="s">
        <v>120</v>
      </c>
      <c r="H1853" s="91" t="s">
        <v>480</v>
      </c>
      <c r="I1853" s="112"/>
      <c r="J1853" s="238"/>
      <c r="K1853" s="232"/>
      <c r="L1853" s="238"/>
      <c r="M1853" s="238"/>
      <c r="N1853" s="238"/>
      <c r="O1853" s="238"/>
      <c r="P1853" s="238"/>
      <c r="Q1853" s="238"/>
      <c r="R1853" s="238"/>
      <c r="S1853" s="238"/>
    </row>
    <row r="1854" spans="3:21" s="293" customFormat="1" x14ac:dyDescent="0.25">
      <c r="F1854" s="196" t="s">
        <v>927</v>
      </c>
      <c r="G1854" s="196" t="s">
        <v>120</v>
      </c>
      <c r="H1854" s="196" t="s">
        <v>480</v>
      </c>
      <c r="I1854" s="66"/>
      <c r="J1854" s="239"/>
      <c r="K1854" s="234"/>
      <c r="L1854" s="239"/>
      <c r="M1854" s="239"/>
      <c r="N1854" s="239"/>
      <c r="O1854" s="239"/>
      <c r="P1854" s="239"/>
      <c r="Q1854" s="239"/>
      <c r="R1854" s="239"/>
      <c r="S1854" s="239"/>
    </row>
    <row r="1855" spans="3:21" s="293" customFormat="1" x14ac:dyDescent="0.25">
      <c r="F1855" s="196" t="s">
        <v>928</v>
      </c>
      <c r="G1855" s="196" t="s">
        <v>120</v>
      </c>
      <c r="H1855" s="196" t="s">
        <v>480</v>
      </c>
      <c r="I1855" s="66"/>
      <c r="J1855" s="233">
        <f t="shared" ref="J1855" si="182">CHOOSE(year_selection, L1855,M1855,N1855,O1855,P1855,Q1855,R1855,S1855)</f>
        <v>789.94769280089258</v>
      </c>
      <c r="K1855" s="234"/>
      <c r="L1855" s="330"/>
      <c r="M1855" s="330"/>
      <c r="N1855" s="330"/>
      <c r="O1855" s="330">
        <v>789.94769280089258</v>
      </c>
      <c r="P1855" s="330">
        <v>880.78919409442551</v>
      </c>
      <c r="Q1855" s="330">
        <v>971.6306953879581</v>
      </c>
      <c r="R1855" s="330">
        <v>1062.4721966814907</v>
      </c>
      <c r="S1855" s="330">
        <v>1153.3136979750232</v>
      </c>
    </row>
    <row r="1856" spans="3:21" s="293" customFormat="1" x14ac:dyDescent="0.25">
      <c r="F1856" s="196" t="s">
        <v>929</v>
      </c>
      <c r="G1856" s="196" t="s">
        <v>120</v>
      </c>
      <c r="H1856" s="196" t="s">
        <v>480</v>
      </c>
      <c r="I1856" s="66"/>
      <c r="J1856" s="239"/>
      <c r="K1856" s="234"/>
      <c r="L1856" s="239"/>
      <c r="M1856" s="239"/>
      <c r="N1856" s="239"/>
      <c r="O1856" s="239"/>
      <c r="P1856" s="239"/>
      <c r="Q1856" s="239"/>
      <c r="R1856" s="239"/>
      <c r="S1856" s="239"/>
    </row>
    <row r="1857" spans="5:19" s="293" customFormat="1" x14ac:dyDescent="0.25">
      <c r="F1857" s="196" t="s">
        <v>930</v>
      </c>
      <c r="G1857" s="196" t="s">
        <v>120</v>
      </c>
      <c r="H1857" s="196" t="s">
        <v>480</v>
      </c>
      <c r="I1857" s="66"/>
      <c r="J1857" s="233">
        <f t="shared" ref="J1857:J1859" si="183">CHOOSE(year_selection, L1857,M1857,N1857,O1857,P1857,Q1857,R1857,S1857)</f>
        <v>6603.6460524389131</v>
      </c>
      <c r="K1857" s="234"/>
      <c r="L1857" s="330"/>
      <c r="M1857" s="330"/>
      <c r="N1857" s="330"/>
      <c r="O1857" s="330">
        <v>6603.6460524389131</v>
      </c>
      <c r="P1857" s="330">
        <v>6233.8973631707413</v>
      </c>
      <c r="Q1857" s="330">
        <v>6203.4078392007405</v>
      </c>
      <c r="R1857" s="330">
        <v>6143.5678578498755</v>
      </c>
      <c r="S1857" s="330">
        <v>6083.7278764990115</v>
      </c>
    </row>
    <row r="1858" spans="5:19" s="293" customFormat="1" x14ac:dyDescent="0.25">
      <c r="F1858" s="196" t="s">
        <v>931</v>
      </c>
      <c r="G1858" s="196" t="s">
        <v>120</v>
      </c>
      <c r="H1858" s="196" t="s">
        <v>480</v>
      </c>
      <c r="I1858" s="66"/>
      <c r="J1858" s="233">
        <f t="shared" si="183"/>
        <v>2125.561714021183</v>
      </c>
      <c r="K1858" s="234"/>
      <c r="L1858" s="330"/>
      <c r="M1858" s="330"/>
      <c r="N1858" s="330"/>
      <c r="O1858" s="330">
        <v>2125.561714021183</v>
      </c>
      <c r="P1858" s="330">
        <v>2529.2124778175767</v>
      </c>
      <c r="Q1858" s="330">
        <v>3055.9211042344987</v>
      </c>
      <c r="R1858" s="330">
        <v>3582.629730651423</v>
      </c>
      <c r="S1858" s="330">
        <v>4109.3383570683463</v>
      </c>
    </row>
    <row r="1859" spans="5:19" s="293" customFormat="1" x14ac:dyDescent="0.25">
      <c r="F1859" s="196" t="s">
        <v>932</v>
      </c>
      <c r="G1859" s="196" t="s">
        <v>120</v>
      </c>
      <c r="H1859" s="196" t="s">
        <v>480</v>
      </c>
      <c r="I1859" s="66"/>
      <c r="J1859" s="233">
        <f t="shared" si="183"/>
        <v>1576.0498492369738</v>
      </c>
      <c r="K1859" s="234"/>
      <c r="L1859" s="330"/>
      <c r="M1859" s="330"/>
      <c r="N1859" s="330"/>
      <c r="O1859" s="330">
        <v>1576.0498492369738</v>
      </c>
      <c r="P1859" s="330">
        <v>1576.0498492369738</v>
      </c>
      <c r="Q1859" s="330">
        <v>1576.0498492369738</v>
      </c>
      <c r="R1859" s="330">
        <v>1576.0498492369738</v>
      </c>
      <c r="S1859" s="330">
        <v>1576.0498492369738</v>
      </c>
    </row>
    <row r="1860" spans="5:19" s="293" customFormat="1" x14ac:dyDescent="0.25">
      <c r="F1860" s="196" t="s">
        <v>933</v>
      </c>
      <c r="G1860" s="196" t="s">
        <v>120</v>
      </c>
      <c r="H1860" s="196" t="s">
        <v>480</v>
      </c>
      <c r="I1860" s="66"/>
      <c r="J1860" s="239"/>
      <c r="K1860" s="234"/>
      <c r="L1860" s="239"/>
      <c r="M1860" s="239"/>
      <c r="N1860" s="239"/>
      <c r="O1860" s="239"/>
      <c r="P1860" s="239"/>
      <c r="Q1860" s="239"/>
      <c r="R1860" s="239"/>
      <c r="S1860" s="239"/>
    </row>
    <row r="1861" spans="5:19" s="293" customFormat="1" x14ac:dyDescent="0.25">
      <c r="F1861" s="196" t="s">
        <v>934</v>
      </c>
      <c r="G1861" s="196" t="s">
        <v>120</v>
      </c>
      <c r="H1861" s="196" t="s">
        <v>480</v>
      </c>
      <c r="I1861" s="66"/>
      <c r="J1861" s="239"/>
      <c r="K1861" s="234"/>
      <c r="L1861" s="239"/>
      <c r="M1861" s="239"/>
      <c r="N1861" s="239"/>
      <c r="O1861" s="239"/>
      <c r="P1861" s="239"/>
      <c r="Q1861" s="239"/>
      <c r="R1861" s="239"/>
      <c r="S1861" s="239"/>
    </row>
    <row r="1862" spans="5:19" s="293" customFormat="1" x14ac:dyDescent="0.25">
      <c r="F1862" s="196" t="s">
        <v>935</v>
      </c>
      <c r="G1862" s="196" t="s">
        <v>120</v>
      </c>
      <c r="H1862" s="196" t="s">
        <v>480</v>
      </c>
      <c r="I1862" s="66"/>
      <c r="J1862" s="239"/>
      <c r="K1862" s="234"/>
      <c r="L1862" s="239"/>
      <c r="M1862" s="239"/>
      <c r="N1862" s="239"/>
      <c r="O1862" s="239"/>
      <c r="P1862" s="239"/>
      <c r="Q1862" s="239"/>
      <c r="R1862" s="239"/>
      <c r="S1862" s="239"/>
    </row>
    <row r="1863" spans="5:19" s="293" customFormat="1" x14ac:dyDescent="0.25">
      <c r="F1863" s="196" t="s">
        <v>936</v>
      </c>
      <c r="G1863" s="196" t="s">
        <v>120</v>
      </c>
      <c r="H1863" s="196" t="s">
        <v>480</v>
      </c>
      <c r="I1863" s="66"/>
      <c r="J1863" s="239"/>
      <c r="K1863" s="234"/>
      <c r="L1863" s="239"/>
      <c r="M1863" s="239"/>
      <c r="N1863" s="239"/>
      <c r="O1863" s="239"/>
      <c r="P1863" s="239"/>
      <c r="Q1863" s="239"/>
      <c r="R1863" s="239"/>
      <c r="S1863" s="239"/>
    </row>
    <row r="1864" spans="5:19" s="293" customFormat="1" x14ac:dyDescent="0.25">
      <c r="F1864" s="196" t="s">
        <v>937</v>
      </c>
      <c r="G1864" s="196" t="s">
        <v>120</v>
      </c>
      <c r="H1864" s="196" t="s">
        <v>480</v>
      </c>
      <c r="I1864" s="66"/>
      <c r="J1864" s="239"/>
      <c r="K1864" s="234"/>
      <c r="L1864" s="239"/>
      <c r="M1864" s="239"/>
      <c r="N1864" s="239"/>
      <c r="O1864" s="239"/>
      <c r="P1864" s="239"/>
      <c r="Q1864" s="239"/>
      <c r="R1864" s="239"/>
      <c r="S1864" s="239"/>
    </row>
    <row r="1865" spans="5:19" s="293" customFormat="1" x14ac:dyDescent="0.25">
      <c r="F1865" s="196" t="s">
        <v>938</v>
      </c>
      <c r="G1865" s="196" t="s">
        <v>120</v>
      </c>
      <c r="H1865" s="196" t="s">
        <v>480</v>
      </c>
      <c r="I1865" s="66"/>
      <c r="J1865" s="239"/>
      <c r="K1865" s="234"/>
      <c r="L1865" s="239"/>
      <c r="M1865" s="239"/>
      <c r="N1865" s="239"/>
      <c r="O1865" s="239"/>
      <c r="P1865" s="239"/>
      <c r="Q1865" s="239"/>
      <c r="R1865" s="239"/>
      <c r="S1865" s="239"/>
    </row>
    <row r="1866" spans="5:19" s="293" customFormat="1" x14ac:dyDescent="0.25">
      <c r="F1866" s="196" t="s">
        <v>939</v>
      </c>
      <c r="G1866" s="196" t="s">
        <v>120</v>
      </c>
      <c r="H1866" s="196" t="s">
        <v>480</v>
      </c>
      <c r="I1866" s="66"/>
      <c r="J1866" s="239"/>
      <c r="K1866" s="234"/>
      <c r="L1866" s="239"/>
      <c r="M1866" s="239"/>
      <c r="N1866" s="239"/>
      <c r="O1866" s="239"/>
      <c r="P1866" s="239"/>
      <c r="Q1866" s="239"/>
      <c r="R1866" s="239"/>
      <c r="S1866" s="239"/>
    </row>
    <row r="1867" spans="5:19" s="293" customFormat="1" x14ac:dyDescent="0.25">
      <c r="F1867" s="196" t="s">
        <v>940</v>
      </c>
      <c r="G1867" s="196" t="s">
        <v>120</v>
      </c>
      <c r="H1867" s="196" t="s">
        <v>480</v>
      </c>
      <c r="I1867" s="66"/>
      <c r="J1867" s="239"/>
      <c r="K1867" s="234"/>
      <c r="L1867" s="239"/>
      <c r="M1867" s="239"/>
      <c r="N1867" s="239"/>
      <c r="O1867" s="239"/>
      <c r="P1867" s="239"/>
      <c r="Q1867" s="239"/>
      <c r="R1867" s="239"/>
      <c r="S1867" s="239"/>
    </row>
    <row r="1868" spans="5:19" s="293" customFormat="1" x14ac:dyDescent="0.25">
      <c r="F1868" s="93" t="s">
        <v>941</v>
      </c>
      <c r="G1868" s="93" t="s">
        <v>120</v>
      </c>
      <c r="H1868" s="93" t="s">
        <v>480</v>
      </c>
      <c r="I1868" s="145"/>
      <c r="J1868" s="240"/>
      <c r="K1868" s="236"/>
      <c r="L1868" s="240"/>
      <c r="M1868" s="240"/>
      <c r="N1868" s="240"/>
      <c r="O1868" s="240"/>
      <c r="P1868" s="240"/>
      <c r="Q1868" s="240"/>
      <c r="R1868" s="240"/>
      <c r="S1868" s="240"/>
    </row>
    <row r="1869" spans="5:19" s="293" customFormat="1" x14ac:dyDescent="0.25">
      <c r="I1869" s="111"/>
      <c r="J1869" s="237"/>
      <c r="K1869" s="237"/>
      <c r="L1869" s="237"/>
      <c r="M1869" s="237"/>
      <c r="N1869" s="237"/>
      <c r="O1869" s="237"/>
      <c r="P1869" s="237"/>
      <c r="Q1869" s="237"/>
      <c r="R1869" s="237"/>
      <c r="S1869" s="237"/>
    </row>
    <row r="1870" spans="5:19" s="293" customFormat="1" x14ac:dyDescent="0.25">
      <c r="E1870" s="144" t="s">
        <v>200</v>
      </c>
      <c r="I1870" s="111"/>
      <c r="J1870" s="237"/>
      <c r="K1870" s="237"/>
      <c r="L1870" s="237"/>
      <c r="M1870" s="237"/>
      <c r="N1870" s="237"/>
      <c r="O1870" s="237"/>
      <c r="P1870" s="237"/>
      <c r="Q1870" s="237"/>
      <c r="R1870" s="237"/>
      <c r="S1870" s="237"/>
    </row>
    <row r="1871" spans="5:19" s="293" customFormat="1" x14ac:dyDescent="0.25">
      <c r="F1871" s="91" t="s">
        <v>926</v>
      </c>
      <c r="G1871" s="91" t="s">
        <v>120</v>
      </c>
      <c r="H1871" s="91" t="s">
        <v>480</v>
      </c>
      <c r="I1871" s="112"/>
      <c r="J1871" s="238"/>
      <c r="K1871" s="232"/>
      <c r="L1871" s="238"/>
      <c r="M1871" s="238"/>
      <c r="N1871" s="238"/>
      <c r="O1871" s="238"/>
      <c r="P1871" s="238"/>
      <c r="Q1871" s="238"/>
      <c r="R1871" s="238"/>
      <c r="S1871" s="238"/>
    </row>
    <row r="1872" spans="5:19" s="293" customFormat="1" x14ac:dyDescent="0.25">
      <c r="F1872" s="196" t="s">
        <v>927</v>
      </c>
      <c r="G1872" s="196" t="s">
        <v>120</v>
      </c>
      <c r="H1872" s="196" t="s">
        <v>480</v>
      </c>
      <c r="I1872" s="66"/>
      <c r="J1872" s="239"/>
      <c r="K1872" s="234"/>
      <c r="L1872" s="239"/>
      <c r="M1872" s="239"/>
      <c r="N1872" s="239"/>
      <c r="O1872" s="239"/>
      <c r="P1872" s="239"/>
      <c r="Q1872" s="239"/>
      <c r="R1872" s="239"/>
      <c r="S1872" s="239"/>
    </row>
    <row r="1873" spans="5:19" s="293" customFormat="1" x14ac:dyDescent="0.25">
      <c r="F1873" s="196" t="s">
        <v>928</v>
      </c>
      <c r="G1873" s="196" t="s">
        <v>120</v>
      </c>
      <c r="H1873" s="196" t="s">
        <v>480</v>
      </c>
      <c r="I1873" s="66"/>
      <c r="J1873" s="233">
        <f t="shared" ref="J1873" si="184">CHOOSE(year_selection, L1873,M1873,N1873,O1873,P1873,Q1873,R1873,S1873)</f>
        <v>5448.8086427065409</v>
      </c>
      <c r="K1873" s="234"/>
      <c r="L1873" s="330"/>
      <c r="M1873" s="330"/>
      <c r="N1873" s="330"/>
      <c r="O1873" s="330">
        <v>5448.8086427065409</v>
      </c>
      <c r="P1873" s="330">
        <v>6108.0700954472122</v>
      </c>
      <c r="Q1873" s="330">
        <v>6759.5087772962788</v>
      </c>
      <c r="R1873" s="330">
        <v>7407.6436414575901</v>
      </c>
      <c r="S1873" s="330">
        <v>8055.7785056189014</v>
      </c>
    </row>
    <row r="1874" spans="5:19" s="293" customFormat="1" x14ac:dyDescent="0.25">
      <c r="F1874" s="196" t="s">
        <v>929</v>
      </c>
      <c r="G1874" s="196" t="s">
        <v>120</v>
      </c>
      <c r="H1874" s="196" t="s">
        <v>480</v>
      </c>
      <c r="I1874" s="66"/>
      <c r="J1874" s="239"/>
      <c r="K1874" s="234"/>
      <c r="L1874" s="239"/>
      <c r="M1874" s="239"/>
      <c r="N1874" s="239"/>
      <c r="O1874" s="239"/>
      <c r="P1874" s="239"/>
      <c r="Q1874" s="239"/>
      <c r="R1874" s="239"/>
      <c r="S1874" s="239"/>
    </row>
    <row r="1875" spans="5:19" s="293" customFormat="1" x14ac:dyDescent="0.25">
      <c r="F1875" s="196" t="s">
        <v>930</v>
      </c>
      <c r="G1875" s="196" t="s">
        <v>120</v>
      </c>
      <c r="H1875" s="196" t="s">
        <v>480</v>
      </c>
      <c r="I1875" s="66"/>
      <c r="J1875" s="233">
        <f t="shared" ref="J1875:J1877" si="185">CHOOSE(year_selection, L1875,M1875,N1875,O1875,P1875,Q1875,R1875,S1875)</f>
        <v>35505.874639869216</v>
      </c>
      <c r="K1875" s="234"/>
      <c r="L1875" s="330"/>
      <c r="M1875" s="330"/>
      <c r="N1875" s="330"/>
      <c r="O1875" s="330">
        <v>35505.874639869216</v>
      </c>
      <c r="P1875" s="330">
        <v>33304.326917438724</v>
      </c>
      <c r="Q1875" s="330">
        <v>32985.032899032296</v>
      </c>
      <c r="R1875" s="330">
        <v>32532.590600564155</v>
      </c>
      <c r="S1875" s="330">
        <v>32080.148302096015</v>
      </c>
    </row>
    <row r="1876" spans="5:19" s="293" customFormat="1" x14ac:dyDescent="0.25">
      <c r="F1876" s="196" t="s">
        <v>931</v>
      </c>
      <c r="G1876" s="196" t="s">
        <v>120</v>
      </c>
      <c r="H1876" s="196" t="s">
        <v>480</v>
      </c>
      <c r="I1876" s="66"/>
      <c r="J1876" s="233">
        <f t="shared" si="185"/>
        <v>12068.902774692056</v>
      </c>
      <c r="K1876" s="234"/>
      <c r="L1876" s="330"/>
      <c r="M1876" s="330"/>
      <c r="N1876" s="330"/>
      <c r="O1876" s="330">
        <v>12068.902774692056</v>
      </c>
      <c r="P1876" s="330">
        <v>14359.572704011976</v>
      </c>
      <c r="Q1876" s="330">
        <v>17348.963056188448</v>
      </c>
      <c r="R1876" s="330">
        <v>20338.353408364921</v>
      </c>
      <c r="S1876" s="330">
        <v>23327.743760541387</v>
      </c>
    </row>
    <row r="1877" spans="5:19" s="293" customFormat="1" x14ac:dyDescent="0.25">
      <c r="F1877" s="196" t="s">
        <v>932</v>
      </c>
      <c r="G1877" s="196" t="s">
        <v>120</v>
      </c>
      <c r="H1877" s="196" t="s">
        <v>480</v>
      </c>
      <c r="I1877" s="66"/>
      <c r="J1877" s="233">
        <f t="shared" si="185"/>
        <v>6541.9799014553437</v>
      </c>
      <c r="K1877" s="234"/>
      <c r="L1877" s="330"/>
      <c r="M1877" s="330"/>
      <c r="N1877" s="330"/>
      <c r="O1877" s="330">
        <v>6541.9799014553437</v>
      </c>
      <c r="P1877" s="330">
        <v>5757.6899986950366</v>
      </c>
      <c r="Q1877" s="330">
        <v>4973.4000959347304</v>
      </c>
      <c r="R1877" s="330">
        <v>4973.4000959347304</v>
      </c>
      <c r="S1877" s="330">
        <v>4973.4000959347304</v>
      </c>
    </row>
    <row r="1878" spans="5:19" s="293" customFormat="1" x14ac:dyDescent="0.25">
      <c r="F1878" s="196" t="s">
        <v>933</v>
      </c>
      <c r="G1878" s="196" t="s">
        <v>120</v>
      </c>
      <c r="H1878" s="196" t="s">
        <v>480</v>
      </c>
      <c r="I1878" s="66"/>
      <c r="J1878" s="239"/>
      <c r="K1878" s="234"/>
      <c r="L1878" s="239"/>
      <c r="M1878" s="239"/>
      <c r="N1878" s="239"/>
      <c r="O1878" s="239"/>
      <c r="P1878" s="239"/>
      <c r="Q1878" s="239"/>
      <c r="R1878" s="239"/>
      <c r="S1878" s="239"/>
    </row>
    <row r="1879" spans="5:19" s="293" customFormat="1" x14ac:dyDescent="0.25">
      <c r="F1879" s="196" t="s">
        <v>934</v>
      </c>
      <c r="G1879" s="196" t="s">
        <v>120</v>
      </c>
      <c r="H1879" s="196" t="s">
        <v>480</v>
      </c>
      <c r="I1879" s="66"/>
      <c r="J1879" s="239"/>
      <c r="K1879" s="234"/>
      <c r="L1879" s="239"/>
      <c r="M1879" s="239"/>
      <c r="N1879" s="239"/>
      <c r="O1879" s="239"/>
      <c r="P1879" s="239"/>
      <c r="Q1879" s="239"/>
      <c r="R1879" s="239"/>
      <c r="S1879" s="239"/>
    </row>
    <row r="1880" spans="5:19" s="293" customFormat="1" x14ac:dyDescent="0.25">
      <c r="F1880" s="196" t="s">
        <v>935</v>
      </c>
      <c r="G1880" s="196" t="s">
        <v>120</v>
      </c>
      <c r="H1880" s="196" t="s">
        <v>480</v>
      </c>
      <c r="I1880" s="66"/>
      <c r="J1880" s="239"/>
      <c r="K1880" s="234"/>
      <c r="L1880" s="239"/>
      <c r="M1880" s="239"/>
      <c r="N1880" s="239"/>
      <c r="O1880" s="239"/>
      <c r="P1880" s="239"/>
      <c r="Q1880" s="239"/>
      <c r="R1880" s="239"/>
      <c r="S1880" s="239"/>
    </row>
    <row r="1881" spans="5:19" s="293" customFormat="1" x14ac:dyDescent="0.25">
      <c r="F1881" s="196" t="s">
        <v>936</v>
      </c>
      <c r="G1881" s="196" t="s">
        <v>120</v>
      </c>
      <c r="H1881" s="196" t="s">
        <v>480</v>
      </c>
      <c r="I1881" s="66"/>
      <c r="J1881" s="239"/>
      <c r="K1881" s="234"/>
      <c r="L1881" s="239"/>
      <c r="M1881" s="239"/>
      <c r="N1881" s="239"/>
      <c r="O1881" s="239"/>
      <c r="P1881" s="239"/>
      <c r="Q1881" s="239"/>
      <c r="R1881" s="239"/>
      <c r="S1881" s="239"/>
    </row>
    <row r="1882" spans="5:19" s="293" customFormat="1" x14ac:dyDescent="0.25">
      <c r="F1882" s="196" t="s">
        <v>937</v>
      </c>
      <c r="G1882" s="196" t="s">
        <v>120</v>
      </c>
      <c r="H1882" s="196" t="s">
        <v>480</v>
      </c>
      <c r="I1882" s="66"/>
      <c r="J1882" s="239"/>
      <c r="K1882" s="234"/>
      <c r="L1882" s="239"/>
      <c r="M1882" s="239"/>
      <c r="N1882" s="239"/>
      <c r="O1882" s="239"/>
      <c r="P1882" s="239"/>
      <c r="Q1882" s="239"/>
      <c r="R1882" s="239"/>
      <c r="S1882" s="239"/>
    </row>
    <row r="1883" spans="5:19" s="293" customFormat="1" x14ac:dyDescent="0.25">
      <c r="F1883" s="196" t="s">
        <v>938</v>
      </c>
      <c r="G1883" s="196" t="s">
        <v>120</v>
      </c>
      <c r="H1883" s="196" t="s">
        <v>480</v>
      </c>
      <c r="I1883" s="66"/>
      <c r="J1883" s="239"/>
      <c r="K1883" s="234"/>
      <c r="L1883" s="239"/>
      <c r="M1883" s="239"/>
      <c r="N1883" s="239"/>
      <c r="O1883" s="239"/>
      <c r="P1883" s="239"/>
      <c r="Q1883" s="239"/>
      <c r="R1883" s="239"/>
      <c r="S1883" s="239"/>
    </row>
    <row r="1884" spans="5:19" s="293" customFormat="1" x14ac:dyDescent="0.25">
      <c r="F1884" s="196" t="s">
        <v>939</v>
      </c>
      <c r="G1884" s="196" t="s">
        <v>120</v>
      </c>
      <c r="H1884" s="196" t="s">
        <v>480</v>
      </c>
      <c r="I1884" s="66"/>
      <c r="J1884" s="239"/>
      <c r="K1884" s="234"/>
      <c r="L1884" s="239"/>
      <c r="M1884" s="239"/>
      <c r="N1884" s="239"/>
      <c r="O1884" s="239"/>
      <c r="P1884" s="239"/>
      <c r="Q1884" s="239"/>
      <c r="R1884" s="239"/>
      <c r="S1884" s="239"/>
    </row>
    <row r="1885" spans="5:19" s="293" customFormat="1" x14ac:dyDescent="0.25">
      <c r="F1885" s="196" t="s">
        <v>940</v>
      </c>
      <c r="G1885" s="196" t="s">
        <v>120</v>
      </c>
      <c r="H1885" s="196" t="s">
        <v>480</v>
      </c>
      <c r="I1885" s="66"/>
      <c r="J1885" s="239"/>
      <c r="K1885" s="234"/>
      <c r="L1885" s="239"/>
      <c r="M1885" s="239"/>
      <c r="N1885" s="239"/>
      <c r="O1885" s="239"/>
      <c r="P1885" s="239"/>
      <c r="Q1885" s="239"/>
      <c r="R1885" s="239"/>
      <c r="S1885" s="239"/>
    </row>
    <row r="1886" spans="5:19" s="293" customFormat="1" x14ac:dyDescent="0.25">
      <c r="F1886" s="93" t="s">
        <v>941</v>
      </c>
      <c r="G1886" s="93" t="s">
        <v>120</v>
      </c>
      <c r="H1886" s="93" t="s">
        <v>480</v>
      </c>
      <c r="I1886" s="145"/>
      <c r="J1886" s="240"/>
      <c r="K1886" s="236"/>
      <c r="L1886" s="240"/>
      <c r="M1886" s="240"/>
      <c r="N1886" s="240"/>
      <c r="O1886" s="240"/>
      <c r="P1886" s="240"/>
      <c r="Q1886" s="240"/>
      <c r="R1886" s="240"/>
      <c r="S1886" s="240"/>
    </row>
    <row r="1887" spans="5:19" s="293" customFormat="1" x14ac:dyDescent="0.25">
      <c r="I1887" s="111"/>
      <c r="J1887" s="237"/>
      <c r="K1887" s="237"/>
      <c r="L1887" s="237"/>
      <c r="M1887" s="237"/>
      <c r="N1887" s="237"/>
      <c r="O1887" s="237"/>
      <c r="P1887" s="237"/>
      <c r="Q1887" s="237"/>
      <c r="R1887" s="237"/>
      <c r="S1887" s="237"/>
    </row>
    <row r="1888" spans="5:19" s="293" customFormat="1" x14ac:dyDescent="0.25">
      <c r="E1888" s="144" t="s">
        <v>201</v>
      </c>
      <c r="I1888" s="111"/>
      <c r="J1888" s="237"/>
      <c r="K1888" s="237"/>
      <c r="L1888" s="237"/>
      <c r="M1888" s="237"/>
      <c r="N1888" s="237"/>
      <c r="O1888" s="237"/>
      <c r="P1888" s="237"/>
      <c r="Q1888" s="237"/>
      <c r="R1888" s="237"/>
      <c r="S1888" s="237"/>
    </row>
    <row r="1889" spans="6:19" s="293" customFormat="1" x14ac:dyDescent="0.25">
      <c r="F1889" s="91" t="s">
        <v>926</v>
      </c>
      <c r="G1889" s="91" t="s">
        <v>120</v>
      </c>
      <c r="H1889" s="91" t="s">
        <v>480</v>
      </c>
      <c r="I1889" s="112"/>
      <c r="J1889" s="238"/>
      <c r="K1889" s="232"/>
      <c r="L1889" s="238"/>
      <c r="M1889" s="238"/>
      <c r="N1889" s="238"/>
      <c r="O1889" s="238"/>
      <c r="P1889" s="238"/>
      <c r="Q1889" s="238"/>
      <c r="R1889" s="238"/>
      <c r="S1889" s="238"/>
    </row>
    <row r="1890" spans="6:19" s="293" customFormat="1" x14ac:dyDescent="0.25">
      <c r="F1890" s="196" t="s">
        <v>927</v>
      </c>
      <c r="G1890" s="196" t="s">
        <v>120</v>
      </c>
      <c r="H1890" s="196" t="s">
        <v>480</v>
      </c>
      <c r="I1890" s="66"/>
      <c r="J1890" s="239"/>
      <c r="K1890" s="234"/>
      <c r="L1890" s="239"/>
      <c r="M1890" s="239"/>
      <c r="N1890" s="239"/>
      <c r="O1890" s="239"/>
      <c r="P1890" s="239"/>
      <c r="Q1890" s="239"/>
      <c r="R1890" s="239"/>
      <c r="S1890" s="239"/>
    </row>
    <row r="1891" spans="6:19" s="293" customFormat="1" x14ac:dyDescent="0.25">
      <c r="F1891" s="196" t="s">
        <v>928</v>
      </c>
      <c r="G1891" s="196" t="s">
        <v>120</v>
      </c>
      <c r="H1891" s="196" t="s">
        <v>480</v>
      </c>
      <c r="I1891" s="66"/>
      <c r="J1891" s="233">
        <f t="shared" ref="J1891" si="186">CHOOSE(year_selection, L1891,M1891,N1891,O1891,P1891,Q1891,R1891,S1891)</f>
        <v>2129.6022068003754</v>
      </c>
      <c r="K1891" s="234"/>
      <c r="L1891" s="330"/>
      <c r="M1891" s="330"/>
      <c r="N1891" s="330"/>
      <c r="O1891" s="330">
        <v>2129.6022068003754</v>
      </c>
      <c r="P1891" s="330">
        <v>2374.7792707488875</v>
      </c>
      <c r="Q1891" s="330">
        <v>2619.9563346974001</v>
      </c>
      <c r="R1891" s="330">
        <v>2865.1333986459117</v>
      </c>
      <c r="S1891" s="330">
        <v>3110.3104625944234</v>
      </c>
    </row>
    <row r="1892" spans="6:19" s="293" customFormat="1" x14ac:dyDescent="0.25">
      <c r="F1892" s="196" t="s">
        <v>929</v>
      </c>
      <c r="G1892" s="196" t="s">
        <v>120</v>
      </c>
      <c r="H1892" s="196" t="s">
        <v>480</v>
      </c>
      <c r="I1892" s="66"/>
      <c r="J1892" s="239"/>
      <c r="K1892" s="234"/>
      <c r="L1892" s="239"/>
      <c r="M1892" s="239"/>
      <c r="N1892" s="239"/>
      <c r="O1892" s="239"/>
      <c r="P1892" s="239"/>
      <c r="Q1892" s="239"/>
      <c r="R1892" s="239"/>
      <c r="S1892" s="239"/>
    </row>
    <row r="1893" spans="6:19" s="293" customFormat="1" x14ac:dyDescent="0.25">
      <c r="F1893" s="196" t="s">
        <v>930</v>
      </c>
      <c r="G1893" s="196" t="s">
        <v>120</v>
      </c>
      <c r="H1893" s="196" t="s">
        <v>480</v>
      </c>
      <c r="I1893" s="66"/>
      <c r="J1893" s="233">
        <f t="shared" ref="J1893:J1895" si="187">CHOOSE(year_selection, L1893,M1893,N1893,O1893,P1893,Q1893,R1893,S1893)</f>
        <v>19567.302304921617</v>
      </c>
      <c r="K1893" s="234"/>
      <c r="L1893" s="330"/>
      <c r="M1893" s="330"/>
      <c r="N1893" s="330"/>
      <c r="O1893" s="330">
        <v>19567.302304921617</v>
      </c>
      <c r="P1893" s="330">
        <v>18823.73400478929</v>
      </c>
      <c r="Q1893" s="330">
        <v>19116.030254396712</v>
      </c>
      <c r="R1893" s="330">
        <v>19346.955352273795</v>
      </c>
      <c r="S1893" s="330">
        <v>19577.880450150882</v>
      </c>
    </row>
    <row r="1894" spans="6:19" s="293" customFormat="1" x14ac:dyDescent="0.25">
      <c r="F1894" s="196" t="s">
        <v>931</v>
      </c>
      <c r="G1894" s="196" t="s">
        <v>120</v>
      </c>
      <c r="H1894" s="196" t="s">
        <v>480</v>
      </c>
      <c r="I1894" s="66"/>
      <c r="J1894" s="233">
        <f t="shared" si="187"/>
        <v>6747.2793682292622</v>
      </c>
      <c r="K1894" s="234"/>
      <c r="L1894" s="330"/>
      <c r="M1894" s="330"/>
      <c r="N1894" s="330"/>
      <c r="O1894" s="330">
        <v>6747.2793682292622</v>
      </c>
      <c r="P1894" s="330">
        <v>8027.7650940725525</v>
      </c>
      <c r="Q1894" s="330">
        <v>9698.8796932535606</v>
      </c>
      <c r="R1894" s="330">
        <v>11369.994292434571</v>
      </c>
      <c r="S1894" s="330">
        <v>13041.108891615582</v>
      </c>
    </row>
    <row r="1895" spans="6:19" s="293" customFormat="1" x14ac:dyDescent="0.25">
      <c r="F1895" s="196" t="s">
        <v>932</v>
      </c>
      <c r="G1895" s="196" t="s">
        <v>120</v>
      </c>
      <c r="H1895" s="196" t="s">
        <v>480</v>
      </c>
      <c r="I1895" s="66"/>
      <c r="J1895" s="233">
        <f t="shared" si="187"/>
        <v>4664.992257820003</v>
      </c>
      <c r="K1895" s="234"/>
      <c r="L1895" s="330"/>
      <c r="M1895" s="330"/>
      <c r="N1895" s="330"/>
      <c r="O1895" s="330">
        <v>4664.992257820003</v>
      </c>
      <c r="P1895" s="330">
        <v>4037.5603356117563</v>
      </c>
      <c r="Q1895" s="330">
        <v>3410.1284134035109</v>
      </c>
      <c r="R1895" s="330">
        <v>3410.1284134035109</v>
      </c>
      <c r="S1895" s="330">
        <v>3410.1284134035109</v>
      </c>
    </row>
    <row r="1896" spans="6:19" s="293" customFormat="1" x14ac:dyDescent="0.25">
      <c r="F1896" s="196" t="s">
        <v>933</v>
      </c>
      <c r="G1896" s="196" t="s">
        <v>120</v>
      </c>
      <c r="H1896" s="196" t="s">
        <v>480</v>
      </c>
      <c r="I1896" s="66"/>
      <c r="J1896" s="239"/>
      <c r="K1896" s="234"/>
      <c r="L1896" s="239"/>
      <c r="M1896" s="239"/>
      <c r="N1896" s="239"/>
      <c r="O1896" s="239"/>
      <c r="P1896" s="239"/>
      <c r="Q1896" s="239"/>
      <c r="R1896" s="239"/>
      <c r="S1896" s="239"/>
    </row>
    <row r="1897" spans="6:19" s="293" customFormat="1" x14ac:dyDescent="0.25">
      <c r="F1897" s="196" t="s">
        <v>934</v>
      </c>
      <c r="G1897" s="196" t="s">
        <v>120</v>
      </c>
      <c r="H1897" s="196" t="s">
        <v>480</v>
      </c>
      <c r="I1897" s="66"/>
      <c r="J1897" s="239"/>
      <c r="K1897" s="234"/>
      <c r="L1897" s="239"/>
      <c r="M1897" s="239"/>
      <c r="N1897" s="239"/>
      <c r="O1897" s="239"/>
      <c r="P1897" s="239"/>
      <c r="Q1897" s="239"/>
      <c r="R1897" s="239"/>
      <c r="S1897" s="239"/>
    </row>
    <row r="1898" spans="6:19" s="293" customFormat="1" x14ac:dyDescent="0.25">
      <c r="F1898" s="196" t="s">
        <v>935</v>
      </c>
      <c r="G1898" s="196" t="s">
        <v>120</v>
      </c>
      <c r="H1898" s="196" t="s">
        <v>480</v>
      </c>
      <c r="I1898" s="66"/>
      <c r="J1898" s="239"/>
      <c r="K1898" s="234"/>
      <c r="L1898" s="239"/>
      <c r="M1898" s="239"/>
      <c r="N1898" s="239"/>
      <c r="O1898" s="239"/>
      <c r="P1898" s="239"/>
      <c r="Q1898" s="239"/>
      <c r="R1898" s="239"/>
      <c r="S1898" s="239"/>
    </row>
    <row r="1899" spans="6:19" s="293" customFormat="1" x14ac:dyDescent="0.25">
      <c r="F1899" s="196" t="s">
        <v>936</v>
      </c>
      <c r="G1899" s="196" t="s">
        <v>120</v>
      </c>
      <c r="H1899" s="196" t="s">
        <v>480</v>
      </c>
      <c r="I1899" s="66"/>
      <c r="J1899" s="239"/>
      <c r="K1899" s="234"/>
      <c r="L1899" s="239"/>
      <c r="M1899" s="239"/>
      <c r="N1899" s="239"/>
      <c r="O1899" s="239"/>
      <c r="P1899" s="239"/>
      <c r="Q1899" s="239"/>
      <c r="R1899" s="239"/>
      <c r="S1899" s="239"/>
    </row>
    <row r="1900" spans="6:19" s="293" customFormat="1" x14ac:dyDescent="0.25">
      <c r="F1900" s="196" t="s">
        <v>937</v>
      </c>
      <c r="G1900" s="196" t="s">
        <v>120</v>
      </c>
      <c r="H1900" s="196" t="s">
        <v>480</v>
      </c>
      <c r="I1900" s="66"/>
      <c r="J1900" s="239"/>
      <c r="K1900" s="234"/>
      <c r="L1900" s="239"/>
      <c r="M1900" s="239"/>
      <c r="N1900" s="239"/>
      <c r="O1900" s="239"/>
      <c r="P1900" s="239"/>
      <c r="Q1900" s="239"/>
      <c r="R1900" s="239"/>
      <c r="S1900" s="239"/>
    </row>
    <row r="1901" spans="6:19" s="293" customFormat="1" x14ac:dyDescent="0.25">
      <c r="F1901" s="196" t="s">
        <v>938</v>
      </c>
      <c r="G1901" s="196" t="s">
        <v>120</v>
      </c>
      <c r="H1901" s="196" t="s">
        <v>480</v>
      </c>
      <c r="I1901" s="66"/>
      <c r="J1901" s="239"/>
      <c r="K1901" s="234"/>
      <c r="L1901" s="239"/>
      <c r="M1901" s="239"/>
      <c r="N1901" s="239"/>
      <c r="O1901" s="239"/>
      <c r="P1901" s="239"/>
      <c r="Q1901" s="239"/>
      <c r="R1901" s="239"/>
      <c r="S1901" s="239"/>
    </row>
    <row r="1902" spans="6:19" s="293" customFormat="1" x14ac:dyDescent="0.25">
      <c r="F1902" s="196" t="s">
        <v>939</v>
      </c>
      <c r="G1902" s="196" t="s">
        <v>120</v>
      </c>
      <c r="H1902" s="196" t="s">
        <v>480</v>
      </c>
      <c r="I1902" s="66"/>
      <c r="J1902" s="239"/>
      <c r="K1902" s="234"/>
      <c r="L1902" s="239"/>
      <c r="M1902" s="239"/>
      <c r="N1902" s="239"/>
      <c r="O1902" s="239"/>
      <c r="P1902" s="239"/>
      <c r="Q1902" s="239"/>
      <c r="R1902" s="239"/>
      <c r="S1902" s="239"/>
    </row>
    <row r="1903" spans="6:19" s="293" customFormat="1" x14ac:dyDescent="0.25">
      <c r="F1903" s="196" t="s">
        <v>940</v>
      </c>
      <c r="G1903" s="196" t="s">
        <v>120</v>
      </c>
      <c r="H1903" s="196" t="s">
        <v>480</v>
      </c>
      <c r="I1903" s="66"/>
      <c r="J1903" s="239"/>
      <c r="K1903" s="234"/>
      <c r="L1903" s="239"/>
      <c r="M1903" s="239"/>
      <c r="N1903" s="239"/>
      <c r="O1903" s="239"/>
      <c r="P1903" s="239"/>
      <c r="Q1903" s="239"/>
      <c r="R1903" s="239"/>
      <c r="S1903" s="239"/>
    </row>
    <row r="1904" spans="6:19" s="293" customFormat="1" x14ac:dyDescent="0.25">
      <c r="F1904" s="93" t="s">
        <v>941</v>
      </c>
      <c r="G1904" s="93" t="s">
        <v>120</v>
      </c>
      <c r="H1904" s="93" t="s">
        <v>480</v>
      </c>
      <c r="I1904" s="145"/>
      <c r="J1904" s="240"/>
      <c r="K1904" s="236"/>
      <c r="L1904" s="240"/>
      <c r="M1904" s="240"/>
      <c r="N1904" s="240"/>
      <c r="O1904" s="240"/>
      <c r="P1904" s="240"/>
      <c r="Q1904" s="240"/>
      <c r="R1904" s="240"/>
      <c r="S1904" s="240"/>
    </row>
    <row r="1905" spans="5:19" s="293" customFormat="1" x14ac:dyDescent="0.25">
      <c r="I1905" s="111"/>
      <c r="J1905" s="237"/>
      <c r="K1905" s="237"/>
      <c r="L1905" s="237"/>
      <c r="M1905" s="237"/>
      <c r="N1905" s="237"/>
      <c r="O1905" s="237"/>
      <c r="P1905" s="237"/>
      <c r="Q1905" s="237"/>
      <c r="R1905" s="237"/>
      <c r="S1905" s="237"/>
    </row>
    <row r="1906" spans="5:19" s="293" customFormat="1" x14ac:dyDescent="0.25">
      <c r="E1906" s="144" t="s">
        <v>74</v>
      </c>
      <c r="I1906" s="111"/>
      <c r="J1906" s="237"/>
      <c r="K1906" s="237"/>
      <c r="L1906" s="237"/>
      <c r="M1906" s="237"/>
      <c r="N1906" s="237"/>
      <c r="O1906" s="237"/>
      <c r="P1906" s="237"/>
      <c r="Q1906" s="237"/>
      <c r="R1906" s="237"/>
      <c r="S1906" s="237"/>
    </row>
    <row r="1907" spans="5:19" s="293" customFormat="1" x14ac:dyDescent="0.25">
      <c r="F1907" s="91" t="s">
        <v>926</v>
      </c>
      <c r="G1907" s="91" t="s">
        <v>74</v>
      </c>
      <c r="H1907" s="91" t="s">
        <v>480</v>
      </c>
      <c r="I1907" s="112"/>
      <c r="J1907" s="238"/>
      <c r="K1907" s="232"/>
      <c r="L1907" s="238"/>
      <c r="M1907" s="238"/>
      <c r="N1907" s="238"/>
      <c r="O1907" s="238"/>
      <c r="P1907" s="238"/>
      <c r="Q1907" s="238"/>
      <c r="R1907" s="238"/>
      <c r="S1907" s="238"/>
    </row>
    <row r="1908" spans="5:19" s="293" customFormat="1" x14ac:dyDescent="0.25">
      <c r="F1908" s="196" t="s">
        <v>927</v>
      </c>
      <c r="G1908" s="196" t="s">
        <v>74</v>
      </c>
      <c r="H1908" s="196" t="s">
        <v>480</v>
      </c>
      <c r="I1908" s="66"/>
      <c r="J1908" s="239"/>
      <c r="K1908" s="234"/>
      <c r="L1908" s="239"/>
      <c r="M1908" s="239"/>
      <c r="N1908" s="239"/>
      <c r="O1908" s="239"/>
      <c r="P1908" s="239"/>
      <c r="Q1908" s="239"/>
      <c r="R1908" s="239"/>
      <c r="S1908" s="239"/>
    </row>
    <row r="1909" spans="5:19" s="293" customFormat="1" x14ac:dyDescent="0.25">
      <c r="F1909" s="196" t="s">
        <v>928</v>
      </c>
      <c r="G1909" s="196" t="s">
        <v>74</v>
      </c>
      <c r="H1909" s="196" t="s">
        <v>480</v>
      </c>
      <c r="I1909" s="66"/>
      <c r="J1909" s="233">
        <f t="shared" ref="J1909" si="188">CHOOSE(year_selection, L1909,M1909,N1909,O1909,P1909,Q1909,R1909,S1909)</f>
        <v>227.96674188211585</v>
      </c>
      <c r="K1909" s="234"/>
      <c r="L1909" s="330"/>
      <c r="M1909" s="330"/>
      <c r="N1909" s="330"/>
      <c r="O1909" s="330">
        <v>227.96674188211585</v>
      </c>
      <c r="P1909" s="330">
        <v>254.27962749679716</v>
      </c>
      <c r="Q1909" s="330">
        <v>280.59251311147841</v>
      </c>
      <c r="R1909" s="330">
        <v>306.90539872615966</v>
      </c>
      <c r="S1909" s="330">
        <v>333.21828434084091</v>
      </c>
    </row>
    <row r="1910" spans="5:19" s="293" customFormat="1" x14ac:dyDescent="0.25">
      <c r="F1910" s="196" t="s">
        <v>929</v>
      </c>
      <c r="G1910" s="196" t="s">
        <v>74</v>
      </c>
      <c r="H1910" s="196" t="s">
        <v>480</v>
      </c>
      <c r="I1910" s="66"/>
      <c r="J1910" s="239"/>
      <c r="K1910" s="234"/>
      <c r="L1910" s="239"/>
      <c r="M1910" s="239"/>
      <c r="N1910" s="239"/>
      <c r="O1910" s="239"/>
      <c r="P1910" s="239"/>
      <c r="Q1910" s="239"/>
      <c r="R1910" s="239"/>
      <c r="S1910" s="239"/>
    </row>
    <row r="1911" spans="5:19" s="293" customFormat="1" x14ac:dyDescent="0.25">
      <c r="F1911" s="196" t="s">
        <v>930</v>
      </c>
      <c r="G1911" s="196" t="s">
        <v>74</v>
      </c>
      <c r="H1911" s="196" t="s">
        <v>480</v>
      </c>
      <c r="I1911" s="66"/>
      <c r="J1911" s="233">
        <f t="shared" ref="J1911:J1913" si="189">CHOOSE(year_selection, L1911,M1911,N1911,O1911,P1911,Q1911,R1911,S1911)</f>
        <v>108.52133737109615</v>
      </c>
      <c r="K1911" s="234"/>
      <c r="L1911" s="330"/>
      <c r="M1911" s="330"/>
      <c r="N1911" s="330"/>
      <c r="O1911" s="330">
        <v>108.52133737109615</v>
      </c>
      <c r="P1911" s="330">
        <v>111.73846223142483</v>
      </c>
      <c r="Q1911" s="330">
        <v>114.97888066903377</v>
      </c>
      <c r="R1911" s="330">
        <v>118.19600552936244</v>
      </c>
      <c r="S1911" s="330">
        <v>121.4131303896911</v>
      </c>
    </row>
    <row r="1912" spans="5:19" s="293" customFormat="1" x14ac:dyDescent="0.25">
      <c r="F1912" s="196" t="s">
        <v>931</v>
      </c>
      <c r="G1912" s="196" t="s">
        <v>74</v>
      </c>
      <c r="H1912" s="196" t="s">
        <v>480</v>
      </c>
      <c r="I1912" s="66"/>
      <c r="J1912" s="233">
        <f t="shared" si="189"/>
        <v>30.099999999999998</v>
      </c>
      <c r="K1912" s="234"/>
      <c r="L1912" s="330"/>
      <c r="M1912" s="330"/>
      <c r="N1912" s="330"/>
      <c r="O1912" s="330">
        <v>30.099999999999998</v>
      </c>
      <c r="P1912" s="330">
        <v>38.03846153846154</v>
      </c>
      <c r="Q1912" s="330">
        <v>45.976923076923079</v>
      </c>
      <c r="R1912" s="330">
        <v>53.91538461538461</v>
      </c>
      <c r="S1912" s="330">
        <v>61.853846153846149</v>
      </c>
    </row>
    <row r="1913" spans="5:19" s="293" customFormat="1" x14ac:dyDescent="0.25">
      <c r="F1913" s="196" t="s">
        <v>932</v>
      </c>
      <c r="G1913" s="196" t="s">
        <v>74</v>
      </c>
      <c r="H1913" s="196" t="s">
        <v>480</v>
      </c>
      <c r="I1913" s="66"/>
      <c r="J1913" s="233">
        <f t="shared" si="189"/>
        <v>2.0000721800169625</v>
      </c>
      <c r="K1913" s="234"/>
      <c r="L1913" s="330"/>
      <c r="M1913" s="330"/>
      <c r="N1913" s="330"/>
      <c r="O1913" s="330">
        <v>2.0000721800169625</v>
      </c>
      <c r="P1913" s="330">
        <v>2.0000721800169625</v>
      </c>
      <c r="Q1913" s="330">
        <v>2.0000721800169625</v>
      </c>
      <c r="R1913" s="330">
        <v>2.0000721800169625</v>
      </c>
      <c r="S1913" s="330">
        <v>2.0000721800169625</v>
      </c>
    </row>
    <row r="1914" spans="5:19" s="293" customFormat="1" x14ac:dyDescent="0.25">
      <c r="F1914" s="196" t="s">
        <v>933</v>
      </c>
      <c r="G1914" s="196" t="s">
        <v>74</v>
      </c>
      <c r="H1914" s="196" t="s">
        <v>480</v>
      </c>
      <c r="I1914" s="66"/>
      <c r="J1914" s="239"/>
      <c r="K1914" s="234"/>
      <c r="L1914" s="239"/>
      <c r="M1914" s="239"/>
      <c r="N1914" s="239"/>
      <c r="O1914" s="239"/>
      <c r="P1914" s="239"/>
      <c r="Q1914" s="239"/>
      <c r="R1914" s="239"/>
      <c r="S1914" s="239"/>
    </row>
    <row r="1915" spans="5:19" s="293" customFormat="1" x14ac:dyDescent="0.25">
      <c r="F1915" s="196" t="s">
        <v>934</v>
      </c>
      <c r="G1915" s="196" t="s">
        <v>74</v>
      </c>
      <c r="H1915" s="196" t="s">
        <v>480</v>
      </c>
      <c r="I1915" s="66"/>
      <c r="J1915" s="239"/>
      <c r="K1915" s="234"/>
      <c r="L1915" s="239"/>
      <c r="M1915" s="239"/>
      <c r="N1915" s="239"/>
      <c r="O1915" s="239"/>
      <c r="P1915" s="239"/>
      <c r="Q1915" s="239"/>
      <c r="R1915" s="239"/>
      <c r="S1915" s="239"/>
    </row>
    <row r="1916" spans="5:19" s="293" customFormat="1" x14ac:dyDescent="0.25">
      <c r="F1916" s="196" t="s">
        <v>935</v>
      </c>
      <c r="G1916" s="196" t="s">
        <v>74</v>
      </c>
      <c r="H1916" s="196" t="s">
        <v>480</v>
      </c>
      <c r="I1916" s="66"/>
      <c r="J1916" s="239"/>
      <c r="K1916" s="234"/>
      <c r="L1916" s="239"/>
      <c r="M1916" s="239"/>
      <c r="N1916" s="239"/>
      <c r="O1916" s="239"/>
      <c r="P1916" s="239"/>
      <c r="Q1916" s="239"/>
      <c r="R1916" s="239"/>
      <c r="S1916" s="239"/>
    </row>
    <row r="1917" spans="5:19" s="293" customFormat="1" x14ac:dyDescent="0.25">
      <c r="F1917" s="196" t="s">
        <v>936</v>
      </c>
      <c r="G1917" s="196" t="s">
        <v>74</v>
      </c>
      <c r="H1917" s="196" t="s">
        <v>480</v>
      </c>
      <c r="I1917" s="66"/>
      <c r="J1917" s="239"/>
      <c r="K1917" s="234"/>
      <c r="L1917" s="239"/>
      <c r="M1917" s="239"/>
      <c r="N1917" s="239"/>
      <c r="O1917" s="239"/>
      <c r="P1917" s="239"/>
      <c r="Q1917" s="239"/>
      <c r="R1917" s="239"/>
      <c r="S1917" s="239"/>
    </row>
    <row r="1918" spans="5:19" s="293" customFormat="1" x14ac:dyDescent="0.25">
      <c r="F1918" s="196" t="s">
        <v>937</v>
      </c>
      <c r="G1918" s="196" t="s">
        <v>74</v>
      </c>
      <c r="H1918" s="196" t="s">
        <v>480</v>
      </c>
      <c r="I1918" s="66"/>
      <c r="J1918" s="239"/>
      <c r="K1918" s="234"/>
      <c r="L1918" s="239"/>
      <c r="M1918" s="239"/>
      <c r="N1918" s="239"/>
      <c r="O1918" s="239"/>
      <c r="P1918" s="239"/>
      <c r="Q1918" s="239"/>
      <c r="R1918" s="239"/>
      <c r="S1918" s="239"/>
    </row>
    <row r="1919" spans="5:19" s="293" customFormat="1" x14ac:dyDescent="0.25">
      <c r="F1919" s="196" t="s">
        <v>938</v>
      </c>
      <c r="G1919" s="196" t="s">
        <v>74</v>
      </c>
      <c r="H1919" s="196" t="s">
        <v>480</v>
      </c>
      <c r="I1919" s="66"/>
      <c r="J1919" s="239"/>
      <c r="K1919" s="234"/>
      <c r="L1919" s="239"/>
      <c r="M1919" s="239"/>
      <c r="N1919" s="239"/>
      <c r="O1919" s="239"/>
      <c r="P1919" s="239"/>
      <c r="Q1919" s="239"/>
      <c r="R1919" s="239"/>
      <c r="S1919" s="239"/>
    </row>
    <row r="1920" spans="5:19" s="293" customFormat="1" x14ac:dyDescent="0.25">
      <c r="F1920" s="196" t="s">
        <v>939</v>
      </c>
      <c r="G1920" s="196" t="s">
        <v>74</v>
      </c>
      <c r="H1920" s="196" t="s">
        <v>480</v>
      </c>
      <c r="I1920" s="66"/>
      <c r="J1920" s="239"/>
      <c r="K1920" s="234"/>
      <c r="L1920" s="239"/>
      <c r="M1920" s="239"/>
      <c r="N1920" s="239"/>
      <c r="O1920" s="239"/>
      <c r="P1920" s="239"/>
      <c r="Q1920" s="239"/>
      <c r="R1920" s="239"/>
      <c r="S1920" s="239"/>
    </row>
    <row r="1921" spans="5:19" s="293" customFormat="1" x14ac:dyDescent="0.25">
      <c r="F1921" s="196" t="s">
        <v>940</v>
      </c>
      <c r="G1921" s="196" t="s">
        <v>74</v>
      </c>
      <c r="H1921" s="196" t="s">
        <v>480</v>
      </c>
      <c r="I1921" s="66"/>
      <c r="J1921" s="239"/>
      <c r="K1921" s="234"/>
      <c r="L1921" s="239"/>
      <c r="M1921" s="239"/>
      <c r="N1921" s="239"/>
      <c r="O1921" s="239"/>
      <c r="P1921" s="239"/>
      <c r="Q1921" s="239"/>
      <c r="R1921" s="239"/>
      <c r="S1921" s="239"/>
    </row>
    <row r="1922" spans="5:19" s="293" customFormat="1" x14ac:dyDescent="0.25">
      <c r="F1922" s="93" t="s">
        <v>941</v>
      </c>
      <c r="G1922" s="93" t="s">
        <v>74</v>
      </c>
      <c r="H1922" s="93" t="s">
        <v>480</v>
      </c>
      <c r="I1922" s="145"/>
      <c r="J1922" s="240"/>
      <c r="K1922" s="236"/>
      <c r="L1922" s="240"/>
      <c r="M1922" s="240"/>
      <c r="N1922" s="240"/>
      <c r="O1922" s="240"/>
      <c r="P1922" s="240"/>
      <c r="Q1922" s="240"/>
      <c r="R1922" s="240"/>
      <c r="S1922" s="240"/>
    </row>
    <row r="1923" spans="5:19" s="293" customFormat="1" x14ac:dyDescent="0.25">
      <c r="I1923" s="111"/>
      <c r="J1923" s="237"/>
      <c r="K1923" s="237"/>
      <c r="L1923" s="237"/>
      <c r="M1923" s="237"/>
      <c r="N1923" s="237"/>
      <c r="O1923" s="237"/>
      <c r="P1923" s="237"/>
      <c r="Q1923" s="237"/>
      <c r="R1923" s="237"/>
      <c r="S1923" s="237"/>
    </row>
    <row r="1924" spans="5:19" s="293" customFormat="1" x14ac:dyDescent="0.25">
      <c r="E1924" s="144" t="s">
        <v>202</v>
      </c>
      <c r="I1924" s="111"/>
      <c r="J1924" s="237"/>
      <c r="K1924" s="237"/>
      <c r="L1924" s="237"/>
      <c r="M1924" s="237"/>
      <c r="N1924" s="237"/>
      <c r="O1924" s="237"/>
      <c r="P1924" s="237"/>
      <c r="Q1924" s="237"/>
      <c r="R1924" s="237"/>
      <c r="S1924" s="237"/>
    </row>
    <row r="1925" spans="5:19" s="293" customFormat="1" x14ac:dyDescent="0.25">
      <c r="F1925" s="91" t="s">
        <v>926</v>
      </c>
      <c r="G1925" s="91" t="s">
        <v>169</v>
      </c>
      <c r="H1925" s="91" t="s">
        <v>480</v>
      </c>
      <c r="I1925" s="112"/>
      <c r="J1925" s="238"/>
      <c r="K1925" s="232"/>
      <c r="L1925" s="238"/>
      <c r="M1925" s="238"/>
      <c r="N1925" s="238"/>
      <c r="O1925" s="238"/>
      <c r="P1925" s="238"/>
      <c r="Q1925" s="238"/>
      <c r="R1925" s="238"/>
      <c r="S1925" s="238"/>
    </row>
    <row r="1926" spans="5:19" s="293" customFormat="1" x14ac:dyDescent="0.25">
      <c r="F1926" s="196" t="s">
        <v>927</v>
      </c>
      <c r="G1926" s="196" t="s">
        <v>169</v>
      </c>
      <c r="H1926" s="196" t="s">
        <v>480</v>
      </c>
      <c r="I1926" s="66"/>
      <c r="J1926" s="239"/>
      <c r="K1926" s="234"/>
      <c r="L1926" s="239"/>
      <c r="M1926" s="239"/>
      <c r="N1926" s="239"/>
      <c r="O1926" s="239"/>
      <c r="P1926" s="239"/>
      <c r="Q1926" s="239"/>
      <c r="R1926" s="239"/>
      <c r="S1926" s="239"/>
    </row>
    <row r="1927" spans="5:19" s="293" customFormat="1" x14ac:dyDescent="0.25">
      <c r="F1927" s="196" t="s">
        <v>928</v>
      </c>
      <c r="G1927" s="196" t="s">
        <v>169</v>
      </c>
      <c r="H1927" s="196" t="s">
        <v>480</v>
      </c>
      <c r="I1927" s="66"/>
      <c r="J1927" s="239"/>
      <c r="K1927" s="234"/>
      <c r="L1927" s="239"/>
      <c r="M1927" s="239"/>
      <c r="N1927" s="239"/>
      <c r="O1927" s="239"/>
      <c r="P1927" s="239"/>
      <c r="Q1927" s="239"/>
      <c r="R1927" s="239"/>
      <c r="S1927" s="239"/>
    </row>
    <row r="1928" spans="5:19" s="293" customFormat="1" x14ac:dyDescent="0.25">
      <c r="F1928" s="196" t="s">
        <v>929</v>
      </c>
      <c r="G1928" s="196" t="s">
        <v>169</v>
      </c>
      <c r="H1928" s="196" t="s">
        <v>480</v>
      </c>
      <c r="I1928" s="66"/>
      <c r="J1928" s="239"/>
      <c r="K1928" s="234"/>
      <c r="L1928" s="239"/>
      <c r="M1928" s="239"/>
      <c r="N1928" s="239"/>
      <c r="O1928" s="239"/>
      <c r="P1928" s="239"/>
      <c r="Q1928" s="239"/>
      <c r="R1928" s="239"/>
      <c r="S1928" s="239"/>
    </row>
    <row r="1929" spans="5:19" s="293" customFormat="1" x14ac:dyDescent="0.25">
      <c r="F1929" s="196" t="s">
        <v>930</v>
      </c>
      <c r="G1929" s="196" t="s">
        <v>169</v>
      </c>
      <c r="H1929" s="196" t="s">
        <v>480</v>
      </c>
      <c r="I1929" s="66"/>
      <c r="J1929" s="233">
        <f t="shared" ref="J1929:J1931" si="190">CHOOSE(year_selection, L1929,M1929,N1929,O1929,P1929,Q1929,R1929,S1929)</f>
        <v>72603.809062721266</v>
      </c>
      <c r="K1929" s="234"/>
      <c r="L1929" s="330"/>
      <c r="M1929" s="330"/>
      <c r="N1929" s="330"/>
      <c r="O1929" s="330">
        <v>72603.809062721266</v>
      </c>
      <c r="P1929" s="330">
        <v>76924.086088192125</v>
      </c>
      <c r="Q1929" s="330">
        <v>76924.086088192125</v>
      </c>
      <c r="R1929" s="330">
        <v>79076.432573671846</v>
      </c>
      <c r="S1929" s="330">
        <v>81228.779059151566</v>
      </c>
    </row>
    <row r="1930" spans="5:19" s="293" customFormat="1" x14ac:dyDescent="0.25">
      <c r="F1930" s="196" t="s">
        <v>931</v>
      </c>
      <c r="G1930" s="196" t="s">
        <v>169</v>
      </c>
      <c r="H1930" s="196" t="s">
        <v>480</v>
      </c>
      <c r="I1930" s="66"/>
      <c r="J1930" s="233">
        <f t="shared" si="190"/>
        <v>24680.03385835552</v>
      </c>
      <c r="K1930" s="234"/>
      <c r="L1930" s="330"/>
      <c r="M1930" s="330"/>
      <c r="N1930" s="330"/>
      <c r="O1930" s="330">
        <v>24680.03385835552</v>
      </c>
      <c r="P1930" s="330">
        <v>37698.073695729872</v>
      </c>
      <c r="Q1930" s="330">
        <v>37698.073695729872</v>
      </c>
      <c r="R1930" s="330">
        <v>44207.093614417056</v>
      </c>
      <c r="S1930" s="330">
        <v>50716.113533104239</v>
      </c>
    </row>
    <row r="1931" spans="5:19" s="293" customFormat="1" x14ac:dyDescent="0.25">
      <c r="F1931" s="196" t="s">
        <v>932</v>
      </c>
      <c r="G1931" s="196" t="s">
        <v>169</v>
      </c>
      <c r="H1931" s="196" t="s">
        <v>480</v>
      </c>
      <c r="I1931" s="66"/>
      <c r="J1931" s="233">
        <f t="shared" si="190"/>
        <v>12158.001742597764</v>
      </c>
      <c r="K1931" s="234"/>
      <c r="L1931" s="330"/>
      <c r="M1931" s="330"/>
      <c r="N1931" s="330"/>
      <c r="O1931" s="330">
        <v>12158.001742597764</v>
      </c>
      <c r="P1931" s="330">
        <v>12158.001742597764</v>
      </c>
      <c r="Q1931" s="330">
        <v>12158.001742597764</v>
      </c>
      <c r="R1931" s="330">
        <v>12158.001742597764</v>
      </c>
      <c r="S1931" s="330">
        <v>12158.001742597764</v>
      </c>
    </row>
    <row r="1932" spans="5:19" s="293" customFormat="1" x14ac:dyDescent="0.25">
      <c r="F1932" s="196" t="s">
        <v>933</v>
      </c>
      <c r="G1932" s="196" t="s">
        <v>169</v>
      </c>
      <c r="H1932" s="196" t="s">
        <v>480</v>
      </c>
      <c r="I1932" s="66"/>
      <c r="J1932" s="239"/>
      <c r="K1932" s="234"/>
      <c r="L1932" s="239"/>
      <c r="M1932" s="239"/>
      <c r="N1932" s="239"/>
      <c r="O1932" s="239"/>
      <c r="P1932" s="239"/>
      <c r="Q1932" s="239"/>
      <c r="R1932" s="239"/>
      <c r="S1932" s="239"/>
    </row>
    <row r="1933" spans="5:19" s="293" customFormat="1" x14ac:dyDescent="0.25">
      <c r="F1933" s="196" t="s">
        <v>934</v>
      </c>
      <c r="G1933" s="196" t="s">
        <v>169</v>
      </c>
      <c r="H1933" s="196" t="s">
        <v>480</v>
      </c>
      <c r="I1933" s="66"/>
      <c r="J1933" s="239"/>
      <c r="K1933" s="234"/>
      <c r="L1933" s="239"/>
      <c r="M1933" s="239"/>
      <c r="N1933" s="239"/>
      <c r="O1933" s="239"/>
      <c r="P1933" s="239"/>
      <c r="Q1933" s="239"/>
      <c r="R1933" s="239"/>
      <c r="S1933" s="239"/>
    </row>
    <row r="1934" spans="5:19" s="293" customFormat="1" x14ac:dyDescent="0.25">
      <c r="F1934" s="196" t="s">
        <v>935</v>
      </c>
      <c r="G1934" s="196" t="s">
        <v>169</v>
      </c>
      <c r="H1934" s="196" t="s">
        <v>480</v>
      </c>
      <c r="I1934" s="66"/>
      <c r="J1934" s="239"/>
      <c r="K1934" s="234"/>
      <c r="L1934" s="239"/>
      <c r="M1934" s="239"/>
      <c r="N1934" s="239"/>
      <c r="O1934" s="239"/>
      <c r="P1934" s="239"/>
      <c r="Q1934" s="239"/>
      <c r="R1934" s="239"/>
      <c r="S1934" s="239"/>
    </row>
    <row r="1935" spans="5:19" s="293" customFormat="1" x14ac:dyDescent="0.25">
      <c r="F1935" s="196" t="s">
        <v>936</v>
      </c>
      <c r="G1935" s="196" t="s">
        <v>169</v>
      </c>
      <c r="H1935" s="196" t="s">
        <v>480</v>
      </c>
      <c r="I1935" s="66"/>
      <c r="J1935" s="239"/>
      <c r="K1935" s="234"/>
      <c r="L1935" s="239"/>
      <c r="M1935" s="239"/>
      <c r="N1935" s="239"/>
      <c r="O1935" s="239"/>
      <c r="P1935" s="239"/>
      <c r="Q1935" s="239"/>
      <c r="R1935" s="239"/>
      <c r="S1935" s="239"/>
    </row>
    <row r="1936" spans="5:19" s="293" customFormat="1" x14ac:dyDescent="0.25">
      <c r="F1936" s="196" t="s">
        <v>937</v>
      </c>
      <c r="G1936" s="196" t="s">
        <v>169</v>
      </c>
      <c r="H1936" s="196" t="s">
        <v>480</v>
      </c>
      <c r="I1936" s="66"/>
      <c r="J1936" s="239"/>
      <c r="K1936" s="234"/>
      <c r="L1936" s="239"/>
      <c r="M1936" s="239"/>
      <c r="N1936" s="239"/>
      <c r="O1936" s="239"/>
      <c r="P1936" s="239"/>
      <c r="Q1936" s="239"/>
      <c r="R1936" s="239"/>
      <c r="S1936" s="239"/>
    </row>
    <row r="1937" spans="5:19" s="293" customFormat="1" x14ac:dyDescent="0.25">
      <c r="F1937" s="196" t="s">
        <v>938</v>
      </c>
      <c r="G1937" s="196" t="s">
        <v>169</v>
      </c>
      <c r="H1937" s="196" t="s">
        <v>480</v>
      </c>
      <c r="I1937" s="66"/>
      <c r="J1937" s="239"/>
      <c r="K1937" s="234"/>
      <c r="L1937" s="239"/>
      <c r="M1937" s="239"/>
      <c r="N1937" s="239"/>
      <c r="O1937" s="239"/>
      <c r="P1937" s="239"/>
      <c r="Q1937" s="239"/>
      <c r="R1937" s="239"/>
      <c r="S1937" s="239"/>
    </row>
    <row r="1938" spans="5:19" s="293" customFormat="1" x14ac:dyDescent="0.25">
      <c r="F1938" s="196" t="s">
        <v>939</v>
      </c>
      <c r="G1938" s="196" t="s">
        <v>169</v>
      </c>
      <c r="H1938" s="196" t="s">
        <v>480</v>
      </c>
      <c r="I1938" s="66"/>
      <c r="J1938" s="239"/>
      <c r="K1938" s="234"/>
      <c r="L1938" s="239"/>
      <c r="M1938" s="239"/>
      <c r="N1938" s="239"/>
      <c r="O1938" s="239"/>
      <c r="P1938" s="239"/>
      <c r="Q1938" s="239"/>
      <c r="R1938" s="239"/>
      <c r="S1938" s="239"/>
    </row>
    <row r="1939" spans="5:19" s="293" customFormat="1" x14ac:dyDescent="0.25">
      <c r="F1939" s="196" t="s">
        <v>940</v>
      </c>
      <c r="G1939" s="196" t="s">
        <v>169</v>
      </c>
      <c r="H1939" s="196" t="s">
        <v>480</v>
      </c>
      <c r="I1939" s="66"/>
      <c r="J1939" s="239"/>
      <c r="K1939" s="234"/>
      <c r="L1939" s="239"/>
      <c r="M1939" s="239"/>
      <c r="N1939" s="239"/>
      <c r="O1939" s="239"/>
      <c r="P1939" s="239"/>
      <c r="Q1939" s="239"/>
      <c r="R1939" s="239"/>
      <c r="S1939" s="239"/>
    </row>
    <row r="1940" spans="5:19" s="293" customFormat="1" x14ac:dyDescent="0.25">
      <c r="F1940" s="93" t="s">
        <v>941</v>
      </c>
      <c r="G1940" s="93" t="s">
        <v>169</v>
      </c>
      <c r="H1940" s="93" t="s">
        <v>480</v>
      </c>
      <c r="I1940" s="145"/>
      <c r="J1940" s="240"/>
      <c r="K1940" s="236"/>
      <c r="L1940" s="240"/>
      <c r="M1940" s="240"/>
      <c r="N1940" s="240"/>
      <c r="O1940" s="240"/>
      <c r="P1940" s="240"/>
      <c r="Q1940" s="240"/>
      <c r="R1940" s="240"/>
      <c r="S1940" s="240"/>
    </row>
    <row r="1941" spans="5:19" s="293" customFormat="1" x14ac:dyDescent="0.25">
      <c r="I1941" s="111"/>
      <c r="J1941" s="237"/>
      <c r="K1941" s="237"/>
      <c r="L1941" s="237"/>
      <c r="M1941" s="237"/>
      <c r="N1941" s="237"/>
      <c r="O1941" s="237"/>
      <c r="P1941" s="237"/>
      <c r="Q1941" s="237"/>
      <c r="R1941" s="237"/>
      <c r="S1941" s="237"/>
    </row>
    <row r="1942" spans="5:19" s="293" customFormat="1" x14ac:dyDescent="0.25">
      <c r="E1942" s="144" t="s">
        <v>203</v>
      </c>
      <c r="I1942" s="111"/>
      <c r="J1942" s="237"/>
      <c r="K1942" s="237"/>
      <c r="L1942" s="237"/>
      <c r="M1942" s="237"/>
      <c r="N1942" s="237"/>
      <c r="O1942" s="237"/>
      <c r="P1942" s="237"/>
      <c r="Q1942" s="237"/>
      <c r="R1942" s="237"/>
      <c r="S1942" s="237"/>
    </row>
    <row r="1943" spans="5:19" s="293" customFormat="1" x14ac:dyDescent="0.25">
      <c r="F1943" s="91" t="s">
        <v>926</v>
      </c>
      <c r="G1943" s="91" t="s">
        <v>169</v>
      </c>
      <c r="H1943" s="91" t="s">
        <v>480</v>
      </c>
      <c r="I1943" s="112"/>
      <c r="J1943" s="238"/>
      <c r="K1943" s="232"/>
      <c r="L1943" s="238"/>
      <c r="M1943" s="238"/>
      <c r="N1943" s="238"/>
      <c r="O1943" s="238"/>
      <c r="P1943" s="238"/>
      <c r="Q1943" s="238"/>
      <c r="R1943" s="238"/>
      <c r="S1943" s="238"/>
    </row>
    <row r="1944" spans="5:19" s="293" customFormat="1" x14ac:dyDescent="0.25">
      <c r="F1944" s="196" t="s">
        <v>927</v>
      </c>
      <c r="G1944" s="196" t="s">
        <v>169</v>
      </c>
      <c r="H1944" s="196" t="s">
        <v>480</v>
      </c>
      <c r="I1944" s="66"/>
      <c r="J1944" s="239"/>
      <c r="K1944" s="234"/>
      <c r="L1944" s="239"/>
      <c r="M1944" s="239"/>
      <c r="N1944" s="239"/>
      <c r="O1944" s="239"/>
      <c r="P1944" s="239"/>
      <c r="Q1944" s="239"/>
      <c r="R1944" s="239"/>
      <c r="S1944" s="239"/>
    </row>
    <row r="1945" spans="5:19" s="293" customFormat="1" x14ac:dyDescent="0.25">
      <c r="F1945" s="196" t="s">
        <v>928</v>
      </c>
      <c r="G1945" s="196" t="s">
        <v>169</v>
      </c>
      <c r="H1945" s="196" t="s">
        <v>480</v>
      </c>
      <c r="I1945" s="66"/>
      <c r="J1945" s="239"/>
      <c r="K1945" s="234"/>
      <c r="L1945" s="239"/>
      <c r="M1945" s="239"/>
      <c r="N1945" s="239"/>
      <c r="O1945" s="239"/>
      <c r="P1945" s="239"/>
      <c r="Q1945" s="239"/>
      <c r="R1945" s="239"/>
      <c r="S1945" s="239"/>
    </row>
    <row r="1946" spans="5:19" s="293" customFormat="1" x14ac:dyDescent="0.25">
      <c r="F1946" s="196" t="s">
        <v>929</v>
      </c>
      <c r="G1946" s="196" t="s">
        <v>169</v>
      </c>
      <c r="H1946" s="196" t="s">
        <v>480</v>
      </c>
      <c r="I1946" s="66"/>
      <c r="J1946" s="239"/>
      <c r="K1946" s="234"/>
      <c r="L1946" s="239"/>
      <c r="M1946" s="239"/>
      <c r="N1946" s="239"/>
      <c r="O1946" s="239"/>
      <c r="P1946" s="239"/>
      <c r="Q1946" s="239"/>
      <c r="R1946" s="239"/>
      <c r="S1946" s="239"/>
    </row>
    <row r="1947" spans="5:19" s="293" customFormat="1" x14ac:dyDescent="0.25">
      <c r="F1947" s="196" t="s">
        <v>930</v>
      </c>
      <c r="G1947" s="196" t="s">
        <v>169</v>
      </c>
      <c r="H1947" s="196" t="s">
        <v>480</v>
      </c>
      <c r="I1947" s="66"/>
      <c r="J1947" s="233">
        <f t="shared" ref="J1947:J1949" si="191">CHOOSE(year_selection, L1947,M1947,N1947,O1947,P1947,Q1947,R1947,S1947)</f>
        <v>42.686113435196262</v>
      </c>
      <c r="K1947" s="234"/>
      <c r="L1947" s="330"/>
      <c r="M1947" s="330"/>
      <c r="N1947" s="330"/>
      <c r="O1947" s="330">
        <v>42.686113435196262</v>
      </c>
      <c r="P1947" s="330">
        <v>45.226143187924635</v>
      </c>
      <c r="Q1947" s="330">
        <v>45.226143187924635</v>
      </c>
      <c r="R1947" s="330">
        <v>46.491576880964935</v>
      </c>
      <c r="S1947" s="330">
        <v>47.757010574005228</v>
      </c>
    </row>
    <row r="1948" spans="5:19" s="293" customFormat="1" x14ac:dyDescent="0.25">
      <c r="F1948" s="196" t="s">
        <v>931</v>
      </c>
      <c r="G1948" s="196" t="s">
        <v>169</v>
      </c>
      <c r="H1948" s="196" t="s">
        <v>480</v>
      </c>
      <c r="I1948" s="66"/>
      <c r="J1948" s="233">
        <f t="shared" si="191"/>
        <v>135.15414896846093</v>
      </c>
      <c r="K1948" s="234"/>
      <c r="L1948" s="330"/>
      <c r="M1948" s="330"/>
      <c r="N1948" s="330"/>
      <c r="O1948" s="330">
        <v>135.15414896846093</v>
      </c>
      <c r="P1948" s="330">
        <v>206.44424952325346</v>
      </c>
      <c r="Q1948" s="330">
        <v>206.44424952325346</v>
      </c>
      <c r="R1948" s="330">
        <v>242.08929980064966</v>
      </c>
      <c r="S1948" s="330">
        <v>277.73435007804585</v>
      </c>
    </row>
    <row r="1949" spans="5:19" s="293" customFormat="1" x14ac:dyDescent="0.25">
      <c r="F1949" s="196" t="s">
        <v>932</v>
      </c>
      <c r="G1949" s="196" t="s">
        <v>169</v>
      </c>
      <c r="H1949" s="196" t="s">
        <v>480</v>
      </c>
      <c r="I1949" s="66"/>
      <c r="J1949" s="233">
        <f t="shared" si="191"/>
        <v>15.585248067672781</v>
      </c>
      <c r="K1949" s="234"/>
      <c r="L1949" s="330"/>
      <c r="M1949" s="330"/>
      <c r="N1949" s="330"/>
      <c r="O1949" s="330">
        <v>15.585248067672781</v>
      </c>
      <c r="P1949" s="330">
        <v>15.585248067672781</v>
      </c>
      <c r="Q1949" s="330">
        <v>15.585248067672781</v>
      </c>
      <c r="R1949" s="330">
        <v>15.585248067672781</v>
      </c>
      <c r="S1949" s="330">
        <v>15.585248067672781</v>
      </c>
    </row>
    <row r="1950" spans="5:19" s="293" customFormat="1" x14ac:dyDescent="0.25">
      <c r="F1950" s="196" t="s">
        <v>933</v>
      </c>
      <c r="G1950" s="196" t="s">
        <v>169</v>
      </c>
      <c r="H1950" s="196" t="s">
        <v>480</v>
      </c>
      <c r="I1950" s="66"/>
      <c r="J1950" s="239"/>
      <c r="K1950" s="234"/>
      <c r="L1950" s="239"/>
      <c r="M1950" s="239"/>
      <c r="N1950" s="239"/>
      <c r="O1950" s="239"/>
      <c r="P1950" s="239"/>
      <c r="Q1950" s="239"/>
      <c r="R1950" s="239"/>
      <c r="S1950" s="239"/>
    </row>
    <row r="1951" spans="5:19" s="293" customFormat="1" x14ac:dyDescent="0.25">
      <c r="F1951" s="196" t="s">
        <v>934</v>
      </c>
      <c r="G1951" s="196" t="s">
        <v>169</v>
      </c>
      <c r="H1951" s="196" t="s">
        <v>480</v>
      </c>
      <c r="I1951" s="66"/>
      <c r="J1951" s="239"/>
      <c r="K1951" s="234"/>
      <c r="L1951" s="239"/>
      <c r="M1951" s="239"/>
      <c r="N1951" s="239"/>
      <c r="O1951" s="239"/>
      <c r="P1951" s="239"/>
      <c r="Q1951" s="239"/>
      <c r="R1951" s="239"/>
      <c r="S1951" s="239"/>
    </row>
    <row r="1952" spans="5:19" s="293" customFormat="1" x14ac:dyDescent="0.25">
      <c r="F1952" s="196" t="s">
        <v>935</v>
      </c>
      <c r="G1952" s="196" t="s">
        <v>169</v>
      </c>
      <c r="H1952" s="196" t="s">
        <v>480</v>
      </c>
      <c r="I1952" s="66"/>
      <c r="J1952" s="239"/>
      <c r="K1952" s="234"/>
      <c r="L1952" s="239"/>
      <c r="M1952" s="239"/>
      <c r="N1952" s="239"/>
      <c r="O1952" s="239"/>
      <c r="P1952" s="239"/>
      <c r="Q1952" s="239"/>
      <c r="R1952" s="239"/>
      <c r="S1952" s="239"/>
    </row>
    <row r="1953" spans="5:19" s="293" customFormat="1" x14ac:dyDescent="0.25">
      <c r="F1953" s="196" t="s">
        <v>936</v>
      </c>
      <c r="G1953" s="196" t="s">
        <v>169</v>
      </c>
      <c r="H1953" s="196" t="s">
        <v>480</v>
      </c>
      <c r="I1953" s="66"/>
      <c r="J1953" s="239"/>
      <c r="K1953" s="234"/>
      <c r="L1953" s="239"/>
      <c r="M1953" s="239"/>
      <c r="N1953" s="239"/>
      <c r="O1953" s="239"/>
      <c r="P1953" s="239"/>
      <c r="Q1953" s="239"/>
      <c r="R1953" s="239"/>
      <c r="S1953" s="239"/>
    </row>
    <row r="1954" spans="5:19" s="293" customFormat="1" x14ac:dyDescent="0.25">
      <c r="F1954" s="196" t="s">
        <v>937</v>
      </c>
      <c r="G1954" s="196" t="s">
        <v>169</v>
      </c>
      <c r="H1954" s="196" t="s">
        <v>480</v>
      </c>
      <c r="I1954" s="66"/>
      <c r="J1954" s="239"/>
      <c r="K1954" s="234"/>
      <c r="L1954" s="239"/>
      <c r="M1954" s="239"/>
      <c r="N1954" s="239"/>
      <c r="O1954" s="239"/>
      <c r="P1954" s="239"/>
      <c r="Q1954" s="239"/>
      <c r="R1954" s="239"/>
      <c r="S1954" s="239"/>
    </row>
    <row r="1955" spans="5:19" s="293" customFormat="1" x14ac:dyDescent="0.25">
      <c r="F1955" s="196" t="s">
        <v>938</v>
      </c>
      <c r="G1955" s="196" t="s">
        <v>169</v>
      </c>
      <c r="H1955" s="196" t="s">
        <v>480</v>
      </c>
      <c r="I1955" s="66"/>
      <c r="J1955" s="239"/>
      <c r="K1955" s="234"/>
      <c r="L1955" s="239"/>
      <c r="M1955" s="239"/>
      <c r="N1955" s="239"/>
      <c r="O1955" s="239"/>
      <c r="P1955" s="239"/>
      <c r="Q1955" s="239"/>
      <c r="R1955" s="239"/>
      <c r="S1955" s="239"/>
    </row>
    <row r="1956" spans="5:19" s="293" customFormat="1" x14ac:dyDescent="0.25">
      <c r="F1956" s="196" t="s">
        <v>939</v>
      </c>
      <c r="G1956" s="196" t="s">
        <v>169</v>
      </c>
      <c r="H1956" s="196" t="s">
        <v>480</v>
      </c>
      <c r="I1956" s="66"/>
      <c r="J1956" s="239"/>
      <c r="K1956" s="234"/>
      <c r="L1956" s="239"/>
      <c r="M1956" s="239"/>
      <c r="N1956" s="239"/>
      <c r="O1956" s="239"/>
      <c r="P1956" s="239"/>
      <c r="Q1956" s="239"/>
      <c r="R1956" s="239"/>
      <c r="S1956" s="239"/>
    </row>
    <row r="1957" spans="5:19" s="293" customFormat="1" x14ac:dyDescent="0.25">
      <c r="F1957" s="196" t="s">
        <v>940</v>
      </c>
      <c r="G1957" s="196" t="s">
        <v>169</v>
      </c>
      <c r="H1957" s="196" t="s">
        <v>480</v>
      </c>
      <c r="I1957" s="66"/>
      <c r="J1957" s="239"/>
      <c r="K1957" s="234"/>
      <c r="L1957" s="239"/>
      <c r="M1957" s="239"/>
      <c r="N1957" s="239"/>
      <c r="O1957" s="239"/>
      <c r="P1957" s="239"/>
      <c r="Q1957" s="239"/>
      <c r="R1957" s="239"/>
      <c r="S1957" s="239"/>
    </row>
    <row r="1958" spans="5:19" s="293" customFormat="1" x14ac:dyDescent="0.25">
      <c r="F1958" s="93" t="s">
        <v>941</v>
      </c>
      <c r="G1958" s="93" t="s">
        <v>169</v>
      </c>
      <c r="H1958" s="93" t="s">
        <v>480</v>
      </c>
      <c r="I1958" s="145"/>
      <c r="J1958" s="240"/>
      <c r="K1958" s="236"/>
      <c r="L1958" s="240"/>
      <c r="M1958" s="240"/>
      <c r="N1958" s="240"/>
      <c r="O1958" s="240"/>
      <c r="P1958" s="240"/>
      <c r="Q1958" s="240"/>
      <c r="R1958" s="240"/>
      <c r="S1958" s="240"/>
    </row>
    <row r="1959" spans="5:19" s="293" customFormat="1" x14ac:dyDescent="0.25">
      <c r="I1959" s="111"/>
      <c r="J1959" s="237"/>
      <c r="K1959" s="237"/>
      <c r="L1959" s="237"/>
      <c r="M1959" s="237"/>
      <c r="N1959" s="237"/>
      <c r="O1959" s="237"/>
      <c r="P1959" s="237"/>
      <c r="Q1959" s="237"/>
      <c r="R1959" s="237"/>
      <c r="S1959" s="237"/>
    </row>
    <row r="1960" spans="5:19" s="293" customFormat="1" x14ac:dyDescent="0.25">
      <c r="E1960" s="144" t="s">
        <v>204</v>
      </c>
      <c r="I1960" s="111"/>
      <c r="J1960" s="237"/>
      <c r="K1960" s="237"/>
      <c r="L1960" s="237"/>
      <c r="M1960" s="237"/>
      <c r="N1960" s="237"/>
      <c r="O1960" s="237"/>
      <c r="P1960" s="237"/>
      <c r="Q1960" s="237"/>
      <c r="R1960" s="237"/>
      <c r="S1960" s="237"/>
    </row>
    <row r="1961" spans="5:19" s="293" customFormat="1" x14ac:dyDescent="0.25">
      <c r="F1961" s="91" t="s">
        <v>926</v>
      </c>
      <c r="G1961" s="91" t="s">
        <v>170</v>
      </c>
      <c r="H1961" s="91" t="s">
        <v>480</v>
      </c>
      <c r="I1961" s="112"/>
      <c r="J1961" s="238"/>
      <c r="K1961" s="232"/>
      <c r="L1961" s="238"/>
      <c r="M1961" s="238"/>
      <c r="N1961" s="238"/>
      <c r="O1961" s="238"/>
      <c r="P1961" s="238"/>
      <c r="Q1961" s="238"/>
      <c r="R1961" s="238"/>
      <c r="S1961" s="238"/>
    </row>
    <row r="1962" spans="5:19" s="293" customFormat="1" x14ac:dyDescent="0.25">
      <c r="F1962" s="196" t="s">
        <v>927</v>
      </c>
      <c r="G1962" s="196" t="s">
        <v>170</v>
      </c>
      <c r="H1962" s="196" t="s">
        <v>480</v>
      </c>
      <c r="I1962" s="66"/>
      <c r="J1962" s="239"/>
      <c r="K1962" s="234"/>
      <c r="L1962" s="239"/>
      <c r="M1962" s="239"/>
      <c r="N1962" s="239"/>
      <c r="O1962" s="239"/>
      <c r="P1962" s="239"/>
      <c r="Q1962" s="239"/>
      <c r="R1962" s="239"/>
      <c r="S1962" s="239"/>
    </row>
    <row r="1963" spans="5:19" s="293" customFormat="1" x14ac:dyDescent="0.25">
      <c r="F1963" s="196" t="s">
        <v>928</v>
      </c>
      <c r="G1963" s="196" t="s">
        <v>170</v>
      </c>
      <c r="H1963" s="196" t="s">
        <v>480</v>
      </c>
      <c r="I1963" s="66"/>
      <c r="J1963" s="239"/>
      <c r="K1963" s="234"/>
      <c r="L1963" s="239"/>
      <c r="M1963" s="239"/>
      <c r="N1963" s="239"/>
      <c r="O1963" s="239"/>
      <c r="P1963" s="239"/>
      <c r="Q1963" s="239"/>
      <c r="R1963" s="239"/>
      <c r="S1963" s="239"/>
    </row>
    <row r="1964" spans="5:19" s="293" customFormat="1" x14ac:dyDescent="0.25">
      <c r="F1964" s="196" t="s">
        <v>929</v>
      </c>
      <c r="G1964" s="196" t="s">
        <v>170</v>
      </c>
      <c r="H1964" s="196" t="s">
        <v>480</v>
      </c>
      <c r="I1964" s="66"/>
      <c r="J1964" s="239"/>
      <c r="K1964" s="234"/>
      <c r="L1964" s="239"/>
      <c r="M1964" s="239"/>
      <c r="N1964" s="239"/>
      <c r="O1964" s="239"/>
      <c r="P1964" s="239"/>
      <c r="Q1964" s="239"/>
      <c r="R1964" s="239"/>
      <c r="S1964" s="239"/>
    </row>
    <row r="1965" spans="5:19" s="293" customFormat="1" x14ac:dyDescent="0.25">
      <c r="F1965" s="196" t="s">
        <v>930</v>
      </c>
      <c r="G1965" s="196" t="s">
        <v>170</v>
      </c>
      <c r="H1965" s="196" t="s">
        <v>480</v>
      </c>
      <c r="I1965" s="66"/>
      <c r="J1965" s="233">
        <f t="shared" ref="J1965:J1967" si="192">CHOOSE(year_selection, L1965,M1965,N1965,O1965,P1965,Q1965,R1965,S1965)</f>
        <v>6227.7258706154989</v>
      </c>
      <c r="K1965" s="234"/>
      <c r="L1965" s="330"/>
      <c r="M1965" s="330"/>
      <c r="N1965" s="330"/>
      <c r="O1965" s="330">
        <v>6227.7258706154989</v>
      </c>
      <c r="P1965" s="330">
        <v>6255.1496958634325</v>
      </c>
      <c r="Q1965" s="330">
        <v>6255.1496958634325</v>
      </c>
      <c r="R1965" s="330">
        <v>6282.5735211113652</v>
      </c>
      <c r="S1965" s="330">
        <v>6309.9973463592978</v>
      </c>
    </row>
    <row r="1966" spans="5:19" s="293" customFormat="1" x14ac:dyDescent="0.25">
      <c r="F1966" s="196" t="s">
        <v>931</v>
      </c>
      <c r="G1966" s="196" t="s">
        <v>170</v>
      </c>
      <c r="H1966" s="196" t="s">
        <v>480</v>
      </c>
      <c r="I1966" s="66"/>
      <c r="J1966" s="233">
        <f t="shared" si="192"/>
        <v>1868.3896954912193</v>
      </c>
      <c r="K1966" s="234"/>
      <c r="L1966" s="330"/>
      <c r="M1966" s="330"/>
      <c r="N1966" s="330"/>
      <c r="O1966" s="330">
        <v>1868.3896954912193</v>
      </c>
      <c r="P1966" s="330">
        <v>2359.6244767368344</v>
      </c>
      <c r="Q1966" s="330">
        <v>2359.6244767368344</v>
      </c>
      <c r="R1966" s="330">
        <v>2850.8592579824494</v>
      </c>
      <c r="S1966" s="330">
        <v>3342.094039228064</v>
      </c>
    </row>
    <row r="1967" spans="5:19" s="293" customFormat="1" x14ac:dyDescent="0.25">
      <c r="F1967" s="196" t="s">
        <v>932</v>
      </c>
      <c r="G1967" s="196" t="s">
        <v>170</v>
      </c>
      <c r="H1967" s="196" t="s">
        <v>480</v>
      </c>
      <c r="I1967" s="66"/>
      <c r="J1967" s="233">
        <f t="shared" si="192"/>
        <v>761.83847705397625</v>
      </c>
      <c r="K1967" s="234"/>
      <c r="L1967" s="330"/>
      <c r="M1967" s="330"/>
      <c r="N1967" s="330"/>
      <c r="O1967" s="330">
        <v>761.83847705397625</v>
      </c>
      <c r="P1967" s="330">
        <v>677.7031290555359</v>
      </c>
      <c r="Q1967" s="330">
        <v>677.7031290555359</v>
      </c>
      <c r="R1967" s="330">
        <v>593.56778105709554</v>
      </c>
      <c r="S1967" s="330">
        <v>509.43243305865531</v>
      </c>
    </row>
    <row r="1968" spans="5:19" s="293" customFormat="1" x14ac:dyDescent="0.25">
      <c r="F1968" s="196" t="s">
        <v>933</v>
      </c>
      <c r="G1968" s="196" t="s">
        <v>170</v>
      </c>
      <c r="H1968" s="196" t="s">
        <v>480</v>
      </c>
      <c r="I1968" s="66"/>
      <c r="J1968" s="239"/>
      <c r="K1968" s="234"/>
      <c r="L1968" s="239"/>
      <c r="M1968" s="239"/>
      <c r="N1968" s="239"/>
      <c r="O1968" s="239"/>
      <c r="P1968" s="239"/>
      <c r="Q1968" s="239"/>
      <c r="R1968" s="239"/>
      <c r="S1968" s="239"/>
    </row>
    <row r="1969" spans="3:21" s="293" customFormat="1" x14ac:dyDescent="0.25">
      <c r="F1969" s="196" t="s">
        <v>934</v>
      </c>
      <c r="G1969" s="196" t="s">
        <v>170</v>
      </c>
      <c r="H1969" s="196" t="s">
        <v>480</v>
      </c>
      <c r="I1969" s="66"/>
      <c r="J1969" s="239"/>
      <c r="K1969" s="234"/>
      <c r="L1969" s="239"/>
      <c r="M1969" s="239"/>
      <c r="N1969" s="239"/>
      <c r="O1969" s="239"/>
      <c r="P1969" s="239"/>
      <c r="Q1969" s="239"/>
      <c r="R1969" s="239"/>
      <c r="S1969" s="239"/>
    </row>
    <row r="1970" spans="3:21" s="293" customFormat="1" x14ac:dyDescent="0.25">
      <c r="F1970" s="196" t="s">
        <v>935</v>
      </c>
      <c r="G1970" s="196" t="s">
        <v>170</v>
      </c>
      <c r="H1970" s="196" t="s">
        <v>480</v>
      </c>
      <c r="I1970" s="66"/>
      <c r="J1970" s="239"/>
      <c r="K1970" s="234"/>
      <c r="L1970" s="239"/>
      <c r="M1970" s="239"/>
      <c r="N1970" s="239"/>
      <c r="O1970" s="239"/>
      <c r="P1970" s="239"/>
      <c r="Q1970" s="239"/>
      <c r="R1970" s="239"/>
      <c r="S1970" s="239"/>
    </row>
    <row r="1971" spans="3:21" s="293" customFormat="1" x14ac:dyDescent="0.25">
      <c r="F1971" s="196" t="s">
        <v>936</v>
      </c>
      <c r="G1971" s="196" t="s">
        <v>170</v>
      </c>
      <c r="H1971" s="196" t="s">
        <v>480</v>
      </c>
      <c r="I1971" s="66"/>
      <c r="J1971" s="239"/>
      <c r="K1971" s="234"/>
      <c r="L1971" s="239"/>
      <c r="M1971" s="239"/>
      <c r="N1971" s="239"/>
      <c r="O1971" s="239"/>
      <c r="P1971" s="239"/>
      <c r="Q1971" s="239"/>
      <c r="R1971" s="239"/>
      <c r="S1971" s="239"/>
    </row>
    <row r="1972" spans="3:21" s="293" customFormat="1" x14ac:dyDescent="0.25">
      <c r="F1972" s="196" t="s">
        <v>937</v>
      </c>
      <c r="G1972" s="196" t="s">
        <v>170</v>
      </c>
      <c r="H1972" s="196" t="s">
        <v>480</v>
      </c>
      <c r="I1972" s="66"/>
      <c r="J1972" s="239"/>
      <c r="K1972" s="234"/>
      <c r="L1972" s="239"/>
      <c r="M1972" s="239"/>
      <c r="N1972" s="239"/>
      <c r="O1972" s="239"/>
      <c r="P1972" s="239"/>
      <c r="Q1972" s="239"/>
      <c r="R1972" s="239"/>
      <c r="S1972" s="239"/>
    </row>
    <row r="1973" spans="3:21" s="293" customFormat="1" x14ac:dyDescent="0.25">
      <c r="F1973" s="196" t="s">
        <v>938</v>
      </c>
      <c r="G1973" s="196" t="s">
        <v>170</v>
      </c>
      <c r="H1973" s="196" t="s">
        <v>480</v>
      </c>
      <c r="I1973" s="66"/>
      <c r="J1973" s="239"/>
      <c r="K1973" s="234"/>
      <c r="L1973" s="239"/>
      <c r="M1973" s="239"/>
      <c r="N1973" s="239"/>
      <c r="O1973" s="239"/>
      <c r="P1973" s="239"/>
      <c r="Q1973" s="239"/>
      <c r="R1973" s="239"/>
      <c r="S1973" s="239"/>
    </row>
    <row r="1974" spans="3:21" s="293" customFormat="1" x14ac:dyDescent="0.25">
      <c r="F1974" s="196" t="s">
        <v>939</v>
      </c>
      <c r="G1974" s="196" t="s">
        <v>170</v>
      </c>
      <c r="H1974" s="196" t="s">
        <v>480</v>
      </c>
      <c r="I1974" s="66"/>
      <c r="J1974" s="239"/>
      <c r="K1974" s="234"/>
      <c r="L1974" s="239"/>
      <c r="M1974" s="239"/>
      <c r="N1974" s="239"/>
      <c r="O1974" s="239"/>
      <c r="P1974" s="239"/>
      <c r="Q1974" s="239"/>
      <c r="R1974" s="239"/>
      <c r="S1974" s="239"/>
    </row>
    <row r="1975" spans="3:21" s="293" customFormat="1" x14ac:dyDescent="0.25">
      <c r="F1975" s="196" t="s">
        <v>940</v>
      </c>
      <c r="G1975" s="196" t="s">
        <v>170</v>
      </c>
      <c r="H1975" s="196" t="s">
        <v>480</v>
      </c>
      <c r="I1975" s="66"/>
      <c r="J1975" s="239"/>
      <c r="K1975" s="234"/>
      <c r="L1975" s="239"/>
      <c r="M1975" s="239"/>
      <c r="N1975" s="239"/>
      <c r="O1975" s="239"/>
      <c r="P1975" s="239"/>
      <c r="Q1975" s="239"/>
      <c r="R1975" s="239"/>
      <c r="S1975" s="239"/>
    </row>
    <row r="1976" spans="3:21" s="293" customFormat="1" x14ac:dyDescent="0.25">
      <c r="F1976" s="93" t="s">
        <v>941</v>
      </c>
      <c r="G1976" s="93" t="s">
        <v>170</v>
      </c>
      <c r="H1976" s="93" t="s">
        <v>480</v>
      </c>
      <c r="I1976" s="145"/>
      <c r="J1976" s="240"/>
      <c r="K1976" s="236"/>
      <c r="L1976" s="240"/>
      <c r="M1976" s="240"/>
      <c r="N1976" s="240"/>
      <c r="O1976" s="240"/>
      <c r="P1976" s="240"/>
      <c r="Q1976" s="240"/>
      <c r="R1976" s="240"/>
      <c r="S1976" s="240"/>
    </row>
    <row r="1977" spans="3:21" s="293" customFormat="1" x14ac:dyDescent="0.25">
      <c r="I1977" s="111"/>
      <c r="J1977" s="111"/>
      <c r="K1977" s="111"/>
      <c r="L1977" s="111"/>
      <c r="M1977" s="111"/>
      <c r="N1977" s="111"/>
      <c r="O1977" s="111"/>
      <c r="P1977" s="111"/>
      <c r="Q1977" s="111"/>
      <c r="R1977" s="111"/>
      <c r="S1977" s="111"/>
    </row>
    <row r="1978" spans="3:21" s="293" customFormat="1" x14ac:dyDescent="0.25">
      <c r="C1978" s="7" t="str">
        <f ca="1">INDEX('Version control'!$H$35:$H$61,MATCH($A$1,'Version control'!$F$35:$F$61,0),1)&amp;"-R: 'Designated Property' MPANs with EDCM-level LDNO boundaries"</f>
        <v>Input 501-R: 'Designated Property' MPANs with EDCM-level LDNO boundaries</v>
      </c>
      <c r="D1978" s="7"/>
      <c r="E1978" s="7"/>
      <c r="F1978" s="7"/>
      <c r="G1978" s="7"/>
      <c r="H1978" s="7"/>
      <c r="I1978" s="171"/>
      <c r="J1978" s="7"/>
      <c r="K1978" s="7"/>
      <c r="L1978" s="7"/>
      <c r="M1978" s="7"/>
      <c r="N1978" s="7"/>
      <c r="O1978" s="7"/>
      <c r="P1978" s="7"/>
      <c r="Q1978" s="7"/>
      <c r="R1978" s="7"/>
      <c r="S1978" s="7"/>
      <c r="T1978" s="7"/>
      <c r="U1978" s="7"/>
    </row>
    <row r="1979" spans="3:21" s="293" customFormat="1" x14ac:dyDescent="0.25">
      <c r="I1979" s="111"/>
      <c r="J1979" s="163"/>
      <c r="K1979" s="163"/>
      <c r="L1979" s="163"/>
      <c r="M1979" s="163"/>
      <c r="N1979" s="163"/>
      <c r="O1979" s="163"/>
      <c r="P1979" s="163"/>
      <c r="Q1979" s="163"/>
      <c r="R1979" s="163"/>
      <c r="S1979" s="163"/>
    </row>
    <row r="1980" spans="3:21" s="293" customFormat="1" x14ac:dyDescent="0.25">
      <c r="E1980" s="445" t="s">
        <v>988</v>
      </c>
      <c r="I1980" s="111" t="s">
        <v>359</v>
      </c>
      <c r="J1980" s="111"/>
      <c r="K1980" s="111"/>
      <c r="L1980" s="111"/>
      <c r="M1980" s="111"/>
      <c r="N1980" s="111"/>
      <c r="O1980" s="111"/>
      <c r="P1980" s="111"/>
      <c r="Q1980" s="111"/>
      <c r="R1980" s="111"/>
      <c r="S1980" s="111"/>
      <c r="U1980" s="293" t="s">
        <v>993</v>
      </c>
    </row>
    <row r="1981" spans="3:21" s="293" customFormat="1" x14ac:dyDescent="0.25">
      <c r="F1981" s="91" t="s">
        <v>926</v>
      </c>
      <c r="G1981" s="91" t="s">
        <v>509</v>
      </c>
      <c r="H1981" s="91"/>
      <c r="I1981" s="112"/>
      <c r="J1981" s="231">
        <f t="shared" ref="J1981:J1996" si="193">CHOOSE(year_selection, L1981,M1981,N1981,O1981,P1981,Q1981,R1981,S1981)</f>
        <v>0</v>
      </c>
      <c r="K1981" s="232"/>
      <c r="L1981" s="461"/>
      <c r="M1981" s="461"/>
      <c r="N1981" s="461"/>
      <c r="O1981" s="461">
        <v>0</v>
      </c>
      <c r="P1981" s="461">
        <v>0</v>
      </c>
      <c r="Q1981" s="461">
        <v>0</v>
      </c>
      <c r="R1981" s="461">
        <v>0</v>
      </c>
      <c r="S1981" s="461">
        <v>0</v>
      </c>
    </row>
    <row r="1982" spans="3:21" s="293" customFormat="1" x14ac:dyDescent="0.25">
      <c r="F1982" s="196" t="s">
        <v>927</v>
      </c>
      <c r="G1982" s="196" t="s">
        <v>509</v>
      </c>
      <c r="H1982" s="196"/>
      <c r="I1982" s="66"/>
      <c r="J1982" s="448">
        <f t="shared" si="193"/>
        <v>0</v>
      </c>
      <c r="K1982" s="234"/>
      <c r="L1982" s="446"/>
      <c r="M1982" s="446"/>
      <c r="N1982" s="446"/>
      <c r="O1982" s="446">
        <v>0</v>
      </c>
      <c r="P1982" s="446">
        <v>0</v>
      </c>
      <c r="Q1982" s="446">
        <v>0</v>
      </c>
      <c r="R1982" s="446">
        <v>0</v>
      </c>
      <c r="S1982" s="446">
        <v>0</v>
      </c>
    </row>
    <row r="1983" spans="3:21" s="293" customFormat="1" x14ac:dyDescent="0.25">
      <c r="F1983" s="196" t="s">
        <v>928</v>
      </c>
      <c r="G1983" s="196" t="s">
        <v>509</v>
      </c>
      <c r="H1983" s="196"/>
      <c r="I1983" s="66"/>
      <c r="J1983" s="233">
        <f t="shared" si="193"/>
        <v>0</v>
      </c>
      <c r="K1983" s="234"/>
      <c r="L1983" s="462"/>
      <c r="M1983" s="462"/>
      <c r="N1983" s="462"/>
      <c r="O1983" s="462">
        <v>0</v>
      </c>
      <c r="P1983" s="462">
        <v>0</v>
      </c>
      <c r="Q1983" s="462">
        <v>0</v>
      </c>
      <c r="R1983" s="462">
        <v>0</v>
      </c>
      <c r="S1983" s="462">
        <v>0</v>
      </c>
    </row>
    <row r="1984" spans="3:21" s="293" customFormat="1" x14ac:dyDescent="0.25">
      <c r="F1984" s="196" t="s">
        <v>929</v>
      </c>
      <c r="G1984" s="196" t="s">
        <v>509</v>
      </c>
      <c r="H1984" s="196"/>
      <c r="I1984" s="66"/>
      <c r="J1984" s="448">
        <f t="shared" si="193"/>
        <v>0</v>
      </c>
      <c r="K1984" s="234"/>
      <c r="L1984" s="446"/>
      <c r="M1984" s="446"/>
      <c r="N1984" s="446"/>
      <c r="O1984" s="446">
        <v>0</v>
      </c>
      <c r="P1984" s="446">
        <v>0</v>
      </c>
      <c r="Q1984" s="446">
        <v>0</v>
      </c>
      <c r="R1984" s="446">
        <v>0</v>
      </c>
      <c r="S1984" s="446">
        <v>0</v>
      </c>
    </row>
    <row r="1985" spans="2:49" s="293" customFormat="1" x14ac:dyDescent="0.25">
      <c r="F1985" s="196" t="s">
        <v>930</v>
      </c>
      <c r="G1985" s="196" t="s">
        <v>509</v>
      </c>
      <c r="H1985" s="196"/>
      <c r="I1985" s="66"/>
      <c r="J1985" s="233">
        <f t="shared" si="193"/>
        <v>5</v>
      </c>
      <c r="K1985" s="234"/>
      <c r="L1985" s="462"/>
      <c r="M1985" s="462"/>
      <c r="N1985" s="462"/>
      <c r="O1985" s="462">
        <v>5</v>
      </c>
      <c r="P1985" s="333">
        <v>5</v>
      </c>
      <c r="Q1985" s="333">
        <v>5</v>
      </c>
      <c r="R1985" s="333">
        <v>5</v>
      </c>
      <c r="S1985" s="333">
        <v>5</v>
      </c>
    </row>
    <row r="1986" spans="2:49" s="293" customFormat="1" x14ac:dyDescent="0.25">
      <c r="F1986" s="196" t="s">
        <v>931</v>
      </c>
      <c r="G1986" s="196" t="s">
        <v>509</v>
      </c>
      <c r="H1986" s="196"/>
      <c r="I1986" s="66"/>
      <c r="J1986" s="233">
        <f t="shared" si="193"/>
        <v>0</v>
      </c>
      <c r="K1986" s="234"/>
      <c r="L1986" s="462"/>
      <c r="M1986" s="462"/>
      <c r="N1986" s="462"/>
      <c r="O1986" s="462">
        <v>0</v>
      </c>
      <c r="P1986" s="462">
        <v>0</v>
      </c>
      <c r="Q1986" s="462">
        <v>0</v>
      </c>
      <c r="R1986" s="462">
        <v>0</v>
      </c>
      <c r="S1986" s="462">
        <v>0</v>
      </c>
    </row>
    <row r="1987" spans="2:49" s="293" customFormat="1" x14ac:dyDescent="0.25">
      <c r="F1987" s="196" t="s">
        <v>932</v>
      </c>
      <c r="G1987" s="196" t="s">
        <v>509</v>
      </c>
      <c r="H1987" s="196"/>
      <c r="I1987" s="66"/>
      <c r="J1987" s="448">
        <f t="shared" si="193"/>
        <v>17</v>
      </c>
      <c r="K1987" s="234"/>
      <c r="L1987" s="446"/>
      <c r="M1987" s="446"/>
      <c r="N1987" s="446"/>
      <c r="O1987" s="446">
        <v>17</v>
      </c>
      <c r="P1987" s="557">
        <v>17</v>
      </c>
      <c r="Q1987" s="557">
        <v>17</v>
      </c>
      <c r="R1987" s="557">
        <v>17</v>
      </c>
      <c r="S1987" s="557">
        <v>17</v>
      </c>
    </row>
    <row r="1988" spans="2:49" s="293" customFormat="1" x14ac:dyDescent="0.25">
      <c r="F1988" s="196" t="s">
        <v>933</v>
      </c>
      <c r="G1988" s="196" t="s">
        <v>509</v>
      </c>
      <c r="H1988" s="196"/>
      <c r="I1988" s="66"/>
      <c r="J1988" s="448">
        <f t="shared" si="193"/>
        <v>0</v>
      </c>
      <c r="K1988" s="234"/>
      <c r="L1988" s="446"/>
      <c r="M1988" s="446"/>
      <c r="N1988" s="446"/>
      <c r="O1988" s="446">
        <v>0</v>
      </c>
      <c r="P1988" s="446">
        <v>0</v>
      </c>
      <c r="Q1988" s="446">
        <v>0</v>
      </c>
      <c r="R1988" s="446">
        <v>0</v>
      </c>
      <c r="S1988" s="446">
        <v>0</v>
      </c>
    </row>
    <row r="1989" spans="2:49" s="293" customFormat="1" x14ac:dyDescent="0.25">
      <c r="F1989" s="196" t="s">
        <v>934</v>
      </c>
      <c r="G1989" s="196" t="s">
        <v>509</v>
      </c>
      <c r="H1989" s="196"/>
      <c r="I1989" s="66"/>
      <c r="J1989" s="233">
        <f t="shared" si="193"/>
        <v>0</v>
      </c>
      <c r="K1989" s="234"/>
      <c r="L1989" s="462"/>
      <c r="M1989" s="462"/>
      <c r="N1989" s="462"/>
      <c r="O1989" s="462">
        <v>0</v>
      </c>
      <c r="P1989" s="462">
        <v>0</v>
      </c>
      <c r="Q1989" s="462">
        <v>0</v>
      </c>
      <c r="R1989" s="462">
        <v>0</v>
      </c>
      <c r="S1989" s="462">
        <v>0</v>
      </c>
    </row>
    <row r="1990" spans="2:49" s="293" customFormat="1" x14ac:dyDescent="0.25">
      <c r="F1990" s="196" t="s">
        <v>935</v>
      </c>
      <c r="G1990" s="196" t="s">
        <v>509</v>
      </c>
      <c r="H1990" s="196"/>
      <c r="I1990" s="66"/>
      <c r="J1990" s="233">
        <f t="shared" si="193"/>
        <v>0</v>
      </c>
      <c r="K1990" s="234"/>
      <c r="L1990" s="462"/>
      <c r="M1990" s="462"/>
      <c r="N1990" s="462"/>
      <c r="O1990" s="462">
        <v>0</v>
      </c>
      <c r="P1990" s="462">
        <v>0</v>
      </c>
      <c r="Q1990" s="462">
        <v>0</v>
      </c>
      <c r="R1990" s="462">
        <v>0</v>
      </c>
      <c r="S1990" s="462">
        <v>0</v>
      </c>
    </row>
    <row r="1991" spans="2:49" s="293" customFormat="1" x14ac:dyDescent="0.25">
      <c r="F1991" s="196" t="s">
        <v>936</v>
      </c>
      <c r="G1991" s="196" t="s">
        <v>509</v>
      </c>
      <c r="H1991" s="196"/>
      <c r="I1991" s="66"/>
      <c r="J1991" s="233">
        <f t="shared" si="193"/>
        <v>0</v>
      </c>
      <c r="K1991" s="234"/>
      <c r="L1991" s="462"/>
      <c r="M1991" s="462"/>
      <c r="N1991" s="462"/>
      <c r="O1991" s="462">
        <v>0</v>
      </c>
      <c r="P1991" s="462">
        <v>0</v>
      </c>
      <c r="Q1991" s="462">
        <v>0</v>
      </c>
      <c r="R1991" s="462">
        <v>0</v>
      </c>
      <c r="S1991" s="462">
        <v>0</v>
      </c>
    </row>
    <row r="1992" spans="2:49" s="293" customFormat="1" x14ac:dyDescent="0.25">
      <c r="F1992" s="196" t="s">
        <v>937</v>
      </c>
      <c r="G1992" s="196" t="s">
        <v>509</v>
      </c>
      <c r="H1992" s="196"/>
      <c r="I1992" s="66"/>
      <c r="J1992" s="233">
        <f t="shared" si="193"/>
        <v>0</v>
      </c>
      <c r="K1992" s="234"/>
      <c r="L1992" s="462"/>
      <c r="M1992" s="462"/>
      <c r="N1992" s="462"/>
      <c r="O1992" s="462">
        <v>0</v>
      </c>
      <c r="P1992" s="462">
        <v>0</v>
      </c>
      <c r="Q1992" s="462">
        <v>0</v>
      </c>
      <c r="R1992" s="462">
        <v>0</v>
      </c>
      <c r="S1992" s="462">
        <v>0</v>
      </c>
    </row>
    <row r="1993" spans="2:49" s="293" customFormat="1" x14ac:dyDescent="0.25">
      <c r="F1993" s="196" t="s">
        <v>938</v>
      </c>
      <c r="G1993" s="196" t="s">
        <v>509</v>
      </c>
      <c r="H1993" s="196"/>
      <c r="I1993" s="66"/>
      <c r="J1993" s="233">
        <f t="shared" si="193"/>
        <v>0</v>
      </c>
      <c r="K1993" s="234"/>
      <c r="L1993" s="462"/>
      <c r="M1993" s="462"/>
      <c r="N1993" s="462"/>
      <c r="O1993" s="462">
        <v>0</v>
      </c>
      <c r="P1993" s="462">
        <v>0</v>
      </c>
      <c r="Q1993" s="462">
        <v>0</v>
      </c>
      <c r="R1993" s="462">
        <v>0</v>
      </c>
      <c r="S1993" s="462">
        <v>0</v>
      </c>
    </row>
    <row r="1994" spans="2:49" s="293" customFormat="1" x14ac:dyDescent="0.25">
      <c r="F1994" s="196" t="s">
        <v>939</v>
      </c>
      <c r="G1994" s="196" t="s">
        <v>509</v>
      </c>
      <c r="H1994" s="196"/>
      <c r="I1994" s="66"/>
      <c r="J1994" s="233">
        <f t="shared" si="193"/>
        <v>0</v>
      </c>
      <c r="K1994" s="234"/>
      <c r="L1994" s="462"/>
      <c r="M1994" s="462"/>
      <c r="N1994" s="462"/>
      <c r="O1994" s="462">
        <v>0</v>
      </c>
      <c r="P1994" s="462">
        <v>0</v>
      </c>
      <c r="Q1994" s="462">
        <v>0</v>
      </c>
      <c r="R1994" s="462">
        <v>0</v>
      </c>
      <c r="S1994" s="462">
        <v>0</v>
      </c>
    </row>
    <row r="1995" spans="2:49" s="293" customFormat="1" x14ac:dyDescent="0.25">
      <c r="F1995" s="196" t="s">
        <v>940</v>
      </c>
      <c r="G1995" s="196" t="s">
        <v>509</v>
      </c>
      <c r="H1995" s="196"/>
      <c r="I1995" s="66"/>
      <c r="J1995" s="448">
        <f t="shared" si="193"/>
        <v>0</v>
      </c>
      <c r="K1995" s="234"/>
      <c r="L1995" s="446"/>
      <c r="M1995" s="446"/>
      <c r="N1995" s="446"/>
      <c r="O1995" s="446">
        <v>0</v>
      </c>
      <c r="P1995" s="446">
        <v>0</v>
      </c>
      <c r="Q1995" s="446">
        <v>0</v>
      </c>
      <c r="R1995" s="446">
        <v>0</v>
      </c>
      <c r="S1995" s="446">
        <v>0</v>
      </c>
    </row>
    <row r="1996" spans="2:49" s="293" customFormat="1" x14ac:dyDescent="0.25">
      <c r="F1996" s="93" t="s">
        <v>941</v>
      </c>
      <c r="G1996" s="93" t="s">
        <v>509</v>
      </c>
      <c r="H1996" s="93"/>
      <c r="I1996" s="145"/>
      <c r="J1996" s="449">
        <f t="shared" si="193"/>
        <v>0</v>
      </c>
      <c r="K1996" s="236"/>
      <c r="L1996" s="447"/>
      <c r="M1996" s="447"/>
      <c r="N1996" s="447"/>
      <c r="O1996" s="447">
        <v>0</v>
      </c>
      <c r="P1996" s="447">
        <v>0</v>
      </c>
      <c r="Q1996" s="447">
        <v>0</v>
      </c>
      <c r="R1996" s="447">
        <v>0</v>
      </c>
      <c r="S1996" s="447">
        <v>0</v>
      </c>
    </row>
    <row r="1997" spans="2:49" s="293" customFormat="1" x14ac:dyDescent="0.25">
      <c r="D1997" s="14"/>
      <c r="I1997" s="111"/>
      <c r="J1997" s="237"/>
      <c r="K1997" s="237"/>
      <c r="L1997" s="237"/>
      <c r="M1997" s="237"/>
      <c r="N1997" s="237"/>
      <c r="O1997" s="237"/>
      <c r="P1997" s="237"/>
      <c r="Q1997" s="237"/>
      <c r="R1997" s="237"/>
      <c r="S1997" s="237"/>
    </row>
    <row r="1998" spans="2:49" s="293" customFormat="1" x14ac:dyDescent="0.25">
      <c r="B1998" s="95" t="s">
        <v>1222</v>
      </c>
      <c r="C1998" s="95"/>
      <c r="D1998" s="95"/>
      <c r="E1998" s="95"/>
      <c r="F1998" s="95"/>
      <c r="G1998" s="95"/>
      <c r="H1998" s="95"/>
      <c r="I1998" s="160"/>
      <c r="J1998" s="160"/>
      <c r="K1998" s="160"/>
      <c r="L1998" s="160"/>
      <c r="M1998" s="160"/>
      <c r="N1998" s="160"/>
      <c r="O1998" s="160"/>
      <c r="P1998" s="160"/>
      <c r="Q1998" s="160"/>
      <c r="R1998" s="160"/>
      <c r="S1998" s="160"/>
      <c r="T1998" s="95"/>
      <c r="U1998" s="95"/>
      <c r="W1998" s="95"/>
      <c r="X1998" s="95"/>
      <c r="Y1998" s="95"/>
      <c r="Z1998" s="95"/>
      <c r="AA1998" s="95"/>
      <c r="AB1998" s="95"/>
      <c r="AC1998" s="95"/>
      <c r="AD1998" s="95"/>
      <c r="AE1998" s="95"/>
      <c r="AF1998" s="95"/>
      <c r="AG1998" s="95"/>
      <c r="AH1998" s="95"/>
      <c r="AI1998" s="95"/>
      <c r="AJ1998" s="95"/>
      <c r="AK1998" s="95"/>
      <c r="AL1998" s="95"/>
      <c r="AM1998" s="95"/>
      <c r="AN1998" s="95"/>
      <c r="AO1998" s="95"/>
      <c r="AP1998" s="95"/>
      <c r="AQ1998" s="95"/>
      <c r="AR1998" s="95"/>
      <c r="AS1998" s="95"/>
      <c r="AT1998" s="95"/>
      <c r="AU1998" s="95"/>
      <c r="AV1998" s="95"/>
      <c r="AW1998" s="95"/>
    </row>
    <row r="1999" spans="2:49" s="293" customFormat="1" x14ac:dyDescent="0.25">
      <c r="D1999" s="14"/>
      <c r="I1999" s="111"/>
      <c r="J1999" s="111"/>
      <c r="K1999" s="111"/>
      <c r="L1999" s="111"/>
      <c r="M1999" s="111"/>
      <c r="N1999" s="111"/>
      <c r="O1999" s="111"/>
      <c r="P1999" s="111"/>
      <c r="Q1999" s="111"/>
      <c r="R1999" s="111"/>
      <c r="S1999" s="111"/>
    </row>
    <row r="2000" spans="2:49" s="293" customFormat="1" x14ac:dyDescent="0.25">
      <c r="D2000" s="82" t="s">
        <v>1223</v>
      </c>
      <c r="H2000" s="90"/>
      <c r="I2000" s="293" t="s">
        <v>359</v>
      </c>
      <c r="J2000" s="111"/>
      <c r="K2000" s="111"/>
      <c r="L2000" s="111"/>
      <c r="M2000" s="111"/>
      <c r="N2000" s="111"/>
      <c r="O2000" s="111"/>
      <c r="P2000" s="111"/>
      <c r="Q2000" s="111"/>
      <c r="R2000" s="111"/>
      <c r="S2000" s="111"/>
      <c r="U2000" s="293" t="s">
        <v>1234</v>
      </c>
    </row>
    <row r="2001" spans="3:21" s="293" customFormat="1" x14ac:dyDescent="0.25">
      <c r="D2001" s="82" t="s">
        <v>1224</v>
      </c>
      <c r="H2001" s="90"/>
      <c r="J2001" s="111"/>
      <c r="K2001" s="111"/>
      <c r="L2001" s="111"/>
      <c r="M2001" s="111"/>
      <c r="N2001" s="111"/>
      <c r="O2001" s="111"/>
      <c r="P2001" s="111"/>
      <c r="Q2001" s="111"/>
      <c r="R2001" s="111"/>
      <c r="S2001" s="111"/>
    </row>
    <row r="2002" spans="3:21" s="293" customFormat="1" x14ac:dyDescent="0.25">
      <c r="D2002" s="14"/>
      <c r="I2002" s="111"/>
      <c r="J2002" s="111"/>
      <c r="K2002" s="111"/>
      <c r="L2002" s="111"/>
      <c r="M2002" s="111"/>
      <c r="N2002" s="111"/>
      <c r="O2002" s="111"/>
      <c r="P2002" s="111"/>
      <c r="Q2002" s="111"/>
      <c r="R2002" s="111"/>
      <c r="S2002" s="111"/>
    </row>
    <row r="2003" spans="3:21" s="293" customFormat="1" x14ac:dyDescent="0.25">
      <c r="C2003" s="7" t="str">
        <f ca="1">INDEX('Version control'!$H$35:$H$61,MATCH($A$1,'Version control'!$F$35:$F$61,0),1)&amp;"-S: All the way non-domestic aggregated (related MPAN) distribution by bands"</f>
        <v>Input 501-S: All the way non-domestic aggregated (related MPAN) distribution by bands</v>
      </c>
      <c r="D2003" s="7"/>
      <c r="E2003" s="7"/>
      <c r="F2003" s="7"/>
      <c r="G2003" s="7"/>
      <c r="H2003" s="7"/>
      <c r="I2003" s="171"/>
      <c r="J2003" s="7"/>
      <c r="K2003" s="7"/>
      <c r="L2003" s="7"/>
      <c r="M2003" s="7"/>
      <c r="N2003" s="7"/>
      <c r="O2003" s="7"/>
      <c r="P2003" s="7"/>
      <c r="Q2003" s="7"/>
      <c r="R2003" s="7"/>
      <c r="S2003" s="7"/>
      <c r="T2003" s="7"/>
      <c r="U2003" s="7"/>
    </row>
    <row r="2004" spans="3:21" s="293" customFormat="1" x14ac:dyDescent="0.25">
      <c r="I2004" s="111"/>
      <c r="J2004" s="163"/>
      <c r="K2004" s="163"/>
      <c r="L2004" s="163"/>
      <c r="M2004" s="163"/>
      <c r="N2004" s="163"/>
      <c r="O2004" s="163"/>
      <c r="P2004" s="163"/>
      <c r="Q2004" s="163"/>
      <c r="R2004" s="163"/>
      <c r="S2004" s="163"/>
    </row>
    <row r="2005" spans="3:21" s="293" customFormat="1" x14ac:dyDescent="0.25">
      <c r="E2005" s="445" t="s">
        <v>199</v>
      </c>
      <c r="I2005" s="111"/>
      <c r="J2005" s="111"/>
      <c r="K2005" s="111"/>
      <c r="L2005" s="111"/>
      <c r="M2005" s="111"/>
      <c r="N2005" s="111"/>
      <c r="O2005" s="111"/>
      <c r="P2005" s="111"/>
      <c r="Q2005" s="111"/>
      <c r="R2005" s="111"/>
      <c r="S2005" s="111"/>
    </row>
    <row r="2006" spans="3:21" s="293" customFormat="1" x14ac:dyDescent="0.25">
      <c r="F2006" s="91" t="s">
        <v>1061</v>
      </c>
      <c r="G2006" s="91" t="s">
        <v>94</v>
      </c>
      <c r="H2006" s="91"/>
      <c r="I2006" s="112"/>
      <c r="J2006" s="184">
        <f t="shared" ref="J2006:J2010" si="194">CHOOSE(year_selection, L2006,M2006,N2006,O2006,P2006,Q2006,R2006,S2006)</f>
        <v>5.7765643396613575E-5</v>
      </c>
      <c r="K2006" s="521"/>
      <c r="L2006" s="522"/>
      <c r="M2006" s="522"/>
      <c r="N2006" s="522"/>
      <c r="O2006" s="522">
        <v>5.7765643396613575E-5</v>
      </c>
      <c r="P2006" s="558">
        <v>5.7765643396613575E-5</v>
      </c>
      <c r="Q2006" s="558">
        <v>5.7765643396613575E-5</v>
      </c>
      <c r="R2006" s="558">
        <v>5.7765643396613575E-5</v>
      </c>
      <c r="S2006" s="558">
        <v>5.7765643396613575E-5</v>
      </c>
    </row>
    <row r="2007" spans="3:21" s="293" customFormat="1" x14ac:dyDescent="0.25">
      <c r="F2007" s="196" t="s">
        <v>1062</v>
      </c>
      <c r="G2007" s="196" t="s">
        <v>94</v>
      </c>
      <c r="H2007" s="196"/>
      <c r="I2007" s="66"/>
      <c r="J2007" s="185">
        <f t="shared" si="194"/>
        <v>7.2022674942564424E-2</v>
      </c>
      <c r="K2007" s="523"/>
      <c r="L2007" s="524"/>
      <c r="M2007" s="524"/>
      <c r="N2007" s="524"/>
      <c r="O2007" s="524">
        <v>7.2022674942564424E-2</v>
      </c>
      <c r="P2007" s="559">
        <v>7.2022674942564424E-2</v>
      </c>
      <c r="Q2007" s="559">
        <v>7.2022674942564424E-2</v>
      </c>
      <c r="R2007" s="559">
        <v>7.2022674942564424E-2</v>
      </c>
      <c r="S2007" s="559">
        <v>7.2022674942564424E-2</v>
      </c>
    </row>
    <row r="2008" spans="3:21" s="293" customFormat="1" x14ac:dyDescent="0.25">
      <c r="F2008" s="196" t="s">
        <v>1063</v>
      </c>
      <c r="G2008" s="196" t="s">
        <v>94</v>
      </c>
      <c r="H2008" s="196"/>
      <c r="I2008" s="66"/>
      <c r="J2008" s="185">
        <f t="shared" si="194"/>
        <v>0.17777737366220056</v>
      </c>
      <c r="K2008" s="523"/>
      <c r="L2008" s="524"/>
      <c r="M2008" s="524"/>
      <c r="N2008" s="524"/>
      <c r="O2008" s="524">
        <v>0.17777737366220056</v>
      </c>
      <c r="P2008" s="559">
        <v>0.17777737366220056</v>
      </c>
      <c r="Q2008" s="559">
        <v>0.17777737366220056</v>
      </c>
      <c r="R2008" s="559">
        <v>0.17777737366220056</v>
      </c>
      <c r="S2008" s="559">
        <v>0.17777737366220056</v>
      </c>
    </row>
    <row r="2009" spans="3:21" s="293" customFormat="1" x14ac:dyDescent="0.25">
      <c r="F2009" s="196" t="s">
        <v>1064</v>
      </c>
      <c r="G2009" s="196" t="s">
        <v>94</v>
      </c>
      <c r="H2009" s="196"/>
      <c r="I2009" s="66"/>
      <c r="J2009" s="311">
        <f t="shared" si="194"/>
        <v>0.21330087171237957</v>
      </c>
      <c r="K2009" s="523"/>
      <c r="L2009" s="525"/>
      <c r="M2009" s="525"/>
      <c r="N2009" s="525"/>
      <c r="O2009" s="525">
        <v>0.21330087171237957</v>
      </c>
      <c r="P2009" s="560">
        <v>0.21330087171237957</v>
      </c>
      <c r="Q2009" s="560">
        <v>0.21330087171237957</v>
      </c>
      <c r="R2009" s="560">
        <v>0.21330087171237957</v>
      </c>
      <c r="S2009" s="560">
        <v>0.21330087171237957</v>
      </c>
    </row>
    <row r="2010" spans="3:21" s="293" customFormat="1" x14ac:dyDescent="0.25">
      <c r="F2010" s="93" t="s">
        <v>1065</v>
      </c>
      <c r="G2010" s="93" t="s">
        <v>94</v>
      </c>
      <c r="H2010" s="93"/>
      <c r="I2010" s="145"/>
      <c r="J2010" s="526">
        <f t="shared" si="194"/>
        <v>0.53684131403945878</v>
      </c>
      <c r="K2010" s="527"/>
      <c r="L2010" s="528"/>
      <c r="M2010" s="528"/>
      <c r="N2010" s="528"/>
      <c r="O2010" s="528">
        <v>0.53684131403945878</v>
      </c>
      <c r="P2010" s="561">
        <v>0.53684131403945878</v>
      </c>
      <c r="Q2010" s="561">
        <v>0.53684131403945878</v>
      </c>
      <c r="R2010" s="561">
        <v>0.53684131403945878</v>
      </c>
      <c r="S2010" s="561">
        <v>0.53684131403945878</v>
      </c>
    </row>
    <row r="2011" spans="3:21" s="293" customFormat="1" x14ac:dyDescent="0.25">
      <c r="D2011" s="14"/>
      <c r="I2011" s="111"/>
      <c r="J2011" s="237"/>
      <c r="K2011" s="237"/>
      <c r="L2011" s="237"/>
      <c r="M2011" s="237"/>
      <c r="N2011" s="237"/>
      <c r="O2011" s="237"/>
      <c r="P2011" s="237"/>
      <c r="Q2011" s="237"/>
      <c r="R2011" s="237"/>
      <c r="S2011" s="237"/>
    </row>
    <row r="2012" spans="3:21" s="293" customFormat="1" x14ac:dyDescent="0.25">
      <c r="E2012" s="445" t="s">
        <v>200</v>
      </c>
      <c r="I2012" s="111"/>
      <c r="J2012" s="111"/>
      <c r="K2012" s="111"/>
      <c r="L2012" s="111"/>
      <c r="M2012" s="111"/>
      <c r="N2012" s="111"/>
      <c r="O2012" s="111"/>
      <c r="P2012" s="111"/>
      <c r="Q2012" s="111"/>
      <c r="R2012" s="111"/>
      <c r="S2012" s="111"/>
    </row>
    <row r="2013" spans="3:21" s="293" customFormat="1" x14ac:dyDescent="0.25">
      <c r="F2013" s="91" t="s">
        <v>1061</v>
      </c>
      <c r="G2013" s="91" t="s">
        <v>94</v>
      </c>
      <c r="H2013" s="91"/>
      <c r="I2013" s="112"/>
      <c r="J2013" s="184">
        <f t="shared" ref="J2013:J2017" si="195">CHOOSE(year_selection, L2013,M2013,N2013,O2013,P2013,Q2013,R2013,S2013)</f>
        <v>5.7765643396613575E-5</v>
      </c>
      <c r="K2013" s="521"/>
      <c r="L2013" s="522"/>
      <c r="M2013" s="522"/>
      <c r="N2013" s="522"/>
      <c r="O2013" s="522">
        <v>5.7765643396613575E-5</v>
      </c>
      <c r="P2013" s="558">
        <v>5.7765643396613575E-5</v>
      </c>
      <c r="Q2013" s="558">
        <v>5.7765643396613575E-5</v>
      </c>
      <c r="R2013" s="558">
        <v>5.7765643396613575E-5</v>
      </c>
      <c r="S2013" s="558">
        <v>5.7765643396613575E-5</v>
      </c>
    </row>
    <row r="2014" spans="3:21" s="293" customFormat="1" x14ac:dyDescent="0.25">
      <c r="F2014" s="196" t="s">
        <v>1062</v>
      </c>
      <c r="G2014" s="196" t="s">
        <v>94</v>
      </c>
      <c r="H2014" s="196"/>
      <c r="I2014" s="66"/>
      <c r="J2014" s="185">
        <f t="shared" si="195"/>
        <v>7.2022674942564424E-2</v>
      </c>
      <c r="K2014" s="523"/>
      <c r="L2014" s="524"/>
      <c r="M2014" s="524"/>
      <c r="N2014" s="524"/>
      <c r="O2014" s="524">
        <v>7.2022674942564424E-2</v>
      </c>
      <c r="P2014" s="559">
        <v>7.2022674942564424E-2</v>
      </c>
      <c r="Q2014" s="559">
        <v>7.2022674942564424E-2</v>
      </c>
      <c r="R2014" s="559">
        <v>7.2022674942564424E-2</v>
      </c>
      <c r="S2014" s="559">
        <v>7.2022674942564424E-2</v>
      </c>
    </row>
    <row r="2015" spans="3:21" s="293" customFormat="1" x14ac:dyDescent="0.25">
      <c r="F2015" s="196" t="s">
        <v>1063</v>
      </c>
      <c r="G2015" s="196" t="s">
        <v>94</v>
      </c>
      <c r="H2015" s="196"/>
      <c r="I2015" s="66"/>
      <c r="J2015" s="185">
        <f t="shared" si="195"/>
        <v>0.17777737366220056</v>
      </c>
      <c r="K2015" s="523"/>
      <c r="L2015" s="524"/>
      <c r="M2015" s="524"/>
      <c r="N2015" s="524"/>
      <c r="O2015" s="524">
        <v>0.17777737366220056</v>
      </c>
      <c r="P2015" s="559">
        <v>0.17777737366220056</v>
      </c>
      <c r="Q2015" s="559">
        <v>0.17777737366220056</v>
      </c>
      <c r="R2015" s="559">
        <v>0.17777737366220056</v>
      </c>
      <c r="S2015" s="559">
        <v>0.17777737366220056</v>
      </c>
    </row>
    <row r="2016" spans="3:21" s="293" customFormat="1" x14ac:dyDescent="0.25">
      <c r="F2016" s="196" t="s">
        <v>1064</v>
      </c>
      <c r="G2016" s="196" t="s">
        <v>94</v>
      </c>
      <c r="H2016" s="196"/>
      <c r="I2016" s="66"/>
      <c r="J2016" s="311">
        <f t="shared" si="195"/>
        <v>0.21330087171237957</v>
      </c>
      <c r="K2016" s="523"/>
      <c r="L2016" s="525"/>
      <c r="M2016" s="525"/>
      <c r="N2016" s="525"/>
      <c r="O2016" s="525">
        <v>0.21330087171237957</v>
      </c>
      <c r="P2016" s="560">
        <v>0.21330087171237957</v>
      </c>
      <c r="Q2016" s="560">
        <v>0.21330087171237957</v>
      </c>
      <c r="R2016" s="560">
        <v>0.21330087171237957</v>
      </c>
      <c r="S2016" s="560">
        <v>0.21330087171237957</v>
      </c>
    </row>
    <row r="2017" spans="3:21" s="293" customFormat="1" x14ac:dyDescent="0.25">
      <c r="F2017" s="93" t="s">
        <v>1065</v>
      </c>
      <c r="G2017" s="93" t="s">
        <v>94</v>
      </c>
      <c r="H2017" s="93"/>
      <c r="I2017" s="145"/>
      <c r="J2017" s="526">
        <f t="shared" si="195"/>
        <v>0.53684131403945878</v>
      </c>
      <c r="K2017" s="527"/>
      <c r="L2017" s="528"/>
      <c r="M2017" s="528"/>
      <c r="N2017" s="528"/>
      <c r="O2017" s="528">
        <v>0.53684131403945878</v>
      </c>
      <c r="P2017" s="561">
        <v>0.53684131403945878</v>
      </c>
      <c r="Q2017" s="561">
        <v>0.53684131403945878</v>
      </c>
      <c r="R2017" s="561">
        <v>0.53684131403945878</v>
      </c>
      <c r="S2017" s="561">
        <v>0.53684131403945878</v>
      </c>
    </row>
    <row r="2018" spans="3:21" s="293" customFormat="1" x14ac:dyDescent="0.25">
      <c r="D2018" s="14"/>
      <c r="I2018" s="111"/>
      <c r="J2018" s="237"/>
      <c r="K2018" s="237"/>
      <c r="L2018" s="237"/>
      <c r="M2018" s="237"/>
      <c r="N2018" s="237"/>
      <c r="O2018" s="237"/>
      <c r="P2018" s="237"/>
      <c r="Q2018" s="237"/>
      <c r="R2018" s="237"/>
      <c r="S2018" s="237"/>
    </row>
    <row r="2019" spans="3:21" s="293" customFormat="1" x14ac:dyDescent="0.25">
      <c r="E2019" s="445" t="s">
        <v>201</v>
      </c>
      <c r="I2019" s="111"/>
      <c r="J2019" s="111"/>
      <c r="K2019" s="111"/>
      <c r="L2019" s="111"/>
      <c r="M2019" s="111"/>
      <c r="N2019" s="111"/>
      <c r="O2019" s="111"/>
      <c r="P2019" s="111"/>
      <c r="Q2019" s="111"/>
      <c r="R2019" s="111"/>
      <c r="S2019" s="111"/>
    </row>
    <row r="2020" spans="3:21" s="293" customFormat="1" x14ac:dyDescent="0.25">
      <c r="F2020" s="91" t="s">
        <v>1061</v>
      </c>
      <c r="G2020" s="91" t="s">
        <v>94</v>
      </c>
      <c r="H2020" s="91"/>
      <c r="I2020" s="112"/>
      <c r="J2020" s="184">
        <f t="shared" ref="J2020:J2024" si="196">CHOOSE(year_selection, L2020,M2020,N2020,O2020,P2020,Q2020,R2020,S2020)</f>
        <v>5.7765643396613575E-5</v>
      </c>
      <c r="K2020" s="521"/>
      <c r="L2020" s="522"/>
      <c r="M2020" s="522"/>
      <c r="N2020" s="522"/>
      <c r="O2020" s="522">
        <v>5.7765643396613575E-5</v>
      </c>
      <c r="P2020" s="558">
        <v>5.7765643396613575E-5</v>
      </c>
      <c r="Q2020" s="558">
        <v>5.7765643396613575E-5</v>
      </c>
      <c r="R2020" s="558">
        <v>5.7765643396613575E-5</v>
      </c>
      <c r="S2020" s="558">
        <v>5.7765643396613575E-5</v>
      </c>
    </row>
    <row r="2021" spans="3:21" s="293" customFormat="1" x14ac:dyDescent="0.25">
      <c r="F2021" s="196" t="s">
        <v>1062</v>
      </c>
      <c r="G2021" s="196" t="s">
        <v>94</v>
      </c>
      <c r="H2021" s="196"/>
      <c r="I2021" s="66"/>
      <c r="J2021" s="185">
        <f t="shared" si="196"/>
        <v>7.2022674942564424E-2</v>
      </c>
      <c r="K2021" s="523"/>
      <c r="L2021" s="524"/>
      <c r="M2021" s="524"/>
      <c r="N2021" s="524"/>
      <c r="O2021" s="524">
        <v>7.2022674942564424E-2</v>
      </c>
      <c r="P2021" s="559">
        <v>7.2022674942564424E-2</v>
      </c>
      <c r="Q2021" s="559">
        <v>7.2022674942564424E-2</v>
      </c>
      <c r="R2021" s="559">
        <v>7.2022674942564424E-2</v>
      </c>
      <c r="S2021" s="559">
        <v>7.2022674942564424E-2</v>
      </c>
    </row>
    <row r="2022" spans="3:21" s="293" customFormat="1" x14ac:dyDescent="0.25">
      <c r="F2022" s="196" t="s">
        <v>1063</v>
      </c>
      <c r="G2022" s="196" t="s">
        <v>94</v>
      </c>
      <c r="H2022" s="196"/>
      <c r="I2022" s="66"/>
      <c r="J2022" s="185">
        <f t="shared" si="196"/>
        <v>0.17777737366220056</v>
      </c>
      <c r="K2022" s="523"/>
      <c r="L2022" s="524"/>
      <c r="M2022" s="524"/>
      <c r="N2022" s="524"/>
      <c r="O2022" s="524">
        <v>0.17777737366220056</v>
      </c>
      <c r="P2022" s="559">
        <v>0.17777737366220056</v>
      </c>
      <c r="Q2022" s="559">
        <v>0.17777737366220056</v>
      </c>
      <c r="R2022" s="559">
        <v>0.17777737366220056</v>
      </c>
      <c r="S2022" s="559">
        <v>0.17777737366220056</v>
      </c>
    </row>
    <row r="2023" spans="3:21" s="293" customFormat="1" x14ac:dyDescent="0.25">
      <c r="F2023" s="196" t="s">
        <v>1064</v>
      </c>
      <c r="G2023" s="196" t="s">
        <v>94</v>
      </c>
      <c r="H2023" s="196"/>
      <c r="I2023" s="66"/>
      <c r="J2023" s="311">
        <f t="shared" si="196"/>
        <v>0.21330087171237957</v>
      </c>
      <c r="K2023" s="523"/>
      <c r="L2023" s="525"/>
      <c r="M2023" s="525"/>
      <c r="N2023" s="525"/>
      <c r="O2023" s="525">
        <v>0.21330087171237957</v>
      </c>
      <c r="P2023" s="560">
        <v>0.21330087171237957</v>
      </c>
      <c r="Q2023" s="560">
        <v>0.21330087171237957</v>
      </c>
      <c r="R2023" s="560">
        <v>0.21330087171237957</v>
      </c>
      <c r="S2023" s="560">
        <v>0.21330087171237957</v>
      </c>
    </row>
    <row r="2024" spans="3:21" s="293" customFormat="1" x14ac:dyDescent="0.25">
      <c r="F2024" s="93" t="s">
        <v>1065</v>
      </c>
      <c r="G2024" s="93" t="s">
        <v>94</v>
      </c>
      <c r="H2024" s="93"/>
      <c r="I2024" s="145"/>
      <c r="J2024" s="526">
        <f t="shared" si="196"/>
        <v>0.53684131403945878</v>
      </c>
      <c r="K2024" s="527"/>
      <c r="L2024" s="528"/>
      <c r="M2024" s="528"/>
      <c r="N2024" s="528"/>
      <c r="O2024" s="528">
        <v>0.53684131403945878</v>
      </c>
      <c r="P2024" s="561">
        <v>0.53684131403945878</v>
      </c>
      <c r="Q2024" s="561">
        <v>0.53684131403945878</v>
      </c>
      <c r="R2024" s="561">
        <v>0.53684131403945878</v>
      </c>
      <c r="S2024" s="561">
        <v>0.53684131403945878</v>
      </c>
    </row>
    <row r="2025" spans="3:21" s="293" customFormat="1" x14ac:dyDescent="0.25">
      <c r="D2025" s="14"/>
      <c r="I2025" s="111"/>
      <c r="J2025" s="237"/>
      <c r="K2025" s="237"/>
      <c r="L2025" s="237"/>
      <c r="M2025" s="237"/>
      <c r="N2025" s="237"/>
      <c r="O2025" s="237"/>
      <c r="P2025" s="237"/>
      <c r="Q2025" s="237"/>
      <c r="R2025" s="237"/>
      <c r="S2025" s="237"/>
    </row>
    <row r="2026" spans="3:21" s="293" customFormat="1" x14ac:dyDescent="0.25">
      <c r="C2026" s="7" t="str">
        <f ca="1">INDEX('Version control'!$H$35:$H$61,MATCH($A$1,'Version control'!$F$35:$F$61,0),1)&amp;"-T: LDNO LV non-domestic aggregated (related MPAN) distribution by bands"</f>
        <v>Input 501-T: LDNO LV non-domestic aggregated (related MPAN) distribution by bands</v>
      </c>
      <c r="D2026" s="7"/>
      <c r="E2026" s="7"/>
      <c r="F2026" s="7"/>
      <c r="G2026" s="7"/>
      <c r="H2026" s="7"/>
      <c r="I2026" s="171"/>
      <c r="J2026" s="7"/>
      <c r="K2026" s="7"/>
      <c r="L2026" s="7"/>
      <c r="M2026" s="7"/>
      <c r="N2026" s="7"/>
      <c r="O2026" s="7"/>
      <c r="P2026" s="7"/>
      <c r="Q2026" s="7"/>
      <c r="R2026" s="7"/>
      <c r="S2026" s="7"/>
      <c r="T2026" s="7"/>
      <c r="U2026" s="7"/>
    </row>
    <row r="2027" spans="3:21" s="293" customFormat="1" x14ac:dyDescent="0.25">
      <c r="I2027" s="111"/>
      <c r="J2027" s="163"/>
      <c r="K2027" s="163"/>
      <c r="L2027" s="163"/>
      <c r="M2027" s="163"/>
      <c r="N2027" s="163"/>
      <c r="O2027" s="163"/>
      <c r="P2027" s="163"/>
      <c r="Q2027" s="163"/>
      <c r="R2027" s="163"/>
      <c r="S2027" s="163"/>
    </row>
    <row r="2028" spans="3:21" s="293" customFormat="1" x14ac:dyDescent="0.25">
      <c r="E2028" s="445" t="s">
        <v>199</v>
      </c>
      <c r="I2028" s="111"/>
      <c r="J2028" s="111"/>
      <c r="K2028" s="111"/>
      <c r="L2028" s="111"/>
      <c r="M2028" s="111"/>
      <c r="N2028" s="111"/>
      <c r="O2028" s="111"/>
      <c r="P2028" s="111"/>
      <c r="Q2028" s="111"/>
      <c r="R2028" s="111"/>
      <c r="S2028" s="111"/>
    </row>
    <row r="2029" spans="3:21" s="293" customFormat="1" x14ac:dyDescent="0.25">
      <c r="F2029" s="91" t="s">
        <v>1061</v>
      </c>
      <c r="G2029" s="91" t="s">
        <v>94</v>
      </c>
      <c r="H2029" s="91"/>
      <c r="I2029" s="112"/>
      <c r="J2029" s="184">
        <f t="shared" ref="J2029:J2033" si="197">CHOOSE(year_selection, L2029,M2029,N2029,O2029,P2029,Q2029,R2029,S2029)</f>
        <v>5.7765643396613575E-5</v>
      </c>
      <c r="K2029" s="521"/>
      <c r="L2029" s="522"/>
      <c r="M2029" s="522"/>
      <c r="N2029" s="522"/>
      <c r="O2029" s="522">
        <v>5.7765643396613575E-5</v>
      </c>
      <c r="P2029" s="558">
        <v>5.7765643396613575E-5</v>
      </c>
      <c r="Q2029" s="558">
        <v>5.7765643396613575E-5</v>
      </c>
      <c r="R2029" s="558">
        <v>5.7765643396613575E-5</v>
      </c>
      <c r="S2029" s="558">
        <v>5.7765643396613575E-5</v>
      </c>
    </row>
    <row r="2030" spans="3:21" s="293" customFormat="1" x14ac:dyDescent="0.25">
      <c r="F2030" s="196" t="s">
        <v>1062</v>
      </c>
      <c r="G2030" s="196" t="s">
        <v>94</v>
      </c>
      <c r="H2030" s="196"/>
      <c r="I2030" s="66"/>
      <c r="J2030" s="185">
        <f t="shared" si="197"/>
        <v>7.2022674942564424E-2</v>
      </c>
      <c r="K2030" s="523"/>
      <c r="L2030" s="524"/>
      <c r="M2030" s="524"/>
      <c r="N2030" s="524"/>
      <c r="O2030" s="524">
        <v>7.2022674942564424E-2</v>
      </c>
      <c r="P2030" s="559">
        <v>7.2022674942564424E-2</v>
      </c>
      <c r="Q2030" s="559">
        <v>7.2022674942564424E-2</v>
      </c>
      <c r="R2030" s="559">
        <v>7.2022674942564424E-2</v>
      </c>
      <c r="S2030" s="559">
        <v>7.2022674942564424E-2</v>
      </c>
    </row>
    <row r="2031" spans="3:21" s="293" customFormat="1" x14ac:dyDescent="0.25">
      <c r="F2031" s="196" t="s">
        <v>1063</v>
      </c>
      <c r="G2031" s="196" t="s">
        <v>94</v>
      </c>
      <c r="H2031" s="196"/>
      <c r="I2031" s="66"/>
      <c r="J2031" s="185">
        <f t="shared" si="197"/>
        <v>0.17777737366220056</v>
      </c>
      <c r="K2031" s="523"/>
      <c r="L2031" s="524"/>
      <c r="M2031" s="524"/>
      <c r="N2031" s="524"/>
      <c r="O2031" s="524">
        <v>0.17777737366220056</v>
      </c>
      <c r="P2031" s="559">
        <v>0.17777737366220056</v>
      </c>
      <c r="Q2031" s="559">
        <v>0.17777737366220056</v>
      </c>
      <c r="R2031" s="559">
        <v>0.17777737366220056</v>
      </c>
      <c r="S2031" s="559">
        <v>0.17777737366220056</v>
      </c>
    </row>
    <row r="2032" spans="3:21" s="293" customFormat="1" x14ac:dyDescent="0.25">
      <c r="F2032" s="196" t="s">
        <v>1064</v>
      </c>
      <c r="G2032" s="196" t="s">
        <v>94</v>
      </c>
      <c r="H2032" s="196"/>
      <c r="I2032" s="66"/>
      <c r="J2032" s="311">
        <f t="shared" si="197"/>
        <v>0.21330087171237957</v>
      </c>
      <c r="K2032" s="523"/>
      <c r="L2032" s="525"/>
      <c r="M2032" s="525"/>
      <c r="N2032" s="525"/>
      <c r="O2032" s="525">
        <v>0.21330087171237957</v>
      </c>
      <c r="P2032" s="560">
        <v>0.21330087171237957</v>
      </c>
      <c r="Q2032" s="560">
        <v>0.21330087171237957</v>
      </c>
      <c r="R2032" s="560">
        <v>0.21330087171237957</v>
      </c>
      <c r="S2032" s="560">
        <v>0.21330087171237957</v>
      </c>
    </row>
    <row r="2033" spans="4:19" s="293" customFormat="1" x14ac:dyDescent="0.25">
      <c r="F2033" s="93" t="s">
        <v>1065</v>
      </c>
      <c r="G2033" s="93" t="s">
        <v>94</v>
      </c>
      <c r="H2033" s="93"/>
      <c r="I2033" s="145"/>
      <c r="J2033" s="526">
        <f t="shared" si="197"/>
        <v>0.53684131403945878</v>
      </c>
      <c r="K2033" s="527"/>
      <c r="L2033" s="528"/>
      <c r="M2033" s="528"/>
      <c r="N2033" s="528"/>
      <c r="O2033" s="528">
        <v>0.53684131403945878</v>
      </c>
      <c r="P2033" s="561">
        <v>0.53684131403945878</v>
      </c>
      <c r="Q2033" s="561">
        <v>0.53684131403945878</v>
      </c>
      <c r="R2033" s="561">
        <v>0.53684131403945878</v>
      </c>
      <c r="S2033" s="561">
        <v>0.53684131403945878</v>
      </c>
    </row>
    <row r="2034" spans="4:19" s="293" customFormat="1" x14ac:dyDescent="0.25">
      <c r="D2034" s="14"/>
      <c r="I2034" s="111"/>
      <c r="J2034" s="237"/>
      <c r="K2034" s="237"/>
      <c r="L2034" s="237"/>
      <c r="M2034" s="237"/>
      <c r="N2034" s="237"/>
      <c r="O2034" s="237"/>
      <c r="P2034" s="237"/>
      <c r="Q2034" s="237"/>
      <c r="R2034" s="237"/>
      <c r="S2034" s="237"/>
    </row>
    <row r="2035" spans="4:19" s="293" customFormat="1" x14ac:dyDescent="0.25">
      <c r="E2035" s="445" t="s">
        <v>200</v>
      </c>
      <c r="I2035" s="111"/>
      <c r="J2035" s="111"/>
      <c r="K2035" s="111"/>
      <c r="L2035" s="111"/>
      <c r="M2035" s="111"/>
      <c r="N2035" s="111"/>
      <c r="O2035" s="111"/>
      <c r="P2035" s="111"/>
      <c r="Q2035" s="111"/>
      <c r="R2035" s="111"/>
      <c r="S2035" s="111"/>
    </row>
    <row r="2036" spans="4:19" s="293" customFormat="1" x14ac:dyDescent="0.25">
      <c r="F2036" s="91" t="s">
        <v>1061</v>
      </c>
      <c r="G2036" s="91" t="s">
        <v>94</v>
      </c>
      <c r="H2036" s="91"/>
      <c r="I2036" s="112"/>
      <c r="J2036" s="184">
        <f t="shared" ref="J2036:J2040" si="198">CHOOSE(year_selection, L2036,M2036,N2036,O2036,P2036,Q2036,R2036,S2036)</f>
        <v>5.7765643396613575E-5</v>
      </c>
      <c r="K2036" s="521"/>
      <c r="L2036" s="522"/>
      <c r="M2036" s="522"/>
      <c r="N2036" s="522"/>
      <c r="O2036" s="522">
        <v>5.7765643396613575E-5</v>
      </c>
      <c r="P2036" s="558">
        <v>5.7765643396613575E-5</v>
      </c>
      <c r="Q2036" s="558">
        <v>5.7765643396613575E-5</v>
      </c>
      <c r="R2036" s="558">
        <v>5.7765643396613575E-5</v>
      </c>
      <c r="S2036" s="558">
        <v>5.7765643396613575E-5</v>
      </c>
    </row>
    <row r="2037" spans="4:19" s="293" customFormat="1" x14ac:dyDescent="0.25">
      <c r="F2037" s="196" t="s">
        <v>1062</v>
      </c>
      <c r="G2037" s="196" t="s">
        <v>94</v>
      </c>
      <c r="H2037" s="196"/>
      <c r="I2037" s="66"/>
      <c r="J2037" s="185">
        <f t="shared" si="198"/>
        <v>7.2022674942564424E-2</v>
      </c>
      <c r="K2037" s="523"/>
      <c r="L2037" s="524"/>
      <c r="M2037" s="524"/>
      <c r="N2037" s="524"/>
      <c r="O2037" s="524">
        <v>7.2022674942564424E-2</v>
      </c>
      <c r="P2037" s="559">
        <v>7.2022674942564424E-2</v>
      </c>
      <c r="Q2037" s="559">
        <v>7.2022674942564424E-2</v>
      </c>
      <c r="R2037" s="559">
        <v>7.2022674942564424E-2</v>
      </c>
      <c r="S2037" s="559">
        <v>7.2022674942564424E-2</v>
      </c>
    </row>
    <row r="2038" spans="4:19" s="293" customFormat="1" x14ac:dyDescent="0.25">
      <c r="F2038" s="196" t="s">
        <v>1063</v>
      </c>
      <c r="G2038" s="196" t="s">
        <v>94</v>
      </c>
      <c r="H2038" s="196"/>
      <c r="I2038" s="66"/>
      <c r="J2038" s="185">
        <f t="shared" si="198"/>
        <v>0.17777737366220056</v>
      </c>
      <c r="K2038" s="523"/>
      <c r="L2038" s="524"/>
      <c r="M2038" s="524"/>
      <c r="N2038" s="524"/>
      <c r="O2038" s="524">
        <v>0.17777737366220056</v>
      </c>
      <c r="P2038" s="559">
        <v>0.17777737366220056</v>
      </c>
      <c r="Q2038" s="559">
        <v>0.17777737366220056</v>
      </c>
      <c r="R2038" s="559">
        <v>0.17777737366220056</v>
      </c>
      <c r="S2038" s="559">
        <v>0.17777737366220056</v>
      </c>
    </row>
    <row r="2039" spans="4:19" s="293" customFormat="1" x14ac:dyDescent="0.25">
      <c r="F2039" s="196" t="s">
        <v>1064</v>
      </c>
      <c r="G2039" s="196" t="s">
        <v>94</v>
      </c>
      <c r="H2039" s="196"/>
      <c r="I2039" s="66"/>
      <c r="J2039" s="311">
        <f t="shared" si="198"/>
        <v>0.21330087171237957</v>
      </c>
      <c r="K2039" s="523"/>
      <c r="L2039" s="525"/>
      <c r="M2039" s="525"/>
      <c r="N2039" s="525"/>
      <c r="O2039" s="525">
        <v>0.21330087171237957</v>
      </c>
      <c r="P2039" s="560">
        <v>0.21330087171237957</v>
      </c>
      <c r="Q2039" s="560">
        <v>0.21330087171237957</v>
      </c>
      <c r="R2039" s="560">
        <v>0.21330087171237957</v>
      </c>
      <c r="S2039" s="560">
        <v>0.21330087171237957</v>
      </c>
    </row>
    <row r="2040" spans="4:19" s="293" customFormat="1" x14ac:dyDescent="0.25">
      <c r="F2040" s="93" t="s">
        <v>1065</v>
      </c>
      <c r="G2040" s="93" t="s">
        <v>94</v>
      </c>
      <c r="H2040" s="93"/>
      <c r="I2040" s="145"/>
      <c r="J2040" s="526">
        <f t="shared" si="198"/>
        <v>0.53684131403945878</v>
      </c>
      <c r="K2040" s="527"/>
      <c r="L2040" s="528"/>
      <c r="M2040" s="528"/>
      <c r="N2040" s="528"/>
      <c r="O2040" s="528">
        <v>0.53684131403945878</v>
      </c>
      <c r="P2040" s="561">
        <v>0.53684131403945878</v>
      </c>
      <c r="Q2040" s="561">
        <v>0.53684131403945878</v>
      </c>
      <c r="R2040" s="561">
        <v>0.53684131403945878</v>
      </c>
      <c r="S2040" s="561">
        <v>0.53684131403945878</v>
      </c>
    </row>
    <row r="2041" spans="4:19" s="293" customFormat="1" x14ac:dyDescent="0.25">
      <c r="D2041" s="14"/>
      <c r="I2041" s="111"/>
      <c r="J2041" s="237"/>
      <c r="K2041" s="237"/>
      <c r="L2041" s="237"/>
      <c r="M2041" s="237"/>
      <c r="N2041" s="237"/>
      <c r="O2041" s="237"/>
      <c r="P2041" s="237"/>
      <c r="Q2041" s="237"/>
      <c r="R2041" s="237"/>
      <c r="S2041" s="237"/>
    </row>
    <row r="2042" spans="4:19" s="293" customFormat="1" x14ac:dyDescent="0.25">
      <c r="E2042" s="445" t="s">
        <v>201</v>
      </c>
      <c r="I2042" s="111"/>
      <c r="J2042" s="111"/>
      <c r="K2042" s="111"/>
      <c r="L2042" s="111"/>
      <c r="M2042" s="111"/>
      <c r="N2042" s="111"/>
      <c r="O2042" s="111"/>
      <c r="P2042" s="111"/>
      <c r="Q2042" s="111"/>
      <c r="R2042" s="111"/>
      <c r="S2042" s="111"/>
    </row>
    <row r="2043" spans="4:19" s="293" customFormat="1" x14ac:dyDescent="0.25">
      <c r="F2043" s="91" t="s">
        <v>1061</v>
      </c>
      <c r="G2043" s="91" t="s">
        <v>94</v>
      </c>
      <c r="H2043" s="91"/>
      <c r="I2043" s="112"/>
      <c r="J2043" s="184">
        <f t="shared" ref="J2043:J2047" si="199">CHOOSE(year_selection, L2043,M2043,N2043,O2043,P2043,Q2043,R2043,S2043)</f>
        <v>5.7765643396613575E-5</v>
      </c>
      <c r="K2043" s="521"/>
      <c r="L2043" s="522"/>
      <c r="M2043" s="522"/>
      <c r="N2043" s="522"/>
      <c r="O2043" s="522">
        <v>5.7765643396613575E-5</v>
      </c>
      <c r="P2043" s="558">
        <v>5.7765643396613575E-5</v>
      </c>
      <c r="Q2043" s="558">
        <v>5.7765643396613575E-5</v>
      </c>
      <c r="R2043" s="558">
        <v>5.7765643396613575E-5</v>
      </c>
      <c r="S2043" s="558">
        <v>5.7765643396613575E-5</v>
      </c>
    </row>
    <row r="2044" spans="4:19" s="293" customFormat="1" x14ac:dyDescent="0.25">
      <c r="F2044" s="196" t="s">
        <v>1062</v>
      </c>
      <c r="G2044" s="196" t="s">
        <v>94</v>
      </c>
      <c r="H2044" s="196"/>
      <c r="I2044" s="66"/>
      <c r="J2044" s="185">
        <f t="shared" si="199"/>
        <v>7.2022674942564424E-2</v>
      </c>
      <c r="K2044" s="523"/>
      <c r="L2044" s="524"/>
      <c r="M2044" s="524"/>
      <c r="N2044" s="524"/>
      <c r="O2044" s="524">
        <v>7.2022674942564424E-2</v>
      </c>
      <c r="P2044" s="559">
        <v>7.2022674942564424E-2</v>
      </c>
      <c r="Q2044" s="559">
        <v>7.2022674942564424E-2</v>
      </c>
      <c r="R2044" s="559">
        <v>7.2022674942564424E-2</v>
      </c>
      <c r="S2044" s="559">
        <v>7.2022674942564424E-2</v>
      </c>
    </row>
    <row r="2045" spans="4:19" s="293" customFormat="1" x14ac:dyDescent="0.25">
      <c r="F2045" s="196" t="s">
        <v>1063</v>
      </c>
      <c r="G2045" s="196" t="s">
        <v>94</v>
      </c>
      <c r="H2045" s="196"/>
      <c r="I2045" s="66"/>
      <c r="J2045" s="185">
        <f t="shared" si="199"/>
        <v>0.17777737366220056</v>
      </c>
      <c r="K2045" s="523"/>
      <c r="L2045" s="524"/>
      <c r="M2045" s="524"/>
      <c r="N2045" s="524"/>
      <c r="O2045" s="524">
        <v>0.17777737366220056</v>
      </c>
      <c r="P2045" s="559">
        <v>0.17777737366220056</v>
      </c>
      <c r="Q2045" s="559">
        <v>0.17777737366220056</v>
      </c>
      <c r="R2045" s="559">
        <v>0.17777737366220056</v>
      </c>
      <c r="S2045" s="559">
        <v>0.17777737366220056</v>
      </c>
    </row>
    <row r="2046" spans="4:19" s="293" customFormat="1" x14ac:dyDescent="0.25">
      <c r="F2046" s="196" t="s">
        <v>1064</v>
      </c>
      <c r="G2046" s="196" t="s">
        <v>94</v>
      </c>
      <c r="H2046" s="196"/>
      <c r="I2046" s="66"/>
      <c r="J2046" s="311">
        <f t="shared" si="199"/>
        <v>0.21330087171237957</v>
      </c>
      <c r="K2046" s="523"/>
      <c r="L2046" s="525"/>
      <c r="M2046" s="525"/>
      <c r="N2046" s="525"/>
      <c r="O2046" s="525">
        <v>0.21330087171237957</v>
      </c>
      <c r="P2046" s="560">
        <v>0.21330087171237957</v>
      </c>
      <c r="Q2046" s="560">
        <v>0.21330087171237957</v>
      </c>
      <c r="R2046" s="560">
        <v>0.21330087171237957</v>
      </c>
      <c r="S2046" s="560">
        <v>0.21330087171237957</v>
      </c>
    </row>
    <row r="2047" spans="4:19" s="293" customFormat="1" x14ac:dyDescent="0.25">
      <c r="F2047" s="93" t="s">
        <v>1065</v>
      </c>
      <c r="G2047" s="93" t="s">
        <v>94</v>
      </c>
      <c r="H2047" s="93"/>
      <c r="I2047" s="145"/>
      <c r="J2047" s="526">
        <f t="shared" si="199"/>
        <v>0.53684131403945878</v>
      </c>
      <c r="K2047" s="527"/>
      <c r="L2047" s="528"/>
      <c r="M2047" s="528"/>
      <c r="N2047" s="528"/>
      <c r="O2047" s="528">
        <v>0.53684131403945878</v>
      </c>
      <c r="P2047" s="561">
        <v>0.53684131403945878</v>
      </c>
      <c r="Q2047" s="561">
        <v>0.53684131403945878</v>
      </c>
      <c r="R2047" s="561">
        <v>0.53684131403945878</v>
      </c>
      <c r="S2047" s="561">
        <v>0.53684131403945878</v>
      </c>
    </row>
    <row r="2048" spans="4:19" s="293" customFormat="1" x14ac:dyDescent="0.25">
      <c r="D2048" s="14"/>
      <c r="I2048" s="111"/>
      <c r="J2048" s="237"/>
      <c r="K2048" s="237"/>
      <c r="L2048" s="237"/>
      <c r="M2048" s="237"/>
      <c r="N2048" s="237"/>
      <c r="O2048" s="237"/>
      <c r="P2048" s="237"/>
      <c r="Q2048" s="237"/>
      <c r="R2048" s="237"/>
      <c r="S2048" s="237"/>
    </row>
    <row r="2049" spans="3:21" s="293" customFormat="1" x14ac:dyDescent="0.25">
      <c r="C2049" s="7" t="str">
        <f ca="1">INDEX('Version control'!$H$35:$H$61,MATCH($A$1,'Version control'!$F$35:$F$61,0),1)&amp;"-U: LDNO HV non-domestic aggregated (related MPAN) distribution by bands"</f>
        <v>Input 501-U: LDNO HV non-domestic aggregated (related MPAN) distribution by bands</v>
      </c>
      <c r="D2049" s="7"/>
      <c r="E2049" s="7"/>
      <c r="F2049" s="7"/>
      <c r="G2049" s="7"/>
      <c r="H2049" s="7"/>
      <c r="I2049" s="171"/>
      <c r="J2049" s="7"/>
      <c r="K2049" s="7"/>
      <c r="L2049" s="7"/>
      <c r="M2049" s="7"/>
      <c r="N2049" s="7"/>
      <c r="O2049" s="7"/>
      <c r="P2049" s="7"/>
      <c r="Q2049" s="7"/>
      <c r="R2049" s="7"/>
      <c r="S2049" s="7"/>
      <c r="T2049" s="7"/>
      <c r="U2049" s="7"/>
    </row>
    <row r="2050" spans="3:21" s="293" customFormat="1" x14ac:dyDescent="0.25">
      <c r="I2050" s="111"/>
      <c r="J2050" s="163"/>
      <c r="K2050" s="163"/>
      <c r="L2050" s="163"/>
      <c r="M2050" s="163"/>
      <c r="N2050" s="163"/>
      <c r="O2050" s="163"/>
      <c r="P2050" s="163"/>
      <c r="Q2050" s="163"/>
      <c r="R2050" s="163"/>
      <c r="S2050" s="163"/>
    </row>
    <row r="2051" spans="3:21" s="293" customFormat="1" x14ac:dyDescent="0.25">
      <c r="E2051" s="445" t="s">
        <v>199</v>
      </c>
      <c r="I2051" s="111"/>
      <c r="J2051" s="111"/>
      <c r="K2051" s="111"/>
      <c r="L2051" s="111"/>
      <c r="M2051" s="111"/>
      <c r="N2051" s="111"/>
      <c r="O2051" s="111"/>
      <c r="P2051" s="111"/>
      <c r="Q2051" s="111"/>
      <c r="R2051" s="111"/>
      <c r="S2051" s="111"/>
    </row>
    <row r="2052" spans="3:21" s="293" customFormat="1" x14ac:dyDescent="0.25">
      <c r="F2052" s="91" t="s">
        <v>1061</v>
      </c>
      <c r="G2052" s="91" t="s">
        <v>94</v>
      </c>
      <c r="H2052" s="91"/>
      <c r="I2052" s="112"/>
      <c r="J2052" s="184">
        <f t="shared" ref="J2052:J2056" si="200">CHOOSE(year_selection, L2052,M2052,N2052,O2052,P2052,Q2052,R2052,S2052)</f>
        <v>5.7765643396613575E-5</v>
      </c>
      <c r="K2052" s="521"/>
      <c r="L2052" s="522"/>
      <c r="M2052" s="522"/>
      <c r="N2052" s="522"/>
      <c r="O2052" s="522">
        <v>5.7765643396613575E-5</v>
      </c>
      <c r="P2052" s="558">
        <v>5.7765643396613575E-5</v>
      </c>
      <c r="Q2052" s="558">
        <v>5.7765643396613575E-5</v>
      </c>
      <c r="R2052" s="558">
        <v>5.7765643396613575E-5</v>
      </c>
      <c r="S2052" s="558">
        <v>5.7765643396613575E-5</v>
      </c>
    </row>
    <row r="2053" spans="3:21" s="293" customFormat="1" x14ac:dyDescent="0.25">
      <c r="F2053" s="196" t="s">
        <v>1062</v>
      </c>
      <c r="G2053" s="196" t="s">
        <v>94</v>
      </c>
      <c r="H2053" s="196"/>
      <c r="I2053" s="66"/>
      <c r="J2053" s="185">
        <f t="shared" si="200"/>
        <v>7.2022674942564424E-2</v>
      </c>
      <c r="K2053" s="523"/>
      <c r="L2053" s="524"/>
      <c r="M2053" s="524"/>
      <c r="N2053" s="524"/>
      <c r="O2053" s="524">
        <v>7.2022674942564424E-2</v>
      </c>
      <c r="P2053" s="559">
        <v>7.2022674942564424E-2</v>
      </c>
      <c r="Q2053" s="559">
        <v>7.2022674942564424E-2</v>
      </c>
      <c r="R2053" s="559">
        <v>7.2022674942564424E-2</v>
      </c>
      <c r="S2053" s="559">
        <v>7.2022674942564424E-2</v>
      </c>
    </row>
    <row r="2054" spans="3:21" s="293" customFormat="1" x14ac:dyDescent="0.25">
      <c r="F2054" s="196" t="s">
        <v>1063</v>
      </c>
      <c r="G2054" s="196" t="s">
        <v>94</v>
      </c>
      <c r="H2054" s="196"/>
      <c r="I2054" s="66"/>
      <c r="J2054" s="185">
        <f t="shared" si="200"/>
        <v>0.17777737366220056</v>
      </c>
      <c r="K2054" s="523"/>
      <c r="L2054" s="524"/>
      <c r="M2054" s="524"/>
      <c r="N2054" s="524"/>
      <c r="O2054" s="524">
        <v>0.17777737366220056</v>
      </c>
      <c r="P2054" s="559">
        <v>0.17777737366220056</v>
      </c>
      <c r="Q2054" s="559">
        <v>0.17777737366220056</v>
      </c>
      <c r="R2054" s="559">
        <v>0.17777737366220056</v>
      </c>
      <c r="S2054" s="559">
        <v>0.17777737366220056</v>
      </c>
    </row>
    <row r="2055" spans="3:21" s="293" customFormat="1" x14ac:dyDescent="0.25">
      <c r="F2055" s="196" t="s">
        <v>1064</v>
      </c>
      <c r="G2055" s="196" t="s">
        <v>94</v>
      </c>
      <c r="H2055" s="196"/>
      <c r="I2055" s="66"/>
      <c r="J2055" s="311">
        <f t="shared" si="200"/>
        <v>0.21330087171237957</v>
      </c>
      <c r="K2055" s="523"/>
      <c r="L2055" s="525"/>
      <c r="M2055" s="525"/>
      <c r="N2055" s="525"/>
      <c r="O2055" s="525">
        <v>0.21330087171237957</v>
      </c>
      <c r="P2055" s="560">
        <v>0.21330087171237957</v>
      </c>
      <c r="Q2055" s="560">
        <v>0.21330087171237957</v>
      </c>
      <c r="R2055" s="560">
        <v>0.21330087171237957</v>
      </c>
      <c r="S2055" s="560">
        <v>0.21330087171237957</v>
      </c>
    </row>
    <row r="2056" spans="3:21" s="293" customFormat="1" x14ac:dyDescent="0.25">
      <c r="F2056" s="93" t="s">
        <v>1065</v>
      </c>
      <c r="G2056" s="93" t="s">
        <v>94</v>
      </c>
      <c r="H2056" s="93"/>
      <c r="I2056" s="145"/>
      <c r="J2056" s="526">
        <f t="shared" si="200"/>
        <v>0.53684131403945878</v>
      </c>
      <c r="K2056" s="527"/>
      <c r="L2056" s="528"/>
      <c r="M2056" s="528"/>
      <c r="N2056" s="528"/>
      <c r="O2056" s="528">
        <v>0.53684131403945878</v>
      </c>
      <c r="P2056" s="561">
        <v>0.53684131403945878</v>
      </c>
      <c r="Q2056" s="561">
        <v>0.53684131403945878</v>
      </c>
      <c r="R2056" s="561">
        <v>0.53684131403945878</v>
      </c>
      <c r="S2056" s="561">
        <v>0.53684131403945878</v>
      </c>
    </row>
    <row r="2057" spans="3:21" s="293" customFormat="1" x14ac:dyDescent="0.25">
      <c r="D2057" s="14"/>
      <c r="I2057" s="111"/>
      <c r="J2057" s="237"/>
      <c r="K2057" s="237"/>
      <c r="L2057" s="237"/>
      <c r="M2057" s="237"/>
      <c r="N2057" s="237"/>
      <c r="O2057" s="237"/>
      <c r="P2057" s="237"/>
      <c r="Q2057" s="237"/>
      <c r="R2057" s="237"/>
      <c r="S2057" s="237"/>
    </row>
    <row r="2058" spans="3:21" s="293" customFormat="1" x14ac:dyDescent="0.25">
      <c r="E2058" s="445" t="s">
        <v>200</v>
      </c>
      <c r="I2058" s="111"/>
      <c r="J2058" s="111"/>
      <c r="K2058" s="111"/>
      <c r="L2058" s="111"/>
      <c r="M2058" s="111"/>
      <c r="N2058" s="111"/>
      <c r="O2058" s="111"/>
      <c r="P2058" s="111"/>
      <c r="Q2058" s="111"/>
      <c r="R2058" s="111"/>
      <c r="S2058" s="111"/>
    </row>
    <row r="2059" spans="3:21" s="293" customFormat="1" x14ac:dyDescent="0.25">
      <c r="F2059" s="91" t="s">
        <v>1061</v>
      </c>
      <c r="G2059" s="91" t="s">
        <v>94</v>
      </c>
      <c r="H2059" s="91"/>
      <c r="I2059" s="112"/>
      <c r="J2059" s="184">
        <f t="shared" ref="J2059:J2063" si="201">CHOOSE(year_selection, L2059,M2059,N2059,O2059,P2059,Q2059,R2059,S2059)</f>
        <v>5.7765643396613575E-5</v>
      </c>
      <c r="K2059" s="521"/>
      <c r="L2059" s="522"/>
      <c r="M2059" s="522"/>
      <c r="N2059" s="522"/>
      <c r="O2059" s="522">
        <v>5.7765643396613575E-5</v>
      </c>
      <c r="P2059" s="558">
        <v>5.7765643396613575E-5</v>
      </c>
      <c r="Q2059" s="558">
        <v>5.7765643396613575E-5</v>
      </c>
      <c r="R2059" s="558">
        <v>5.7765643396613575E-5</v>
      </c>
      <c r="S2059" s="558">
        <v>5.7765643396613575E-5</v>
      </c>
    </row>
    <row r="2060" spans="3:21" s="293" customFormat="1" x14ac:dyDescent="0.25">
      <c r="F2060" s="196" t="s">
        <v>1062</v>
      </c>
      <c r="G2060" s="196" t="s">
        <v>94</v>
      </c>
      <c r="H2060" s="196"/>
      <c r="I2060" s="66"/>
      <c r="J2060" s="185">
        <f t="shared" si="201"/>
        <v>7.2022674942564424E-2</v>
      </c>
      <c r="K2060" s="523"/>
      <c r="L2060" s="524"/>
      <c r="M2060" s="524"/>
      <c r="N2060" s="524"/>
      <c r="O2060" s="524">
        <v>7.2022674942564424E-2</v>
      </c>
      <c r="P2060" s="559">
        <v>7.2022674942564424E-2</v>
      </c>
      <c r="Q2060" s="559">
        <v>7.2022674942564424E-2</v>
      </c>
      <c r="R2060" s="559">
        <v>7.2022674942564424E-2</v>
      </c>
      <c r="S2060" s="559">
        <v>7.2022674942564424E-2</v>
      </c>
    </row>
    <row r="2061" spans="3:21" s="293" customFormat="1" x14ac:dyDescent="0.25">
      <c r="F2061" s="196" t="s">
        <v>1063</v>
      </c>
      <c r="G2061" s="196" t="s">
        <v>94</v>
      </c>
      <c r="H2061" s="196"/>
      <c r="I2061" s="66"/>
      <c r="J2061" s="185">
        <f t="shared" si="201"/>
        <v>0.17777737366220056</v>
      </c>
      <c r="K2061" s="523"/>
      <c r="L2061" s="524"/>
      <c r="M2061" s="524"/>
      <c r="N2061" s="524"/>
      <c r="O2061" s="524">
        <v>0.17777737366220056</v>
      </c>
      <c r="P2061" s="559">
        <v>0.17777737366220056</v>
      </c>
      <c r="Q2061" s="559">
        <v>0.17777737366220056</v>
      </c>
      <c r="R2061" s="559">
        <v>0.17777737366220056</v>
      </c>
      <c r="S2061" s="559">
        <v>0.17777737366220056</v>
      </c>
    </row>
    <row r="2062" spans="3:21" s="293" customFormat="1" x14ac:dyDescent="0.25">
      <c r="F2062" s="196" t="s">
        <v>1064</v>
      </c>
      <c r="G2062" s="196" t="s">
        <v>94</v>
      </c>
      <c r="H2062" s="196"/>
      <c r="I2062" s="66"/>
      <c r="J2062" s="311">
        <f t="shared" si="201"/>
        <v>0.21330087171237957</v>
      </c>
      <c r="K2062" s="523"/>
      <c r="L2062" s="525"/>
      <c r="M2062" s="525"/>
      <c r="N2062" s="525"/>
      <c r="O2062" s="525">
        <v>0.21330087171237957</v>
      </c>
      <c r="P2062" s="560">
        <v>0.21330087171237957</v>
      </c>
      <c r="Q2062" s="560">
        <v>0.21330087171237957</v>
      </c>
      <c r="R2062" s="560">
        <v>0.21330087171237957</v>
      </c>
      <c r="S2062" s="560">
        <v>0.21330087171237957</v>
      </c>
    </row>
    <row r="2063" spans="3:21" s="293" customFormat="1" x14ac:dyDescent="0.25">
      <c r="F2063" s="93" t="s">
        <v>1065</v>
      </c>
      <c r="G2063" s="93" t="s">
        <v>94</v>
      </c>
      <c r="H2063" s="93"/>
      <c r="I2063" s="145"/>
      <c r="J2063" s="526">
        <f t="shared" si="201"/>
        <v>0.53684131403945878</v>
      </c>
      <c r="K2063" s="527"/>
      <c r="L2063" s="528"/>
      <c r="M2063" s="528"/>
      <c r="N2063" s="528"/>
      <c r="O2063" s="528">
        <v>0.53684131403945878</v>
      </c>
      <c r="P2063" s="561">
        <v>0.53684131403945878</v>
      </c>
      <c r="Q2063" s="561">
        <v>0.53684131403945878</v>
      </c>
      <c r="R2063" s="561">
        <v>0.53684131403945878</v>
      </c>
      <c r="S2063" s="561">
        <v>0.53684131403945878</v>
      </c>
    </row>
    <row r="2064" spans="3:21" s="293" customFormat="1" x14ac:dyDescent="0.25">
      <c r="D2064" s="14"/>
      <c r="I2064" s="111"/>
      <c r="J2064" s="237"/>
      <c r="K2064" s="237"/>
      <c r="L2064" s="237"/>
      <c r="M2064" s="237"/>
      <c r="N2064" s="237"/>
      <c r="O2064" s="237"/>
      <c r="P2064" s="237"/>
      <c r="Q2064" s="237"/>
      <c r="R2064" s="237"/>
      <c r="S2064" s="237"/>
    </row>
    <row r="2065" spans="2:49" s="293" customFormat="1" x14ac:dyDescent="0.25">
      <c r="E2065" s="445" t="s">
        <v>201</v>
      </c>
      <c r="I2065" s="111"/>
      <c r="J2065" s="111"/>
      <c r="K2065" s="111"/>
      <c r="L2065" s="111"/>
      <c r="M2065" s="111"/>
      <c r="N2065" s="111"/>
      <c r="O2065" s="111"/>
      <c r="P2065" s="111"/>
      <c r="Q2065" s="111"/>
      <c r="R2065" s="111"/>
      <c r="S2065" s="111"/>
    </row>
    <row r="2066" spans="2:49" s="293" customFormat="1" x14ac:dyDescent="0.25">
      <c r="F2066" s="91" t="s">
        <v>1061</v>
      </c>
      <c r="G2066" s="91" t="s">
        <v>94</v>
      </c>
      <c r="H2066" s="91"/>
      <c r="I2066" s="112"/>
      <c r="J2066" s="184">
        <f t="shared" ref="J2066:J2070" si="202">CHOOSE(year_selection, L2066,M2066,N2066,O2066,P2066,Q2066,R2066,S2066)</f>
        <v>5.7765643396613575E-5</v>
      </c>
      <c r="K2066" s="521"/>
      <c r="L2066" s="522"/>
      <c r="M2066" s="522"/>
      <c r="N2066" s="522"/>
      <c r="O2066" s="522">
        <v>5.7765643396613575E-5</v>
      </c>
      <c r="P2066" s="558">
        <v>5.7765643396613575E-5</v>
      </c>
      <c r="Q2066" s="558">
        <v>5.7765643396613575E-5</v>
      </c>
      <c r="R2066" s="558">
        <v>5.7765643396613575E-5</v>
      </c>
      <c r="S2066" s="558">
        <v>5.7765643396613575E-5</v>
      </c>
    </row>
    <row r="2067" spans="2:49" s="293" customFormat="1" x14ac:dyDescent="0.25">
      <c r="F2067" s="196" t="s">
        <v>1062</v>
      </c>
      <c r="G2067" s="196" t="s">
        <v>94</v>
      </c>
      <c r="H2067" s="196"/>
      <c r="I2067" s="66"/>
      <c r="J2067" s="185">
        <f t="shared" si="202"/>
        <v>7.2022674942564424E-2</v>
      </c>
      <c r="K2067" s="523"/>
      <c r="L2067" s="524"/>
      <c r="M2067" s="524"/>
      <c r="N2067" s="524"/>
      <c r="O2067" s="524">
        <v>7.2022674942564424E-2</v>
      </c>
      <c r="P2067" s="559">
        <v>7.2022674942564424E-2</v>
      </c>
      <c r="Q2067" s="559">
        <v>7.2022674942564424E-2</v>
      </c>
      <c r="R2067" s="559">
        <v>7.2022674942564424E-2</v>
      </c>
      <c r="S2067" s="559">
        <v>7.2022674942564424E-2</v>
      </c>
    </row>
    <row r="2068" spans="2:49" s="293" customFormat="1" x14ac:dyDescent="0.25">
      <c r="F2068" s="196" t="s">
        <v>1063</v>
      </c>
      <c r="G2068" s="196" t="s">
        <v>94</v>
      </c>
      <c r="H2068" s="196"/>
      <c r="I2068" s="66"/>
      <c r="J2068" s="185">
        <f t="shared" si="202"/>
        <v>0.17777737366220056</v>
      </c>
      <c r="K2068" s="523"/>
      <c r="L2068" s="524"/>
      <c r="M2068" s="524"/>
      <c r="N2068" s="524"/>
      <c r="O2068" s="524">
        <v>0.17777737366220056</v>
      </c>
      <c r="P2068" s="559">
        <v>0.17777737366220056</v>
      </c>
      <c r="Q2068" s="559">
        <v>0.17777737366220056</v>
      </c>
      <c r="R2068" s="559">
        <v>0.17777737366220056</v>
      </c>
      <c r="S2068" s="559">
        <v>0.17777737366220056</v>
      </c>
    </row>
    <row r="2069" spans="2:49" s="293" customFormat="1" x14ac:dyDescent="0.25">
      <c r="F2069" s="196" t="s">
        <v>1064</v>
      </c>
      <c r="G2069" s="196" t="s">
        <v>94</v>
      </c>
      <c r="H2069" s="196"/>
      <c r="I2069" s="66"/>
      <c r="J2069" s="311">
        <f t="shared" si="202"/>
        <v>0.21330087171237957</v>
      </c>
      <c r="K2069" s="523"/>
      <c r="L2069" s="525"/>
      <c r="M2069" s="525"/>
      <c r="N2069" s="525"/>
      <c r="O2069" s="525">
        <v>0.21330087171237957</v>
      </c>
      <c r="P2069" s="560">
        <v>0.21330087171237957</v>
      </c>
      <c r="Q2069" s="560">
        <v>0.21330087171237957</v>
      </c>
      <c r="R2069" s="560">
        <v>0.21330087171237957</v>
      </c>
      <c r="S2069" s="560">
        <v>0.21330087171237957</v>
      </c>
    </row>
    <row r="2070" spans="2:49" s="293" customFormat="1" x14ac:dyDescent="0.25">
      <c r="F2070" s="93" t="s">
        <v>1065</v>
      </c>
      <c r="G2070" s="93" t="s">
        <v>94</v>
      </c>
      <c r="H2070" s="93"/>
      <c r="I2070" s="145"/>
      <c r="J2070" s="526">
        <f t="shared" si="202"/>
        <v>0.53684131403945878</v>
      </c>
      <c r="K2070" s="527"/>
      <c r="L2070" s="528"/>
      <c r="M2070" s="528"/>
      <c r="N2070" s="528"/>
      <c r="O2070" s="528">
        <v>0.53684131403945878</v>
      </c>
      <c r="P2070" s="561">
        <v>0.53684131403945878</v>
      </c>
      <c r="Q2070" s="561">
        <v>0.53684131403945878</v>
      </c>
      <c r="R2070" s="561">
        <v>0.53684131403945878</v>
      </c>
      <c r="S2070" s="561">
        <v>0.53684131403945878</v>
      </c>
    </row>
    <row r="2071" spans="2:49" s="293" customFormat="1" x14ac:dyDescent="0.25">
      <c r="D2071" s="14"/>
      <c r="I2071" s="111"/>
      <c r="J2071" s="237"/>
      <c r="K2071" s="237"/>
      <c r="L2071" s="237"/>
      <c r="M2071" s="237"/>
      <c r="N2071" s="237"/>
      <c r="O2071" s="237"/>
      <c r="P2071" s="237"/>
      <c r="Q2071" s="237"/>
      <c r="R2071" s="237"/>
      <c r="S2071" s="237"/>
    </row>
    <row r="2072" spans="2:49" s="195" customFormat="1" x14ac:dyDescent="0.25">
      <c r="B2072" s="95" t="s">
        <v>382</v>
      </c>
      <c r="C2072" s="95"/>
      <c r="D2072" s="95"/>
      <c r="E2072" s="95"/>
      <c r="F2072" s="95"/>
      <c r="G2072" s="95"/>
      <c r="H2072" s="95"/>
      <c r="I2072" s="160"/>
      <c r="J2072" s="160"/>
      <c r="K2072" s="160"/>
      <c r="L2072" s="160"/>
      <c r="M2072" s="160"/>
      <c r="N2072" s="160"/>
      <c r="O2072" s="160"/>
      <c r="P2072" s="160"/>
      <c r="Q2072" s="160"/>
      <c r="R2072" s="160"/>
      <c r="S2072" s="160"/>
      <c r="T2072" s="95"/>
      <c r="U2072" s="95"/>
      <c r="W2072" s="95"/>
      <c r="X2072" s="95"/>
      <c r="Y2072" s="95"/>
      <c r="Z2072" s="95"/>
      <c r="AA2072" s="95"/>
      <c r="AB2072" s="95"/>
      <c r="AC2072" s="95"/>
      <c r="AD2072" s="95"/>
      <c r="AE2072" s="95"/>
      <c r="AF2072" s="95"/>
      <c r="AG2072" s="95"/>
      <c r="AH2072" s="95"/>
      <c r="AI2072" s="95"/>
      <c r="AJ2072" s="95"/>
      <c r="AK2072" s="95"/>
      <c r="AL2072" s="95"/>
      <c r="AM2072" s="95"/>
      <c r="AN2072" s="95"/>
      <c r="AO2072" s="95"/>
      <c r="AP2072" s="95"/>
      <c r="AQ2072" s="95"/>
      <c r="AR2072" s="95"/>
      <c r="AS2072" s="95"/>
      <c r="AT2072" s="95"/>
      <c r="AU2072" s="95"/>
      <c r="AV2072" s="95"/>
      <c r="AW2072" s="95"/>
    </row>
    <row r="2073" spans="2:49" s="195" customFormat="1" x14ac:dyDescent="0.25">
      <c r="D2073" s="14"/>
      <c r="I2073" s="111"/>
      <c r="J2073" s="111"/>
      <c r="K2073" s="111"/>
      <c r="L2073" s="111"/>
      <c r="M2073" s="111"/>
      <c r="N2073" s="111"/>
      <c r="O2073" s="111"/>
      <c r="P2073" s="111"/>
      <c r="Q2073" s="111"/>
      <c r="R2073" s="111"/>
      <c r="S2073" s="111"/>
    </row>
    <row r="2074" spans="2:49" s="195" customFormat="1" x14ac:dyDescent="0.25">
      <c r="C2074" s="82" t="s">
        <v>637</v>
      </c>
      <c r="I2074" s="111" t="s">
        <v>359</v>
      </c>
      <c r="J2074" s="111"/>
      <c r="K2074" s="111"/>
      <c r="L2074" s="111"/>
      <c r="M2074" s="111"/>
      <c r="N2074" s="111"/>
      <c r="O2074" s="111"/>
      <c r="P2074" s="111"/>
      <c r="Q2074" s="111"/>
      <c r="R2074" s="111"/>
      <c r="S2074" s="111"/>
      <c r="U2074" s="195" t="s">
        <v>816</v>
      </c>
    </row>
    <row r="2075" spans="2:49" s="195" customFormat="1" x14ac:dyDescent="0.25">
      <c r="D2075" s="14"/>
      <c r="I2075" s="111"/>
      <c r="J2075" s="111"/>
      <c r="K2075" s="111"/>
      <c r="L2075" s="111"/>
      <c r="M2075" s="111"/>
      <c r="N2075" s="111"/>
      <c r="O2075" s="111"/>
      <c r="P2075" s="111"/>
      <c r="Q2075" s="111"/>
      <c r="R2075" s="111"/>
      <c r="S2075" s="111"/>
    </row>
    <row r="2076" spans="2:49" s="195" customFormat="1" x14ac:dyDescent="0.25">
      <c r="C2076" s="7" t="str">
        <f ca="1">INDEX('Version control'!$H$35:$H$61,MATCH($A$1,'Version control'!$F$35:$F$61,0),1)&amp;"-V: LV customer service model asset values"</f>
        <v>Input 501-V: LV customer service model asset values</v>
      </c>
      <c r="D2076" s="7"/>
      <c r="E2076" s="7"/>
      <c r="F2076" s="7"/>
      <c r="G2076" s="7"/>
      <c r="H2076" s="7"/>
      <c r="I2076" s="171"/>
      <c r="J2076" s="7"/>
      <c r="K2076" s="7"/>
      <c r="L2076" s="7"/>
      <c r="M2076" s="7"/>
      <c r="N2076" s="7"/>
      <c r="O2076" s="7"/>
      <c r="P2076" s="7"/>
      <c r="Q2076" s="7"/>
      <c r="R2076" s="7"/>
      <c r="S2076" s="7"/>
      <c r="T2076" s="7"/>
      <c r="U2076" s="7"/>
    </row>
    <row r="2077" spans="2:49" s="195" customFormat="1" x14ac:dyDescent="0.25">
      <c r="I2077" s="111"/>
      <c r="J2077" s="163"/>
      <c r="K2077" s="163"/>
      <c r="L2077" s="163"/>
      <c r="M2077" s="163"/>
      <c r="N2077" s="163"/>
      <c r="O2077" s="163"/>
      <c r="P2077" s="163"/>
      <c r="Q2077" s="163"/>
      <c r="R2077" s="163"/>
      <c r="S2077" s="163"/>
    </row>
    <row r="2078" spans="2:49" s="195" customFormat="1" x14ac:dyDescent="0.25">
      <c r="E2078" s="96" t="s">
        <v>638</v>
      </c>
      <c r="I2078" s="111"/>
      <c r="J2078" s="111"/>
      <c r="K2078" s="111"/>
      <c r="L2078" s="111"/>
      <c r="M2078" s="111"/>
      <c r="N2078" s="111"/>
      <c r="O2078" s="111"/>
      <c r="P2078" s="111"/>
      <c r="Q2078" s="111"/>
      <c r="R2078" s="111"/>
      <c r="S2078" s="111"/>
    </row>
    <row r="2079" spans="2:49" s="195" customFormat="1" x14ac:dyDescent="0.25">
      <c r="F2079" s="91" t="s">
        <v>926</v>
      </c>
      <c r="G2079" s="91" t="s">
        <v>509</v>
      </c>
      <c r="H2079" s="91"/>
      <c r="I2079" s="112"/>
      <c r="J2079" s="231">
        <f t="shared" ref="J2079:J2091" si="203">CHOOSE(year_selection, L2079,M2079,N2079,O2079,P2079,Q2079,R2079,S2079)</f>
        <v>379.45506561896252</v>
      </c>
      <c r="K2079" s="232"/>
      <c r="L2079" s="332"/>
      <c r="M2079" s="332"/>
      <c r="N2079" s="332"/>
      <c r="O2079" s="332">
        <v>379.45506561896252</v>
      </c>
      <c r="P2079" s="332">
        <v>379.45506561896252</v>
      </c>
      <c r="Q2079" s="332">
        <v>379.45506561896252</v>
      </c>
      <c r="R2079" s="332">
        <v>379.45506561896252</v>
      </c>
      <c r="S2079" s="332">
        <v>379.45506561896252</v>
      </c>
    </row>
    <row r="2080" spans="2:49" s="195" customFormat="1" x14ac:dyDescent="0.25">
      <c r="F2080" s="196" t="s">
        <v>927</v>
      </c>
      <c r="G2080" s="196" t="s">
        <v>509</v>
      </c>
      <c r="H2080" s="196"/>
      <c r="I2080" s="66"/>
      <c r="J2080" s="345"/>
      <c r="K2080" s="234"/>
      <c r="L2080" s="345"/>
      <c r="M2080" s="345"/>
      <c r="N2080" s="345"/>
      <c r="O2080" s="345"/>
      <c r="P2080" s="345"/>
      <c r="Q2080" s="345"/>
      <c r="R2080" s="345"/>
      <c r="S2080" s="345"/>
    </row>
    <row r="2081" spans="3:21" s="195" customFormat="1" x14ac:dyDescent="0.25">
      <c r="F2081" s="196" t="s">
        <v>928</v>
      </c>
      <c r="G2081" s="196" t="s">
        <v>509</v>
      </c>
      <c r="H2081" s="196"/>
      <c r="I2081" s="66"/>
      <c r="J2081" s="233">
        <f t="shared" ref="J2081" si="204">CHOOSE(year_selection, L2081,M2081,N2081,O2081,P2081,Q2081,R2081,S2081)</f>
        <v>789.60088178174999</v>
      </c>
      <c r="K2081" s="234"/>
      <c r="L2081" s="333"/>
      <c r="M2081" s="333"/>
      <c r="N2081" s="333"/>
      <c r="O2081" s="333">
        <v>789.60088178174999</v>
      </c>
      <c r="P2081" s="333">
        <v>789.60088178174999</v>
      </c>
      <c r="Q2081" s="333">
        <v>789.60088178174999</v>
      </c>
      <c r="R2081" s="333">
        <v>789.60088178174999</v>
      </c>
      <c r="S2081" s="333">
        <v>789.60088178174999</v>
      </c>
    </row>
    <row r="2082" spans="3:21" s="195" customFormat="1" x14ac:dyDescent="0.25">
      <c r="F2082" s="196" t="s">
        <v>929</v>
      </c>
      <c r="G2082" s="196" t="s">
        <v>509</v>
      </c>
      <c r="H2082" s="196"/>
      <c r="I2082" s="66"/>
      <c r="J2082" s="345"/>
      <c r="K2082" s="234"/>
      <c r="L2082" s="345"/>
      <c r="M2082" s="345"/>
      <c r="N2082" s="345"/>
      <c r="O2082" s="345"/>
      <c r="P2082" s="345"/>
      <c r="Q2082" s="345"/>
      <c r="R2082" s="345"/>
      <c r="S2082" s="345"/>
    </row>
    <row r="2083" spans="3:21" s="195" customFormat="1" x14ac:dyDescent="0.25">
      <c r="F2083" s="196" t="s">
        <v>930</v>
      </c>
      <c r="G2083" s="196" t="s">
        <v>509</v>
      </c>
      <c r="H2083" s="196"/>
      <c r="I2083" s="66"/>
      <c r="J2083" s="233">
        <f t="shared" ref="J2083:J2084" si="205">CHOOSE(year_selection, L2083,M2083,N2083,O2083,P2083,Q2083,R2083,S2083)</f>
        <v>2290.8202987987502</v>
      </c>
      <c r="K2083" s="234"/>
      <c r="L2083" s="333"/>
      <c r="M2083" s="333"/>
      <c r="N2083" s="333"/>
      <c r="O2083" s="333">
        <v>2290.8202987987502</v>
      </c>
      <c r="P2083" s="333">
        <v>2290.8202987987502</v>
      </c>
      <c r="Q2083" s="333">
        <v>2290.8202987987502</v>
      </c>
      <c r="R2083" s="333">
        <v>2290.8202987987502</v>
      </c>
      <c r="S2083" s="333">
        <v>2290.8202987987502</v>
      </c>
    </row>
    <row r="2084" spans="3:21" s="195" customFormat="1" x14ac:dyDescent="0.25">
      <c r="F2084" s="196" t="s">
        <v>931</v>
      </c>
      <c r="G2084" s="196" t="s">
        <v>509</v>
      </c>
      <c r="H2084" s="196"/>
      <c r="I2084" s="66"/>
      <c r="J2084" s="233">
        <f t="shared" si="205"/>
        <v>5371.7792662500005</v>
      </c>
      <c r="K2084" s="234"/>
      <c r="L2084" s="333"/>
      <c r="M2084" s="333"/>
      <c r="N2084" s="333"/>
      <c r="O2084" s="333">
        <v>5371.7792662500005</v>
      </c>
      <c r="P2084" s="333">
        <v>5371.7792662500005</v>
      </c>
      <c r="Q2084" s="333">
        <v>5371.7792662500005</v>
      </c>
      <c r="R2084" s="333">
        <v>5371.7792662500005</v>
      </c>
      <c r="S2084" s="333">
        <v>5371.7792662500005</v>
      </c>
    </row>
    <row r="2085" spans="3:21" s="195" customFormat="1" x14ac:dyDescent="0.25">
      <c r="F2085" s="196" t="s">
        <v>932</v>
      </c>
      <c r="G2085" s="196" t="s">
        <v>509</v>
      </c>
      <c r="H2085" s="196"/>
      <c r="I2085" s="66"/>
      <c r="J2085" s="345"/>
      <c r="K2085" s="234"/>
      <c r="L2085" s="345"/>
      <c r="M2085" s="345"/>
      <c r="N2085" s="345"/>
      <c r="O2085" s="345"/>
      <c r="P2085" s="345"/>
      <c r="Q2085" s="345"/>
      <c r="R2085" s="345"/>
      <c r="S2085" s="345"/>
    </row>
    <row r="2086" spans="3:21" s="195" customFormat="1" x14ac:dyDescent="0.25">
      <c r="F2086" s="196" t="s">
        <v>933</v>
      </c>
      <c r="G2086" s="196" t="s">
        <v>509</v>
      </c>
      <c r="H2086" s="196"/>
      <c r="I2086" s="66"/>
      <c r="J2086" s="345"/>
      <c r="K2086" s="234"/>
      <c r="L2086" s="345"/>
      <c r="M2086" s="345"/>
      <c r="N2086" s="345"/>
      <c r="O2086" s="345"/>
      <c r="P2086" s="345"/>
      <c r="Q2086" s="345"/>
      <c r="R2086" s="345"/>
      <c r="S2086" s="345"/>
    </row>
    <row r="2087" spans="3:21" s="195" customFormat="1" x14ac:dyDescent="0.25">
      <c r="F2087" s="196" t="s">
        <v>934</v>
      </c>
      <c r="G2087" s="196" t="s">
        <v>509</v>
      </c>
      <c r="H2087" s="196"/>
      <c r="I2087" s="66"/>
      <c r="J2087" s="233">
        <f t="shared" ref="J2087" si="206">CHOOSE(year_selection, L2087,M2087,N2087,O2087,P2087,Q2087,R2087,S2087)</f>
        <v>0</v>
      </c>
      <c r="K2087" s="234"/>
      <c r="L2087" s="333"/>
      <c r="M2087" s="333"/>
      <c r="N2087" s="333"/>
      <c r="O2087" s="333">
        <v>0</v>
      </c>
      <c r="P2087" s="333">
        <v>0</v>
      </c>
      <c r="Q2087" s="333">
        <v>0</v>
      </c>
      <c r="R2087" s="333">
        <v>0</v>
      </c>
      <c r="S2087" s="333">
        <v>0</v>
      </c>
    </row>
    <row r="2088" spans="3:21" s="195" customFormat="1" x14ac:dyDescent="0.25">
      <c r="F2088" s="196" t="s">
        <v>935</v>
      </c>
      <c r="G2088" s="196" t="s">
        <v>509</v>
      </c>
      <c r="H2088" s="196"/>
      <c r="I2088" s="66"/>
      <c r="J2088" s="233">
        <f t="shared" si="203"/>
        <v>0</v>
      </c>
      <c r="K2088" s="234"/>
      <c r="L2088" s="333"/>
      <c r="M2088" s="333"/>
      <c r="N2088" s="333"/>
      <c r="O2088" s="333">
        <v>0</v>
      </c>
      <c r="P2088" s="333">
        <v>0</v>
      </c>
      <c r="Q2088" s="333">
        <v>0</v>
      </c>
      <c r="R2088" s="333">
        <v>0</v>
      </c>
      <c r="S2088" s="333">
        <v>0</v>
      </c>
    </row>
    <row r="2089" spans="3:21" s="195" customFormat="1" x14ac:dyDescent="0.25">
      <c r="F2089" s="196" t="s">
        <v>936</v>
      </c>
      <c r="G2089" s="196" t="s">
        <v>509</v>
      </c>
      <c r="H2089" s="196"/>
      <c r="I2089" s="66"/>
      <c r="J2089" s="233">
        <f t="shared" si="203"/>
        <v>0</v>
      </c>
      <c r="K2089" s="234"/>
      <c r="L2089" s="333"/>
      <c r="M2089" s="333"/>
      <c r="N2089" s="333"/>
      <c r="O2089" s="333">
        <v>0</v>
      </c>
      <c r="P2089" s="333">
        <v>0</v>
      </c>
      <c r="Q2089" s="333">
        <v>0</v>
      </c>
      <c r="R2089" s="333">
        <v>0</v>
      </c>
      <c r="S2089" s="333">
        <v>0</v>
      </c>
    </row>
    <row r="2090" spans="3:21" s="195" customFormat="1" x14ac:dyDescent="0.25">
      <c r="F2090" s="196" t="s">
        <v>937</v>
      </c>
      <c r="G2090" s="196" t="s">
        <v>509</v>
      </c>
      <c r="H2090" s="196"/>
      <c r="I2090" s="66"/>
      <c r="J2090" s="233">
        <f t="shared" si="203"/>
        <v>0</v>
      </c>
      <c r="K2090" s="234"/>
      <c r="L2090" s="333"/>
      <c r="M2090" s="333"/>
      <c r="N2090" s="333"/>
      <c r="O2090" s="333">
        <v>0</v>
      </c>
      <c r="P2090" s="333">
        <v>0</v>
      </c>
      <c r="Q2090" s="333">
        <v>0</v>
      </c>
      <c r="R2090" s="333">
        <v>0</v>
      </c>
      <c r="S2090" s="333">
        <v>0</v>
      </c>
    </row>
    <row r="2091" spans="3:21" s="195" customFormat="1" x14ac:dyDescent="0.25">
      <c r="F2091" s="196" t="s">
        <v>938</v>
      </c>
      <c r="G2091" s="196" t="s">
        <v>509</v>
      </c>
      <c r="H2091" s="196"/>
      <c r="I2091" s="66"/>
      <c r="J2091" s="233">
        <f t="shared" si="203"/>
        <v>0</v>
      </c>
      <c r="K2091" s="234"/>
      <c r="L2091" s="333"/>
      <c r="M2091" s="333"/>
      <c r="N2091" s="333"/>
      <c r="O2091" s="333">
        <v>0</v>
      </c>
      <c r="P2091" s="333">
        <v>0</v>
      </c>
      <c r="Q2091" s="333">
        <v>0</v>
      </c>
      <c r="R2091" s="333">
        <v>0</v>
      </c>
      <c r="S2091" s="333">
        <v>0</v>
      </c>
    </row>
    <row r="2092" spans="3:21" s="195" customFormat="1" x14ac:dyDescent="0.25">
      <c r="F2092" s="196" t="s">
        <v>939</v>
      </c>
      <c r="G2092" s="196" t="s">
        <v>509</v>
      </c>
      <c r="H2092" s="196"/>
      <c r="I2092" s="66"/>
      <c r="J2092" s="233">
        <f t="shared" ref="J2092" si="207">CHOOSE(year_selection, L2092,M2092,N2092,O2092,P2092,Q2092,R2092,S2092)</f>
        <v>0</v>
      </c>
      <c r="K2092" s="234"/>
      <c r="L2092" s="333"/>
      <c r="M2092" s="333"/>
      <c r="N2092" s="333"/>
      <c r="O2092" s="333">
        <v>0</v>
      </c>
      <c r="P2092" s="333">
        <v>0</v>
      </c>
      <c r="Q2092" s="333">
        <v>0</v>
      </c>
      <c r="R2092" s="333">
        <v>0</v>
      </c>
      <c r="S2092" s="333">
        <v>0</v>
      </c>
      <c r="T2092" s="293"/>
    </row>
    <row r="2093" spans="3:21" s="195" customFormat="1" x14ac:dyDescent="0.25">
      <c r="F2093" s="196" t="s">
        <v>940</v>
      </c>
      <c r="G2093" s="196" t="s">
        <v>509</v>
      </c>
      <c r="H2093" s="196"/>
      <c r="I2093" s="66"/>
      <c r="J2093" s="239"/>
      <c r="K2093" s="234"/>
      <c r="L2093" s="239"/>
      <c r="M2093" s="239"/>
      <c r="N2093" s="239"/>
      <c r="O2093" s="239"/>
      <c r="P2093" s="239"/>
      <c r="Q2093" s="239"/>
      <c r="R2093" s="239"/>
      <c r="S2093" s="239"/>
    </row>
    <row r="2094" spans="3:21" s="195" customFormat="1" x14ac:dyDescent="0.25">
      <c r="F2094" s="93" t="s">
        <v>941</v>
      </c>
      <c r="G2094" s="93" t="s">
        <v>509</v>
      </c>
      <c r="H2094" s="93"/>
      <c r="I2094" s="145"/>
      <c r="J2094" s="240"/>
      <c r="K2094" s="236"/>
      <c r="L2094" s="240"/>
      <c r="M2094" s="240"/>
      <c r="N2094" s="240"/>
      <c r="O2094" s="240"/>
      <c r="P2094" s="240"/>
      <c r="Q2094" s="240"/>
      <c r="R2094" s="240"/>
      <c r="S2094" s="240"/>
    </row>
    <row r="2095" spans="3:21" s="195" customFormat="1" x14ac:dyDescent="0.25">
      <c r="D2095" s="14"/>
      <c r="I2095" s="111"/>
      <c r="J2095" s="237"/>
      <c r="K2095" s="237"/>
      <c r="L2095" s="237"/>
      <c r="M2095" s="237"/>
      <c r="N2095" s="237"/>
      <c r="O2095" s="237"/>
      <c r="P2095" s="237"/>
      <c r="Q2095" s="237"/>
      <c r="R2095" s="237"/>
      <c r="S2095" s="237"/>
    </row>
    <row r="2096" spans="3:21" s="195" customFormat="1" x14ac:dyDescent="0.25">
      <c r="C2096" s="7" t="str">
        <f ca="1">INDEX('Version control'!$H$35:$H$61,MATCH($A$1,'Version control'!$F$35:$F$61,0),1)&amp;"-W: HV customer service model asset values"</f>
        <v>Input 501-W: HV customer service model asset values</v>
      </c>
      <c r="D2096" s="7"/>
      <c r="E2096" s="7"/>
      <c r="F2096" s="7"/>
      <c r="G2096" s="7"/>
      <c r="H2096" s="7"/>
      <c r="I2096" s="171"/>
      <c r="J2096" s="242"/>
      <c r="K2096" s="242"/>
      <c r="L2096" s="242"/>
      <c r="M2096" s="242"/>
      <c r="N2096" s="242"/>
      <c r="O2096" s="242"/>
      <c r="P2096" s="242"/>
      <c r="Q2096" s="242"/>
      <c r="R2096" s="242"/>
      <c r="S2096" s="242"/>
      <c r="T2096" s="7"/>
      <c r="U2096" s="7"/>
    </row>
    <row r="2097" spans="5:20" s="195" customFormat="1" x14ac:dyDescent="0.25">
      <c r="I2097" s="111"/>
      <c r="J2097" s="243"/>
      <c r="K2097" s="243"/>
      <c r="L2097" s="243"/>
      <c r="M2097" s="243"/>
      <c r="N2097" s="243"/>
      <c r="O2097" s="243"/>
      <c r="P2097" s="243"/>
      <c r="Q2097" s="243"/>
      <c r="R2097" s="243"/>
      <c r="S2097" s="243"/>
    </row>
    <row r="2098" spans="5:20" s="195" customFormat="1" x14ac:dyDescent="0.25">
      <c r="E2098" s="96" t="s">
        <v>639</v>
      </c>
      <c r="I2098" s="111"/>
      <c r="J2098" s="237"/>
      <c r="K2098" s="237"/>
      <c r="L2098" s="237"/>
      <c r="M2098" s="237"/>
      <c r="N2098" s="237"/>
      <c r="O2098" s="237"/>
      <c r="P2098" s="237"/>
      <c r="Q2098" s="237"/>
      <c r="R2098" s="237"/>
      <c r="S2098" s="237"/>
    </row>
    <row r="2099" spans="5:20" s="195" customFormat="1" x14ac:dyDescent="0.25">
      <c r="F2099" s="91" t="s">
        <v>926</v>
      </c>
      <c r="G2099" s="91" t="s">
        <v>509</v>
      </c>
      <c r="H2099" s="91"/>
      <c r="I2099" s="112"/>
      <c r="J2099" s="346"/>
      <c r="K2099" s="232"/>
      <c r="L2099" s="346"/>
      <c r="M2099" s="346"/>
      <c r="N2099" s="346"/>
      <c r="O2099" s="346"/>
      <c r="P2099" s="346"/>
      <c r="Q2099" s="346"/>
      <c r="R2099" s="346"/>
      <c r="S2099" s="346"/>
    </row>
    <row r="2100" spans="5:20" s="195" customFormat="1" x14ac:dyDescent="0.25">
      <c r="F2100" s="196" t="s">
        <v>927</v>
      </c>
      <c r="G2100" s="196" t="s">
        <v>509</v>
      </c>
      <c r="H2100" s="196"/>
      <c r="I2100" s="66"/>
      <c r="J2100" s="345"/>
      <c r="K2100" s="234"/>
      <c r="L2100" s="345"/>
      <c r="M2100" s="345"/>
      <c r="N2100" s="345"/>
      <c r="O2100" s="345"/>
      <c r="P2100" s="345"/>
      <c r="Q2100" s="345"/>
      <c r="R2100" s="345"/>
      <c r="S2100" s="345"/>
    </row>
    <row r="2101" spans="5:20" s="195" customFormat="1" x14ac:dyDescent="0.25">
      <c r="F2101" s="196" t="s">
        <v>928</v>
      </c>
      <c r="G2101" s="196" t="s">
        <v>509</v>
      </c>
      <c r="H2101" s="196"/>
      <c r="I2101" s="66"/>
      <c r="J2101" s="345"/>
      <c r="K2101" s="234"/>
      <c r="L2101" s="345"/>
      <c r="M2101" s="345"/>
      <c r="N2101" s="345"/>
      <c r="O2101" s="345"/>
      <c r="P2101" s="345"/>
      <c r="Q2101" s="345"/>
      <c r="R2101" s="345"/>
      <c r="S2101" s="345"/>
    </row>
    <row r="2102" spans="5:20" s="195" customFormat="1" x14ac:dyDescent="0.25">
      <c r="F2102" s="196" t="s">
        <v>929</v>
      </c>
      <c r="G2102" s="196" t="s">
        <v>509</v>
      </c>
      <c r="H2102" s="196"/>
      <c r="I2102" s="66"/>
      <c r="J2102" s="345"/>
      <c r="K2102" s="234"/>
      <c r="L2102" s="345"/>
      <c r="M2102" s="345"/>
      <c r="N2102" s="345"/>
      <c r="O2102" s="345"/>
      <c r="P2102" s="345"/>
      <c r="Q2102" s="345"/>
      <c r="R2102" s="345"/>
      <c r="S2102" s="345"/>
    </row>
    <row r="2103" spans="5:20" s="195" customFormat="1" x14ac:dyDescent="0.25">
      <c r="F2103" s="196" t="s">
        <v>930</v>
      </c>
      <c r="G2103" s="196" t="s">
        <v>509</v>
      </c>
      <c r="H2103" s="196"/>
      <c r="I2103" s="66"/>
      <c r="J2103" s="345"/>
      <c r="K2103" s="234"/>
      <c r="L2103" s="345"/>
      <c r="M2103" s="345"/>
      <c r="N2103" s="345"/>
      <c r="O2103" s="345"/>
      <c r="P2103" s="345"/>
      <c r="Q2103" s="345"/>
      <c r="R2103" s="345"/>
      <c r="S2103" s="345"/>
    </row>
    <row r="2104" spans="5:20" s="195" customFormat="1" x14ac:dyDescent="0.25">
      <c r="F2104" s="196" t="s">
        <v>931</v>
      </c>
      <c r="G2104" s="196" t="s">
        <v>509</v>
      </c>
      <c r="H2104" s="196"/>
      <c r="I2104" s="66"/>
      <c r="J2104" s="345"/>
      <c r="K2104" s="234"/>
      <c r="L2104" s="345"/>
      <c r="M2104" s="345"/>
      <c r="N2104" s="345"/>
      <c r="O2104" s="345"/>
      <c r="P2104" s="345"/>
      <c r="Q2104" s="345"/>
      <c r="R2104" s="345"/>
      <c r="S2104" s="345"/>
    </row>
    <row r="2105" spans="5:20" s="195" customFormat="1" x14ac:dyDescent="0.25">
      <c r="F2105" s="196" t="s">
        <v>932</v>
      </c>
      <c r="G2105" s="196" t="s">
        <v>509</v>
      </c>
      <c r="H2105" s="196"/>
      <c r="I2105" s="66"/>
      <c r="J2105" s="233">
        <f t="shared" ref="J2105" si="208">CHOOSE(year_selection, L2105,M2105,N2105,O2105,P2105,Q2105,R2105,S2105)</f>
        <v>23333.1646654</v>
      </c>
      <c r="K2105" s="234"/>
      <c r="L2105" s="333"/>
      <c r="M2105" s="333"/>
      <c r="N2105" s="333"/>
      <c r="O2105" s="333">
        <v>23333.1646654</v>
      </c>
      <c r="P2105" s="333">
        <v>23333.1646654</v>
      </c>
      <c r="Q2105" s="333">
        <v>23333.1646654</v>
      </c>
      <c r="R2105" s="333">
        <v>23333.1646654</v>
      </c>
      <c r="S2105" s="333">
        <v>23333.1646654</v>
      </c>
    </row>
    <row r="2106" spans="5:20" s="195" customFormat="1" x14ac:dyDescent="0.25">
      <c r="F2106" s="196" t="s">
        <v>933</v>
      </c>
      <c r="G2106" s="196" t="s">
        <v>509</v>
      </c>
      <c r="H2106" s="196"/>
      <c r="I2106" s="66"/>
      <c r="J2106" s="345"/>
      <c r="K2106" s="234"/>
      <c r="L2106" s="345"/>
      <c r="M2106" s="345"/>
      <c r="N2106" s="345"/>
      <c r="O2106" s="345"/>
      <c r="P2106" s="345"/>
      <c r="Q2106" s="345"/>
      <c r="R2106" s="345"/>
      <c r="S2106" s="345"/>
    </row>
    <row r="2107" spans="5:20" s="195" customFormat="1" x14ac:dyDescent="0.25">
      <c r="F2107" s="196" t="s">
        <v>934</v>
      </c>
      <c r="G2107" s="196" t="s">
        <v>509</v>
      </c>
      <c r="H2107" s="196"/>
      <c r="I2107" s="66"/>
      <c r="J2107" s="345"/>
      <c r="K2107" s="234"/>
      <c r="L2107" s="345"/>
      <c r="M2107" s="345"/>
      <c r="N2107" s="345"/>
      <c r="O2107" s="345"/>
      <c r="P2107" s="345"/>
      <c r="Q2107" s="345"/>
      <c r="R2107" s="345"/>
      <c r="S2107" s="345"/>
    </row>
    <row r="2108" spans="5:20" s="195" customFormat="1" x14ac:dyDescent="0.25">
      <c r="F2108" s="196" t="s">
        <v>935</v>
      </c>
      <c r="G2108" s="196" t="s">
        <v>509</v>
      </c>
      <c r="H2108" s="196"/>
      <c r="I2108" s="66"/>
      <c r="J2108" s="345"/>
      <c r="K2108" s="234"/>
      <c r="L2108" s="345"/>
      <c r="M2108" s="345"/>
      <c r="N2108" s="345"/>
      <c r="O2108" s="345"/>
      <c r="P2108" s="345"/>
      <c r="Q2108" s="345"/>
      <c r="R2108" s="345"/>
      <c r="S2108" s="345"/>
    </row>
    <row r="2109" spans="5:20" s="195" customFormat="1" x14ac:dyDescent="0.25">
      <c r="F2109" s="196" t="s">
        <v>936</v>
      </c>
      <c r="G2109" s="196" t="s">
        <v>509</v>
      </c>
      <c r="H2109" s="196"/>
      <c r="I2109" s="66"/>
      <c r="J2109" s="345"/>
      <c r="K2109" s="234"/>
      <c r="L2109" s="345"/>
      <c r="M2109" s="345"/>
      <c r="N2109" s="345"/>
      <c r="O2109" s="345"/>
      <c r="P2109" s="345"/>
      <c r="Q2109" s="345"/>
      <c r="R2109" s="345"/>
      <c r="S2109" s="345"/>
    </row>
    <row r="2110" spans="5:20" s="195" customFormat="1" x14ac:dyDescent="0.25">
      <c r="F2110" s="196" t="s">
        <v>937</v>
      </c>
      <c r="G2110" s="196" t="s">
        <v>509</v>
      </c>
      <c r="H2110" s="196"/>
      <c r="I2110" s="66"/>
      <c r="J2110" s="345"/>
      <c r="K2110" s="234"/>
      <c r="L2110" s="345"/>
      <c r="M2110" s="345"/>
      <c r="N2110" s="345"/>
      <c r="O2110" s="345"/>
      <c r="P2110" s="345"/>
      <c r="Q2110" s="345"/>
      <c r="R2110" s="345"/>
      <c r="S2110" s="345"/>
    </row>
    <row r="2111" spans="5:20" s="195" customFormat="1" x14ac:dyDescent="0.25">
      <c r="F2111" s="196" t="s">
        <v>938</v>
      </c>
      <c r="G2111" s="196" t="s">
        <v>509</v>
      </c>
      <c r="H2111" s="196"/>
      <c r="I2111" s="66"/>
      <c r="J2111" s="345"/>
      <c r="K2111" s="234"/>
      <c r="L2111" s="345"/>
      <c r="M2111" s="345"/>
      <c r="N2111" s="345"/>
      <c r="O2111" s="345"/>
      <c r="P2111" s="345"/>
      <c r="Q2111" s="345"/>
      <c r="R2111" s="345"/>
      <c r="S2111" s="345"/>
    </row>
    <row r="2112" spans="5:20" s="195" customFormat="1" x14ac:dyDescent="0.25">
      <c r="F2112" s="196" t="s">
        <v>939</v>
      </c>
      <c r="G2112" s="196" t="s">
        <v>509</v>
      </c>
      <c r="H2112" s="196"/>
      <c r="I2112" s="66"/>
      <c r="J2112" s="345"/>
      <c r="K2112" s="234"/>
      <c r="L2112" s="345"/>
      <c r="M2112" s="345"/>
      <c r="N2112" s="345"/>
      <c r="O2112" s="345"/>
      <c r="P2112" s="345"/>
      <c r="Q2112" s="345"/>
      <c r="R2112" s="345"/>
      <c r="S2112" s="345"/>
      <c r="T2112" s="293"/>
    </row>
    <row r="2113" spans="3:21" s="195" customFormat="1" x14ac:dyDescent="0.25">
      <c r="F2113" s="196" t="s">
        <v>940</v>
      </c>
      <c r="G2113" s="196" t="s">
        <v>509</v>
      </c>
      <c r="H2113" s="196"/>
      <c r="I2113" s="66"/>
      <c r="J2113" s="233">
        <f t="shared" ref="J2113" si="209">CHOOSE(year_selection, L2113,M2113,N2113,O2113,P2113,Q2113,R2113,S2113)</f>
        <v>46691.536333672499</v>
      </c>
      <c r="K2113" s="234"/>
      <c r="L2113" s="333"/>
      <c r="M2113" s="333"/>
      <c r="N2113" s="333"/>
      <c r="O2113" s="333">
        <v>46691.536333672499</v>
      </c>
      <c r="P2113" s="333">
        <v>46691.536333672499</v>
      </c>
      <c r="Q2113" s="333">
        <v>46691.536333672499</v>
      </c>
      <c r="R2113" s="333">
        <v>46691.536333672499</v>
      </c>
      <c r="S2113" s="333">
        <v>46691.536333672499</v>
      </c>
      <c r="T2113" s="293"/>
    </row>
    <row r="2114" spans="3:21" s="195" customFormat="1" x14ac:dyDescent="0.25">
      <c r="F2114" s="93" t="s">
        <v>941</v>
      </c>
      <c r="G2114" s="93" t="s">
        <v>509</v>
      </c>
      <c r="H2114" s="93"/>
      <c r="I2114" s="145"/>
      <c r="J2114" s="235">
        <f t="shared" ref="J2114" si="210">CHOOSE(year_selection, L2114,M2114,N2114,O2114,P2114,Q2114,R2114,S2114)</f>
        <v>46691.536333672499</v>
      </c>
      <c r="K2114" s="236"/>
      <c r="L2114" s="334"/>
      <c r="M2114" s="334"/>
      <c r="N2114" s="334"/>
      <c r="O2114" s="334">
        <v>46691.536333672499</v>
      </c>
      <c r="P2114" s="334">
        <v>46691.536333672499</v>
      </c>
      <c r="Q2114" s="334">
        <v>46691.536333672499</v>
      </c>
      <c r="R2114" s="334">
        <v>46691.536333672499</v>
      </c>
      <c r="S2114" s="334">
        <v>46691.536333672499</v>
      </c>
      <c r="T2114" s="293"/>
    </row>
    <row r="2115" spans="3:21" s="195" customFormat="1" x14ac:dyDescent="0.25">
      <c r="D2115" s="14"/>
      <c r="I2115" s="111"/>
      <c r="J2115" s="237"/>
      <c r="K2115" s="237"/>
      <c r="L2115" s="237"/>
      <c r="M2115" s="237"/>
      <c r="N2115" s="237"/>
      <c r="O2115" s="237"/>
      <c r="P2115" s="237"/>
      <c r="Q2115" s="237"/>
      <c r="R2115" s="237"/>
      <c r="S2115" s="237"/>
    </row>
    <row r="2116" spans="3:21" s="195" customFormat="1" x14ac:dyDescent="0.25">
      <c r="C2116" s="7" t="str">
        <f ca="1">INDEX('Version control'!$H$35:$H$61,MATCH($A$1,'Version control'!$F$35:$F$61,0),1)&amp;"-X: LV UMS customer service model asset values"</f>
        <v>Input 501-X: LV UMS customer service model asset values</v>
      </c>
      <c r="D2116" s="7"/>
      <c r="E2116" s="7"/>
      <c r="F2116" s="7"/>
      <c r="G2116" s="7"/>
      <c r="H2116" s="7"/>
      <c r="I2116" s="171"/>
      <c r="J2116" s="242"/>
      <c r="K2116" s="242"/>
      <c r="L2116" s="242"/>
      <c r="M2116" s="242"/>
      <c r="N2116" s="242"/>
      <c r="O2116" s="242"/>
      <c r="P2116" s="242"/>
      <c r="Q2116" s="242"/>
      <c r="R2116" s="242"/>
      <c r="S2116" s="242"/>
      <c r="T2116" s="7"/>
      <c r="U2116" s="7"/>
    </row>
    <row r="2117" spans="3:21" s="195" customFormat="1" x14ac:dyDescent="0.25">
      <c r="I2117" s="111"/>
      <c r="J2117" s="243"/>
      <c r="K2117" s="243"/>
      <c r="L2117" s="243"/>
      <c r="M2117" s="243"/>
      <c r="N2117" s="243"/>
      <c r="O2117" s="243"/>
      <c r="P2117" s="243"/>
      <c r="Q2117" s="243"/>
      <c r="R2117" s="243"/>
      <c r="S2117" s="243"/>
    </row>
    <row r="2118" spans="3:21" s="195" customFormat="1" x14ac:dyDescent="0.25">
      <c r="E2118" s="96" t="s">
        <v>640</v>
      </c>
      <c r="I2118" s="111" t="s">
        <v>359</v>
      </c>
      <c r="J2118" s="237"/>
      <c r="K2118" s="237"/>
      <c r="L2118" s="237"/>
      <c r="M2118" s="237"/>
      <c r="N2118" s="237"/>
      <c r="O2118" s="237"/>
      <c r="P2118" s="237"/>
      <c r="Q2118" s="237"/>
      <c r="R2118" s="237"/>
      <c r="S2118" s="237"/>
      <c r="U2118" s="195" t="s">
        <v>705</v>
      </c>
    </row>
    <row r="2119" spans="3:21" s="195" customFormat="1" x14ac:dyDescent="0.25">
      <c r="F2119" s="91" t="s">
        <v>926</v>
      </c>
      <c r="G2119" s="91" t="s">
        <v>271</v>
      </c>
      <c r="H2119" s="91"/>
      <c r="I2119" s="112"/>
      <c r="J2119" s="238"/>
      <c r="K2119" s="232"/>
      <c r="L2119" s="238"/>
      <c r="M2119" s="238"/>
      <c r="N2119" s="238"/>
      <c r="O2119" s="238"/>
      <c r="P2119" s="238"/>
      <c r="Q2119" s="238"/>
      <c r="R2119" s="238"/>
      <c r="S2119" s="238"/>
    </row>
    <row r="2120" spans="3:21" s="195" customFormat="1" x14ac:dyDescent="0.25">
      <c r="F2120" s="196" t="s">
        <v>927</v>
      </c>
      <c r="G2120" s="196" t="s">
        <v>271</v>
      </c>
      <c r="H2120" s="196"/>
      <c r="I2120" s="66"/>
      <c r="J2120" s="239"/>
      <c r="K2120" s="234"/>
      <c r="L2120" s="239"/>
      <c r="M2120" s="239"/>
      <c r="N2120" s="239"/>
      <c r="O2120" s="239"/>
      <c r="P2120" s="239"/>
      <c r="Q2120" s="239"/>
      <c r="R2120" s="239"/>
      <c r="S2120" s="239"/>
    </row>
    <row r="2121" spans="3:21" s="195" customFormat="1" x14ac:dyDescent="0.25">
      <c r="F2121" s="196" t="s">
        <v>928</v>
      </c>
      <c r="G2121" s="196" t="s">
        <v>271</v>
      </c>
      <c r="H2121" s="196"/>
      <c r="I2121" s="66"/>
      <c r="J2121" s="239"/>
      <c r="K2121" s="234"/>
      <c r="L2121" s="239"/>
      <c r="M2121" s="239"/>
      <c r="N2121" s="239"/>
      <c r="O2121" s="239"/>
      <c r="P2121" s="239"/>
      <c r="Q2121" s="239"/>
      <c r="R2121" s="239"/>
      <c r="S2121" s="239"/>
    </row>
    <row r="2122" spans="3:21" s="195" customFormat="1" x14ac:dyDescent="0.25">
      <c r="F2122" s="196" t="s">
        <v>929</v>
      </c>
      <c r="G2122" s="196" t="s">
        <v>271</v>
      </c>
      <c r="H2122" s="196"/>
      <c r="I2122" s="66"/>
      <c r="J2122" s="239"/>
      <c r="K2122" s="234"/>
      <c r="L2122" s="239"/>
      <c r="M2122" s="239"/>
      <c r="N2122" s="239"/>
      <c r="O2122" s="239"/>
      <c r="P2122" s="239"/>
      <c r="Q2122" s="239"/>
      <c r="R2122" s="239"/>
      <c r="S2122" s="239"/>
    </row>
    <row r="2123" spans="3:21" s="195" customFormat="1" x14ac:dyDescent="0.25">
      <c r="F2123" s="196" t="s">
        <v>930</v>
      </c>
      <c r="G2123" s="196" t="s">
        <v>271</v>
      </c>
      <c r="H2123" s="196"/>
      <c r="I2123" s="66"/>
      <c r="J2123" s="239"/>
      <c r="K2123" s="234"/>
      <c r="L2123" s="239"/>
      <c r="M2123" s="239"/>
      <c r="N2123" s="239"/>
      <c r="O2123" s="239"/>
      <c r="P2123" s="239"/>
      <c r="Q2123" s="239"/>
      <c r="R2123" s="239"/>
      <c r="S2123" s="239"/>
    </row>
    <row r="2124" spans="3:21" s="195" customFormat="1" x14ac:dyDescent="0.25">
      <c r="F2124" s="196" t="s">
        <v>931</v>
      </c>
      <c r="G2124" s="196" t="s">
        <v>271</v>
      </c>
      <c r="H2124" s="196"/>
      <c r="I2124" s="66"/>
      <c r="J2124" s="239"/>
      <c r="K2124" s="234"/>
      <c r="L2124" s="239"/>
      <c r="M2124" s="239"/>
      <c r="N2124" s="239"/>
      <c r="O2124" s="239"/>
      <c r="P2124" s="239"/>
      <c r="Q2124" s="239"/>
      <c r="R2124" s="239"/>
      <c r="S2124" s="239"/>
    </row>
    <row r="2125" spans="3:21" s="195" customFormat="1" x14ac:dyDescent="0.25">
      <c r="F2125" s="196" t="s">
        <v>932</v>
      </c>
      <c r="G2125" s="196" t="s">
        <v>271</v>
      </c>
      <c r="H2125" s="196"/>
      <c r="I2125" s="66"/>
      <c r="J2125" s="239"/>
      <c r="K2125" s="234"/>
      <c r="L2125" s="239"/>
      <c r="M2125" s="239"/>
      <c r="N2125" s="239"/>
      <c r="O2125" s="239"/>
      <c r="P2125" s="239"/>
      <c r="Q2125" s="239"/>
      <c r="R2125" s="239"/>
      <c r="S2125" s="239"/>
    </row>
    <row r="2126" spans="3:21" s="195" customFormat="1" x14ac:dyDescent="0.25">
      <c r="F2126" s="196" t="s">
        <v>933</v>
      </c>
      <c r="G2126" s="196" t="s">
        <v>271</v>
      </c>
      <c r="H2126" s="196"/>
      <c r="I2126" s="66"/>
      <c r="J2126" s="233">
        <f>CHOOSE(year_selection, L2126,M2126,N2126,O2126,P2126,Q2126,R2126,S2126)</f>
        <v>808.07138150962226</v>
      </c>
      <c r="K2126" s="234"/>
      <c r="L2126" s="333"/>
      <c r="M2126" s="333"/>
      <c r="N2126" s="333"/>
      <c r="O2126" s="333">
        <v>808.07138150962226</v>
      </c>
      <c r="P2126" s="333">
        <v>808.07138150962226</v>
      </c>
      <c r="Q2126" s="333">
        <v>808.07138150962226</v>
      </c>
      <c r="R2126" s="333">
        <v>808.07138150962226</v>
      </c>
      <c r="S2126" s="333">
        <v>808.07138150962226</v>
      </c>
    </row>
    <row r="2127" spans="3:21" s="195" customFormat="1" x14ac:dyDescent="0.25">
      <c r="F2127" s="196" t="s">
        <v>934</v>
      </c>
      <c r="G2127" s="196" t="s">
        <v>271</v>
      </c>
      <c r="H2127" s="196"/>
      <c r="I2127" s="66"/>
      <c r="J2127" s="239"/>
      <c r="K2127" s="234"/>
      <c r="L2127" s="239"/>
      <c r="M2127" s="239"/>
      <c r="N2127" s="239"/>
      <c r="O2127" s="239"/>
      <c r="P2127" s="239"/>
      <c r="Q2127" s="239"/>
      <c r="R2127" s="239"/>
      <c r="S2127" s="239"/>
    </row>
    <row r="2128" spans="3:21" s="195" customFormat="1" x14ac:dyDescent="0.25">
      <c r="F2128" s="196" t="s">
        <v>935</v>
      </c>
      <c r="G2128" s="196" t="s">
        <v>271</v>
      </c>
      <c r="H2128" s="196"/>
      <c r="I2128" s="66"/>
      <c r="J2128" s="239"/>
      <c r="K2128" s="234"/>
      <c r="L2128" s="239"/>
      <c r="M2128" s="239"/>
      <c r="N2128" s="239"/>
      <c r="O2128" s="239"/>
      <c r="P2128" s="239"/>
      <c r="Q2128" s="239"/>
      <c r="R2128" s="239"/>
      <c r="S2128" s="239"/>
    </row>
    <row r="2129" spans="2:49" s="195" customFormat="1" x14ac:dyDescent="0.25">
      <c r="F2129" s="196" t="s">
        <v>936</v>
      </c>
      <c r="G2129" s="196" t="s">
        <v>271</v>
      </c>
      <c r="H2129" s="196"/>
      <c r="I2129" s="66"/>
      <c r="J2129" s="239"/>
      <c r="K2129" s="234"/>
      <c r="L2129" s="239"/>
      <c r="M2129" s="239"/>
      <c r="N2129" s="239"/>
      <c r="O2129" s="239"/>
      <c r="P2129" s="239"/>
      <c r="Q2129" s="239"/>
      <c r="R2129" s="239"/>
      <c r="S2129" s="239"/>
    </row>
    <row r="2130" spans="2:49" s="195" customFormat="1" x14ac:dyDescent="0.25">
      <c r="F2130" s="196" t="s">
        <v>937</v>
      </c>
      <c r="G2130" s="196" t="s">
        <v>271</v>
      </c>
      <c r="H2130" s="196"/>
      <c r="I2130" s="66"/>
      <c r="J2130" s="239"/>
      <c r="K2130" s="234"/>
      <c r="L2130" s="239"/>
      <c r="M2130" s="239"/>
      <c r="N2130" s="239"/>
      <c r="O2130" s="239"/>
      <c r="P2130" s="239"/>
      <c r="Q2130" s="239"/>
      <c r="R2130" s="239"/>
      <c r="S2130" s="239"/>
    </row>
    <row r="2131" spans="2:49" s="195" customFormat="1" x14ac:dyDescent="0.25">
      <c r="F2131" s="196" t="s">
        <v>938</v>
      </c>
      <c r="G2131" s="196" t="s">
        <v>271</v>
      </c>
      <c r="H2131" s="196"/>
      <c r="I2131" s="66"/>
      <c r="J2131" s="239"/>
      <c r="K2131" s="234"/>
      <c r="L2131" s="239"/>
      <c r="M2131" s="239"/>
      <c r="N2131" s="239"/>
      <c r="O2131" s="239"/>
      <c r="P2131" s="239"/>
      <c r="Q2131" s="239"/>
      <c r="R2131" s="239"/>
      <c r="S2131" s="239"/>
    </row>
    <row r="2132" spans="2:49" s="195" customFormat="1" x14ac:dyDescent="0.25">
      <c r="F2132" s="196" t="s">
        <v>939</v>
      </c>
      <c r="G2132" s="196" t="s">
        <v>271</v>
      </c>
      <c r="H2132" s="196"/>
      <c r="I2132" s="66"/>
      <c r="J2132" s="239"/>
      <c r="K2132" s="234"/>
      <c r="L2132" s="239"/>
      <c r="M2132" s="239"/>
      <c r="N2132" s="239"/>
      <c r="O2132" s="239"/>
      <c r="P2132" s="239"/>
      <c r="Q2132" s="239"/>
      <c r="R2132" s="239"/>
      <c r="S2132" s="239"/>
    </row>
    <row r="2133" spans="2:49" s="195" customFormat="1" x14ac:dyDescent="0.25">
      <c r="F2133" s="196" t="s">
        <v>940</v>
      </c>
      <c r="G2133" s="196" t="s">
        <v>271</v>
      </c>
      <c r="H2133" s="196"/>
      <c r="I2133" s="66"/>
      <c r="J2133" s="239"/>
      <c r="K2133" s="234"/>
      <c r="L2133" s="239"/>
      <c r="M2133" s="239"/>
      <c r="N2133" s="239"/>
      <c r="O2133" s="239"/>
      <c r="P2133" s="239"/>
      <c r="Q2133" s="239"/>
      <c r="R2133" s="239"/>
      <c r="S2133" s="239"/>
      <c r="T2133" s="293"/>
    </row>
    <row r="2134" spans="2:49" s="195" customFormat="1" x14ac:dyDescent="0.25">
      <c r="F2134" s="93" t="s">
        <v>941</v>
      </c>
      <c r="G2134" s="93" t="s">
        <v>271</v>
      </c>
      <c r="H2134" s="93"/>
      <c r="I2134" s="145"/>
      <c r="J2134" s="240"/>
      <c r="K2134" s="236"/>
      <c r="L2134" s="240"/>
      <c r="M2134" s="240"/>
      <c r="N2134" s="240"/>
      <c r="O2134" s="240"/>
      <c r="P2134" s="240"/>
      <c r="Q2134" s="240"/>
      <c r="R2134" s="240"/>
      <c r="S2134" s="240"/>
      <c r="T2134" s="293"/>
    </row>
    <row r="2135" spans="2:49" s="195" customFormat="1" x14ac:dyDescent="0.25">
      <c r="D2135" s="14"/>
      <c r="I2135" s="111"/>
      <c r="J2135" s="111"/>
      <c r="K2135" s="111"/>
      <c r="L2135" s="111"/>
      <c r="M2135" s="111"/>
      <c r="N2135" s="111"/>
      <c r="O2135" s="111"/>
      <c r="P2135" s="111"/>
      <c r="Q2135" s="111"/>
      <c r="R2135" s="111"/>
      <c r="S2135" s="111"/>
    </row>
    <row r="2136" spans="2:49" x14ac:dyDescent="0.25">
      <c r="B2136" s="95" t="s">
        <v>109</v>
      </c>
      <c r="C2136" s="95"/>
      <c r="D2136" s="95"/>
      <c r="E2136" s="95"/>
      <c r="F2136" s="95"/>
      <c r="G2136" s="95"/>
      <c r="H2136" s="95"/>
      <c r="I2136" s="160"/>
      <c r="J2136" s="160"/>
      <c r="K2136" s="160"/>
      <c r="L2136" s="160"/>
      <c r="M2136" s="160"/>
      <c r="N2136" s="160"/>
      <c r="O2136" s="160"/>
      <c r="P2136" s="160"/>
      <c r="Q2136" s="160"/>
      <c r="R2136" s="160"/>
      <c r="S2136" s="160"/>
      <c r="T2136" s="95"/>
      <c r="U2136" s="95"/>
      <c r="W2136" s="95"/>
      <c r="X2136" s="95"/>
      <c r="Y2136" s="95"/>
      <c r="Z2136" s="95"/>
      <c r="AA2136" s="95"/>
      <c r="AB2136" s="95"/>
      <c r="AC2136" s="95"/>
      <c r="AD2136" s="95"/>
      <c r="AE2136" s="95"/>
      <c r="AF2136" s="95"/>
      <c r="AG2136" s="95"/>
      <c r="AH2136" s="95"/>
      <c r="AI2136" s="95"/>
      <c r="AJ2136" s="95"/>
      <c r="AK2136" s="95"/>
      <c r="AL2136" s="95"/>
      <c r="AM2136" s="95"/>
      <c r="AN2136" s="95"/>
      <c r="AO2136" s="95"/>
      <c r="AP2136" s="95"/>
      <c r="AQ2136" s="95"/>
      <c r="AR2136" s="95"/>
      <c r="AS2136" s="95"/>
      <c r="AT2136" s="95"/>
      <c r="AU2136" s="95"/>
      <c r="AV2136" s="95"/>
      <c r="AW2136" s="95"/>
    </row>
    <row r="2137" spans="2:49" x14ac:dyDescent="0.25">
      <c r="H2137" s="111"/>
      <c r="J2137" s="111"/>
      <c r="K2137" s="111"/>
      <c r="L2137" s="111"/>
      <c r="M2137" s="111"/>
      <c r="N2137" s="111"/>
      <c r="O2137" s="111"/>
      <c r="P2137" s="111"/>
      <c r="Q2137" s="111"/>
      <c r="R2137" s="111"/>
      <c r="S2137" s="111"/>
    </row>
    <row r="2138" spans="2:49" x14ac:dyDescent="0.25">
      <c r="E2138" s="85" t="s">
        <v>415</v>
      </c>
      <c r="G2138" s="60" t="s">
        <v>588</v>
      </c>
      <c r="H2138" s="178">
        <f t="array" ref="H2138">SUM(IF(ISERROR(H19:S2135), 1))</f>
        <v>0</v>
      </c>
      <c r="J2138" s="111"/>
      <c r="K2138" s="111"/>
      <c r="L2138" s="111"/>
      <c r="M2138" s="111"/>
      <c r="N2138" s="111"/>
      <c r="O2138" s="111"/>
      <c r="P2138" s="111"/>
      <c r="Q2138" s="111"/>
      <c r="R2138" s="111"/>
      <c r="S2138" s="111"/>
    </row>
    <row r="2139" spans="2:49" x14ac:dyDescent="0.25">
      <c r="H2139" s="111"/>
      <c r="J2139" s="111"/>
      <c r="K2139" s="111"/>
      <c r="L2139" s="111"/>
      <c r="M2139" s="111"/>
      <c r="N2139" s="111"/>
      <c r="O2139" s="111"/>
      <c r="P2139" s="111"/>
      <c r="Q2139" s="111"/>
      <c r="R2139" s="111"/>
      <c r="S2139" s="111"/>
    </row>
    <row r="2140" spans="2:49" x14ac:dyDescent="0.25">
      <c r="E2140" s="85" t="s">
        <v>374</v>
      </c>
      <c r="G2140" s="60" t="s">
        <v>588</v>
      </c>
      <c r="H2140" s="310">
        <f>SUM(H2138)</f>
        <v>0</v>
      </c>
      <c r="J2140" s="111"/>
      <c r="K2140" s="111"/>
      <c r="L2140" s="111"/>
      <c r="M2140" s="111"/>
      <c r="N2140" s="111"/>
      <c r="O2140" s="111"/>
      <c r="P2140" s="111"/>
      <c r="Q2140" s="111"/>
      <c r="R2140" s="111"/>
      <c r="S2140" s="111"/>
    </row>
    <row r="2141" spans="2:49" x14ac:dyDescent="0.25">
      <c r="J2141" s="111"/>
      <c r="K2141" s="111"/>
      <c r="L2141" s="111"/>
      <c r="M2141" s="111"/>
      <c r="N2141" s="111"/>
      <c r="O2141" s="111"/>
      <c r="P2141" s="111"/>
      <c r="Q2141" s="111"/>
      <c r="R2141" s="111"/>
      <c r="S2141" s="111"/>
    </row>
    <row r="2142" spans="2:49" x14ac:dyDescent="0.25">
      <c r="B2142" s="95" t="s">
        <v>110</v>
      </c>
      <c r="C2142" s="95"/>
      <c r="D2142" s="95"/>
      <c r="E2142" s="95"/>
      <c r="F2142" s="95"/>
      <c r="G2142" s="95"/>
      <c r="H2142" s="95"/>
      <c r="I2142" s="160"/>
      <c r="J2142" s="95"/>
      <c r="K2142" s="95"/>
      <c r="L2142" s="95"/>
      <c r="M2142" s="95"/>
      <c r="N2142" s="95"/>
      <c r="O2142" s="95"/>
      <c r="P2142" s="95"/>
      <c r="Q2142" s="95"/>
      <c r="R2142" s="95"/>
      <c r="S2142" s="95"/>
      <c r="T2142" s="95"/>
      <c r="U2142" s="95"/>
      <c r="V2142" s="310"/>
      <c r="W2142" s="95"/>
      <c r="X2142" s="95"/>
      <c r="Y2142" s="95"/>
      <c r="Z2142" s="95"/>
      <c r="AA2142" s="95"/>
      <c r="AB2142" s="95"/>
      <c r="AC2142" s="95"/>
      <c r="AD2142" s="95"/>
      <c r="AE2142" s="95"/>
      <c r="AF2142" s="95"/>
      <c r="AG2142" s="95"/>
      <c r="AH2142" s="95"/>
      <c r="AI2142" s="95"/>
      <c r="AJ2142" s="95"/>
      <c r="AK2142" s="95"/>
      <c r="AL2142" s="95"/>
      <c r="AM2142" s="95"/>
      <c r="AN2142" s="95"/>
      <c r="AO2142" s="95"/>
      <c r="AP2142" s="95"/>
      <c r="AQ2142" s="95"/>
      <c r="AR2142" s="95"/>
      <c r="AS2142" s="95"/>
      <c r="AT2142" s="95"/>
      <c r="AU2142" s="95"/>
      <c r="AV2142" s="95"/>
      <c r="AW2142" s="95"/>
    </row>
  </sheetData>
  <sheetProtection sheet="1" objects="1" formatCells="0" formatColumns="0" formatRows="0" sort="0" autoFilter="0"/>
  <conditionalFormatting sqref="H2138">
    <cfRule type="cellIs" dxfId="253" priority="5" operator="greaterThan">
      <formula>0</formula>
    </cfRule>
  </conditionalFormatting>
  <conditionalFormatting sqref="A4:XFD4">
    <cfRule type="expression" dxfId="252" priority="3">
      <formula>LEFT($A$4,1) &lt;&gt; "0"</formula>
    </cfRule>
  </conditionalFormatting>
  <conditionalFormatting sqref="V2142">
    <cfRule type="cellIs" dxfId="251" priority="2" operator="greaterThan">
      <formula>0</formula>
    </cfRule>
  </conditionalFormatting>
  <conditionalFormatting sqref="H2140">
    <cfRule type="cellIs" dxfId="250" priority="1" operator="greaterThan">
      <formula>0</formula>
    </cfRule>
  </conditionalFormatting>
  <dataValidations count="1">
    <dataValidation type="decimal" operator="greaterThanOrEqual" allowBlank="1" showInputMessage="1" showErrorMessage="1" errorTitle="Invalid volume data" error="Invalid volume data (negative number or unused cell)." sqref="L2126:S2126 L2101:S2114" xr:uid="{00000000-0002-0000-0A00-000000000000}">
      <formula1>0</formula1>
    </dataValidation>
  </dataValidations>
  <hyperlinks>
    <hyperlink ref="B6:F6" location="'Model map'!A1" display="Click here to return to model map" xr:uid="{00000000-0004-0000-0A00-000000000000}"/>
  </hyperlinks>
  <pageMargins left="0.7" right="0.7" top="0.75" bottom="0.75" header="0.3" footer="0.3"/>
  <pageSetup paperSize="9" fitToHeight="0" orientation="portrait" r:id="rId1"/>
  <headerFooter>
    <oddHeader>&amp;L&amp;A&amp;C&amp;R&amp;P of &amp;N</oddHeader>
    <oddFooter>&amp;F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55">
    <tabColor theme="5" tint="0.59999389629810485"/>
    <pageSetUpPr fitToPage="1"/>
  </sheetPr>
  <dimension ref="A1:IV220"/>
  <sheetViews>
    <sheetView showGridLines="0" zoomScale="70" zoomScaleNormal="70" workbookViewId="0">
      <pane xSplit="9" ySplit="6" topLeftCell="J7" activePane="bottomRight" state="frozen"/>
      <selection pane="topRight"/>
      <selection pane="bottomLeft"/>
      <selection pane="bottomRight" activeCell="G1" sqref="G1"/>
    </sheetView>
  </sheetViews>
  <sheetFormatPr defaultColWidth="0" defaultRowHeight="15" x14ac:dyDescent="0.25"/>
  <cols>
    <col min="1" max="5" width="2.5703125" style="85" customWidth="1"/>
    <col min="6" max="6" width="59.5703125" style="85" customWidth="1"/>
    <col min="7" max="8" width="20.5703125" style="85" customWidth="1"/>
    <col min="9" max="9" width="2.42578125" style="85" customWidth="1"/>
    <col min="10" max="10" width="20.5703125" style="85" bestFit="1" customWidth="1"/>
    <col min="11" max="11" width="2.42578125" style="85" customWidth="1"/>
    <col min="12" max="19" width="14.85546875" style="85" bestFit="1" customWidth="1"/>
    <col min="20" max="20" width="2.42578125" style="85" customWidth="1"/>
    <col min="21" max="21" width="50.5703125" style="85" customWidth="1"/>
    <col min="22" max="22" width="2.42578125" style="85" customWidth="1"/>
    <col min="23" max="27" width="20.5703125" style="85" hidden="1" customWidth="1"/>
    <col min="28" max="28" width="2.5703125" style="85" hidden="1" customWidth="1"/>
    <col min="29" max="256" width="20.5703125" style="85" hidden="1" customWidth="1"/>
    <col min="257" max="16384" width="9.140625" style="85" hidden="1"/>
  </cols>
  <sheetData>
    <row r="1" spans="1:97" s="10" customFormat="1" x14ac:dyDescent="0.25">
      <c r="A1" s="10" t="str">
        <f ca="1">MID(CELL("filename",A1),FIND("]",CELL("filename",A1))+1,255)</f>
        <v>ARP_Inputs by network level</v>
      </c>
    </row>
    <row r="2" spans="1:97" s="10" customFormat="1" x14ac:dyDescent="0.25">
      <c r="A2" s="10" t="str">
        <f>Cover!D21&amp;" - "&amp;Cover!D23</f>
        <v>Southern Electric Power Distribution plc - Final</v>
      </c>
    </row>
    <row r="3" spans="1:97" s="46" customFormat="1" x14ac:dyDescent="0.25">
      <c r="A3" s="46" t="str">
        <f>Cover!D2&amp;" - "&amp;Cover!D8&amp;" v"&amp;Cover!D10&amp;" - "&amp;Cover!D19</f>
        <v>ARP model - Release for charge setting v7 - 2023/24</v>
      </c>
    </row>
    <row r="4" spans="1:97" s="195" customFormat="1" x14ac:dyDescent="0.25">
      <c r="A4" s="228" t="str">
        <f>H218 &amp; IF(H218 = 1, " issue", " issues") &amp;" identified in checks on this sheet"</f>
        <v>0 issues identified in checks on this sheet</v>
      </c>
      <c r="B4" s="229"/>
      <c r="C4" s="229"/>
      <c r="D4" s="229"/>
      <c r="E4" s="229"/>
      <c r="F4" s="229"/>
      <c r="G4" s="229"/>
      <c r="H4" s="230"/>
      <c r="I4" s="230"/>
      <c r="J4" s="229"/>
      <c r="K4" s="221"/>
      <c r="L4" s="221"/>
      <c r="M4" s="221"/>
      <c r="N4" s="221"/>
      <c r="O4" s="221"/>
      <c r="P4" s="221"/>
      <c r="Q4" s="221"/>
      <c r="R4" s="221"/>
      <c r="S4" s="221"/>
      <c r="T4" s="221"/>
      <c r="U4" s="221"/>
      <c r="V4" s="221"/>
      <c r="W4" s="221"/>
      <c r="X4" s="221"/>
      <c r="Y4" s="221"/>
      <c r="Z4" s="221"/>
      <c r="AA4" s="221"/>
      <c r="AB4" s="221"/>
      <c r="AC4" s="221"/>
      <c r="AD4" s="221"/>
      <c r="AE4" s="221"/>
      <c r="AF4" s="221"/>
      <c r="AG4" s="221"/>
      <c r="AH4" s="221"/>
      <c r="AI4" s="221"/>
      <c r="AJ4" s="221"/>
      <c r="AK4" s="221"/>
      <c r="AL4" s="221"/>
      <c r="AM4" s="221"/>
      <c r="AN4" s="221"/>
      <c r="AO4" s="221"/>
      <c r="AP4" s="221"/>
      <c r="AQ4" s="221"/>
      <c r="AR4" s="221"/>
      <c r="AS4" s="221"/>
      <c r="AT4" s="221"/>
      <c r="AU4" s="221"/>
      <c r="AV4" s="221"/>
      <c r="AW4" s="221"/>
      <c r="AX4" s="221"/>
      <c r="AY4" s="221"/>
      <c r="AZ4" s="221"/>
      <c r="BA4" s="221"/>
      <c r="BB4" s="221"/>
      <c r="BC4" s="221"/>
      <c r="BD4" s="221"/>
      <c r="BE4" s="221"/>
      <c r="BF4" s="221"/>
      <c r="BG4" s="221"/>
      <c r="BH4" s="221"/>
      <c r="BI4" s="221"/>
      <c r="BJ4" s="221"/>
      <c r="BK4" s="221"/>
      <c r="BL4" s="221"/>
      <c r="BM4" s="221"/>
      <c r="BN4" s="221"/>
      <c r="BO4" s="221"/>
      <c r="BP4" s="221"/>
      <c r="BQ4" s="221"/>
      <c r="BR4" s="221"/>
      <c r="BS4" s="221"/>
      <c r="BT4" s="221"/>
      <c r="BU4" s="221"/>
      <c r="BV4" s="221"/>
      <c r="BW4" s="221"/>
      <c r="BX4" s="221"/>
      <c r="BY4" s="221"/>
      <c r="BZ4" s="221"/>
      <c r="CA4" s="221"/>
      <c r="CB4" s="221"/>
      <c r="CC4" s="221"/>
      <c r="CD4" s="221"/>
      <c r="CE4" s="221"/>
      <c r="CF4" s="221"/>
      <c r="CG4" s="221"/>
      <c r="CH4" s="221"/>
      <c r="CI4" s="221"/>
      <c r="CJ4" s="221"/>
      <c r="CK4" s="221"/>
      <c r="CL4" s="221"/>
      <c r="CM4" s="221"/>
      <c r="CN4" s="221"/>
      <c r="CO4" s="221"/>
      <c r="CP4" s="221"/>
      <c r="CQ4" s="221"/>
      <c r="CR4" s="221"/>
      <c r="CS4" s="221"/>
    </row>
    <row r="5" spans="1:97" ht="30" x14ac:dyDescent="0.25">
      <c r="B5" s="134"/>
      <c r="C5" s="9"/>
      <c r="D5" s="9"/>
      <c r="E5" s="9"/>
      <c r="F5" s="9"/>
      <c r="G5" s="127"/>
      <c r="H5" s="35"/>
      <c r="J5" s="147" t="str">
        <f>"Year selected ("&amp; charging_year_selected &amp;")"</f>
        <v>Year selected (2023/24)</v>
      </c>
      <c r="L5" s="35" t="str">
        <f t="array" ref="L5:S6">TRANSPOSE('ARP_User control'!G28:H35)</f>
        <v>2020/21</v>
      </c>
      <c r="M5" s="35" t="str">
        <v>2021/22</v>
      </c>
      <c r="N5" s="35" t="str">
        <v>2022/23</v>
      </c>
      <c r="O5" s="35" t="str">
        <v>2023/24</v>
      </c>
      <c r="P5" s="35" t="str">
        <v>2024/25</v>
      </c>
      <c r="Q5" s="35" t="str">
        <v>2025/26</v>
      </c>
      <c r="R5" s="35" t="str">
        <v>2026/27</v>
      </c>
      <c r="S5" s="35" t="str">
        <v>2027/28</v>
      </c>
      <c r="U5" s="35"/>
    </row>
    <row r="6" spans="1:97" x14ac:dyDescent="0.25">
      <c r="B6" s="134" t="s">
        <v>451</v>
      </c>
      <c r="C6" s="9"/>
      <c r="D6" s="9"/>
      <c r="E6" s="9"/>
      <c r="F6" s="9"/>
      <c r="G6" s="127" t="s">
        <v>91</v>
      </c>
      <c r="H6" s="35" t="s">
        <v>92</v>
      </c>
      <c r="J6" s="149" t="str">
        <f>'ARP_User control'!$H$36</f>
        <v>Current</v>
      </c>
      <c r="L6" s="35" t="str">
        <v>Historic</v>
      </c>
      <c r="M6" s="35" t="str">
        <v>Historic</v>
      </c>
      <c r="N6" s="35" t="str">
        <v>Historic</v>
      </c>
      <c r="O6" s="35" t="str">
        <v>Current</v>
      </c>
      <c r="P6" s="35" t="str">
        <v>Forecast</v>
      </c>
      <c r="Q6" s="35" t="str">
        <v>Forecast</v>
      </c>
      <c r="R6" s="35" t="str">
        <v>Forecast</v>
      </c>
      <c r="S6" s="35" t="str">
        <v>Forecast</v>
      </c>
      <c r="U6" s="127" t="s">
        <v>93</v>
      </c>
    </row>
    <row r="8" spans="1:97" x14ac:dyDescent="0.25">
      <c r="B8" s="95" t="s">
        <v>90</v>
      </c>
      <c r="C8" s="95"/>
      <c r="D8" s="95"/>
      <c r="E8" s="95"/>
      <c r="F8" s="95"/>
      <c r="G8" s="95"/>
      <c r="H8" s="95"/>
      <c r="I8" s="95"/>
      <c r="J8" s="95"/>
      <c r="K8" s="95"/>
      <c r="L8" s="95"/>
      <c r="M8" s="95"/>
      <c r="N8" s="95"/>
      <c r="O8" s="95"/>
      <c r="P8" s="95"/>
      <c r="Q8" s="95"/>
      <c r="R8" s="95"/>
      <c r="S8" s="95"/>
      <c r="T8" s="95"/>
      <c r="U8" s="95"/>
      <c r="W8" s="95"/>
      <c r="X8" s="95"/>
      <c r="Y8" s="95"/>
      <c r="Z8" s="95"/>
      <c r="AA8" s="95"/>
    </row>
    <row r="10" spans="1:97" x14ac:dyDescent="0.25">
      <c r="C10" s="82" t="s">
        <v>690</v>
      </c>
    </row>
    <row r="11" spans="1:97" s="293" customFormat="1" x14ac:dyDescent="0.25">
      <c r="C11" s="82" t="s">
        <v>689</v>
      </c>
    </row>
    <row r="12" spans="1:97" s="293" customFormat="1" x14ac:dyDescent="0.25">
      <c r="C12" s="82" t="s">
        <v>781</v>
      </c>
    </row>
    <row r="13" spans="1:97" x14ac:dyDescent="0.25">
      <c r="D13" s="14"/>
    </row>
    <row r="14" spans="1:97" x14ac:dyDescent="0.25">
      <c r="B14" s="95" t="s">
        <v>195</v>
      </c>
      <c r="C14" s="95"/>
      <c r="D14" s="95"/>
      <c r="E14" s="95"/>
      <c r="F14" s="95"/>
      <c r="G14" s="95"/>
      <c r="H14" s="95"/>
      <c r="I14" s="95"/>
      <c r="J14" s="95"/>
      <c r="K14" s="95"/>
      <c r="L14" s="95"/>
      <c r="M14" s="95"/>
      <c r="N14" s="95"/>
      <c r="O14" s="95"/>
      <c r="P14" s="95"/>
      <c r="Q14" s="95"/>
      <c r="R14" s="95"/>
      <c r="S14" s="95"/>
      <c r="T14" s="95"/>
      <c r="U14" s="95"/>
      <c r="W14" s="95"/>
      <c r="X14" s="95"/>
      <c r="Y14" s="95"/>
      <c r="Z14" s="95"/>
      <c r="AA14" s="95"/>
    </row>
    <row r="16" spans="1:97" s="195" customFormat="1" x14ac:dyDescent="0.25">
      <c r="C16" s="7" t="str">
        <f ca="1">INDEX('Version control'!$H$35:$H$61,MATCH($A$1,'Version control'!$F$35:$F$61,0),1)&amp;"-A: Diversity allowance between top and bottom of network level"</f>
        <v>Input 502-A: Diversity allowance between top and bottom of network level</v>
      </c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</row>
    <row r="17" spans="3:21" s="195" customFormat="1" x14ac:dyDescent="0.25"/>
    <row r="18" spans="3:21" x14ac:dyDescent="0.25">
      <c r="E18" s="146" t="s">
        <v>42</v>
      </c>
      <c r="G18" s="76"/>
      <c r="H18" s="92"/>
      <c r="I18" s="85" t="s">
        <v>359</v>
      </c>
      <c r="U18" s="90" t="s">
        <v>809</v>
      </c>
    </row>
    <row r="19" spans="3:21" x14ac:dyDescent="0.25">
      <c r="F19" s="16" t="s">
        <v>267</v>
      </c>
      <c r="G19" s="16" t="s">
        <v>94</v>
      </c>
      <c r="H19" s="91"/>
      <c r="I19" s="91"/>
      <c r="J19" s="244"/>
      <c r="K19" s="245"/>
      <c r="L19" s="244"/>
      <c r="M19" s="244"/>
      <c r="N19" s="244"/>
      <c r="O19" s="244"/>
      <c r="P19" s="244"/>
      <c r="Q19" s="244"/>
      <c r="R19" s="244"/>
      <c r="S19" s="244"/>
      <c r="U19" s="90"/>
    </row>
    <row r="20" spans="3:21" x14ac:dyDescent="0.25">
      <c r="F20" s="76" t="s">
        <v>43</v>
      </c>
      <c r="G20" s="76" t="s">
        <v>94</v>
      </c>
      <c r="H20" s="92"/>
      <c r="I20" s="92"/>
      <c r="J20" s="233">
        <f>CHOOSE(year_selection, L20,M20,N20,O20,P20,Q20,R20,S20)</f>
        <v>4.949939187329E-2</v>
      </c>
      <c r="K20" s="249"/>
      <c r="L20" s="330">
        <v>2.7451056800206652E-2</v>
      </c>
      <c r="M20" s="330">
        <v>3.3893104679970198E-2</v>
      </c>
      <c r="N20" s="330">
        <v>3.8796733729834498E-2</v>
      </c>
      <c r="O20" s="330">
        <v>4.949939187329E-2</v>
      </c>
      <c r="P20" s="330">
        <v>4.949939187329E-2</v>
      </c>
      <c r="Q20" s="330">
        <v>4.949939187329E-2</v>
      </c>
      <c r="R20" s="330">
        <v>4.949939187329E-2</v>
      </c>
      <c r="S20" s="330">
        <v>4.949939187329E-2</v>
      </c>
      <c r="U20" s="90"/>
    </row>
    <row r="21" spans="3:21" x14ac:dyDescent="0.25">
      <c r="F21" s="76" t="s">
        <v>44</v>
      </c>
      <c r="G21" s="76" t="s">
        <v>94</v>
      </c>
      <c r="H21" s="92"/>
      <c r="I21" s="92"/>
      <c r="J21" s="233">
        <f>CHOOSE(year_selection, L21,M21,N21,O21,P21,Q21,R21,S21)</f>
        <v>3.3738252973129823E-2</v>
      </c>
      <c r="K21" s="249"/>
      <c r="L21" s="330">
        <v>3.5668125491285174E-2</v>
      </c>
      <c r="M21" s="330">
        <v>2.9858211974375104E-2</v>
      </c>
      <c r="N21" s="330">
        <v>2.6051470328628756E-2</v>
      </c>
      <c r="O21" s="330">
        <v>3.3738252973129823E-2</v>
      </c>
      <c r="P21" s="330">
        <v>3.3738252973129823E-2</v>
      </c>
      <c r="Q21" s="330">
        <v>3.3738252973129823E-2</v>
      </c>
      <c r="R21" s="330">
        <v>3.3738252973129823E-2</v>
      </c>
      <c r="S21" s="330">
        <v>3.3738252973129823E-2</v>
      </c>
      <c r="U21" s="90"/>
    </row>
    <row r="22" spans="3:21" x14ac:dyDescent="0.25">
      <c r="F22" s="76" t="s">
        <v>45</v>
      </c>
      <c r="G22" s="76" t="s">
        <v>94</v>
      </c>
      <c r="H22" s="92"/>
      <c r="I22" s="92"/>
      <c r="J22" s="246"/>
      <c r="K22" s="249"/>
      <c r="L22" s="246"/>
      <c r="M22" s="246"/>
      <c r="N22" s="246"/>
      <c r="O22" s="246"/>
      <c r="P22" s="246"/>
      <c r="Q22" s="246"/>
      <c r="R22" s="246"/>
      <c r="S22" s="246"/>
      <c r="U22" s="90"/>
    </row>
    <row r="23" spans="3:21" x14ac:dyDescent="0.25">
      <c r="F23" s="76" t="s">
        <v>46</v>
      </c>
      <c r="G23" s="76" t="s">
        <v>94</v>
      </c>
      <c r="H23" s="92"/>
      <c r="I23" s="92"/>
      <c r="J23" s="233">
        <f>CHOOSE(year_selection, L23,M23,N23,O23,P23,Q23,R23,S23)</f>
        <v>8.0109547383761193E-2</v>
      </c>
      <c r="K23" s="249"/>
      <c r="L23" s="330">
        <v>6.5335713438606557E-2</v>
      </c>
      <c r="M23" s="330">
        <v>7.7203693448769872E-2</v>
      </c>
      <c r="N23" s="330">
        <v>6.9147848147364854E-2</v>
      </c>
      <c r="O23" s="330">
        <v>8.0109547383761193E-2</v>
      </c>
      <c r="P23" s="330">
        <v>8.0109547383761193E-2</v>
      </c>
      <c r="Q23" s="330">
        <v>8.0109547383761193E-2</v>
      </c>
      <c r="R23" s="330">
        <v>8.0109547383761193E-2</v>
      </c>
      <c r="S23" s="330">
        <v>8.0109547383761193E-2</v>
      </c>
      <c r="U23" s="90"/>
    </row>
    <row r="24" spans="3:21" x14ac:dyDescent="0.25">
      <c r="F24" s="76" t="s">
        <v>47</v>
      </c>
      <c r="G24" s="76" t="s">
        <v>94</v>
      </c>
      <c r="H24" s="92"/>
      <c r="I24" s="92"/>
      <c r="J24" s="246"/>
      <c r="K24" s="249"/>
      <c r="L24" s="246"/>
      <c r="M24" s="246"/>
      <c r="N24" s="246"/>
      <c r="O24" s="246"/>
      <c r="P24" s="246"/>
      <c r="Q24" s="246"/>
      <c r="R24" s="246"/>
      <c r="S24" s="246"/>
      <c r="U24" s="90"/>
    </row>
    <row r="25" spans="3:21" x14ac:dyDescent="0.25">
      <c r="F25" s="76" t="s">
        <v>51</v>
      </c>
      <c r="G25" s="76" t="s">
        <v>94</v>
      </c>
      <c r="H25" s="92"/>
      <c r="I25" s="92"/>
      <c r="J25" s="246"/>
      <c r="K25" s="249"/>
      <c r="L25" s="246"/>
      <c r="M25" s="246"/>
      <c r="N25" s="246"/>
      <c r="O25" s="246"/>
      <c r="P25" s="246"/>
      <c r="Q25" s="246"/>
      <c r="R25" s="246"/>
      <c r="S25" s="246"/>
      <c r="U25" s="90"/>
    </row>
    <row r="26" spans="3:21" x14ac:dyDescent="0.25">
      <c r="F26" s="76" t="s">
        <v>48</v>
      </c>
      <c r="G26" s="76" t="s">
        <v>94</v>
      </c>
      <c r="H26" s="92"/>
      <c r="I26" s="92"/>
      <c r="J26" s="233">
        <f>CHOOSE(year_selection, L26,M26,N26,O26,P26,Q26,R26,S26)</f>
        <v>0.37</v>
      </c>
      <c r="K26" s="249"/>
      <c r="L26" s="330">
        <v>0.37</v>
      </c>
      <c r="M26" s="330">
        <v>0.37</v>
      </c>
      <c r="N26" s="330">
        <v>0.37</v>
      </c>
      <c r="O26" s="330">
        <v>0.37</v>
      </c>
      <c r="P26" s="330">
        <v>0.37</v>
      </c>
      <c r="Q26" s="330">
        <v>0.37</v>
      </c>
      <c r="R26" s="330">
        <v>0.37</v>
      </c>
      <c r="S26" s="330">
        <v>0.37</v>
      </c>
      <c r="U26" s="90"/>
    </row>
    <row r="27" spans="3:21" x14ac:dyDescent="0.25">
      <c r="F27" s="76" t="s">
        <v>49</v>
      </c>
      <c r="G27" s="76" t="s">
        <v>94</v>
      </c>
      <c r="H27" s="92"/>
      <c r="I27" s="92"/>
      <c r="J27" s="246"/>
      <c r="K27" s="249"/>
      <c r="L27" s="246"/>
      <c r="M27" s="246"/>
      <c r="N27" s="246"/>
      <c r="O27" s="246"/>
      <c r="P27" s="246"/>
      <c r="Q27" s="246"/>
      <c r="R27" s="246"/>
      <c r="S27" s="246"/>
      <c r="U27" s="90"/>
    </row>
    <row r="28" spans="3:21" x14ac:dyDescent="0.25">
      <c r="F28" s="15" t="s">
        <v>50</v>
      </c>
      <c r="G28" s="15" t="s">
        <v>94</v>
      </c>
      <c r="H28" s="93"/>
      <c r="I28" s="93"/>
      <c r="J28" s="250"/>
      <c r="K28" s="251"/>
      <c r="L28" s="250"/>
      <c r="M28" s="250"/>
      <c r="N28" s="250"/>
      <c r="O28" s="250"/>
      <c r="P28" s="250"/>
      <c r="Q28" s="250"/>
      <c r="R28" s="250"/>
      <c r="S28" s="250"/>
      <c r="U28" s="90"/>
    </row>
    <row r="29" spans="3:21" x14ac:dyDescent="0.25">
      <c r="J29" s="237"/>
      <c r="K29" s="237"/>
      <c r="L29" s="237"/>
      <c r="M29" s="237"/>
      <c r="N29" s="237"/>
      <c r="O29" s="237"/>
      <c r="P29" s="237"/>
      <c r="Q29" s="237"/>
      <c r="R29" s="237"/>
      <c r="S29" s="237"/>
    </row>
    <row r="30" spans="3:21" s="195" customFormat="1" x14ac:dyDescent="0.25">
      <c r="C30" s="7" t="str">
        <f ca="1">INDEX('Version control'!$H$35:$H$61,MATCH($A$1,'Version control'!$F$35:$F$61,0),1)&amp;"-B: Proportion of EHV/HV load going through 132kV/HV direct transformation"</f>
        <v>Input 502-B: Proportion of EHV/HV load going through 132kV/HV direct transformation</v>
      </c>
      <c r="D30" s="7"/>
      <c r="E30" s="7"/>
      <c r="F30" s="7"/>
      <c r="G30" s="7"/>
      <c r="H30" s="7"/>
      <c r="I30" s="7"/>
      <c r="J30" s="242"/>
      <c r="K30" s="242"/>
      <c r="L30" s="242"/>
      <c r="M30" s="242"/>
      <c r="N30" s="242"/>
      <c r="O30" s="242"/>
      <c r="P30" s="242"/>
      <c r="Q30" s="242"/>
      <c r="R30" s="242"/>
      <c r="S30" s="242"/>
      <c r="T30" s="7"/>
      <c r="U30" s="7"/>
    </row>
    <row r="31" spans="3:21" s="195" customFormat="1" x14ac:dyDescent="0.25">
      <c r="J31" s="252"/>
      <c r="K31" s="252"/>
      <c r="L31" s="252"/>
      <c r="M31" s="252"/>
      <c r="N31" s="252"/>
      <c r="O31" s="252"/>
      <c r="P31" s="252"/>
      <c r="Q31" s="252"/>
      <c r="R31" s="252"/>
      <c r="S31" s="252"/>
    </row>
    <row r="32" spans="3:21" x14ac:dyDescent="0.25">
      <c r="E32" s="146" t="s">
        <v>422</v>
      </c>
      <c r="G32" s="76"/>
      <c r="H32" s="76"/>
      <c r="I32" s="117"/>
      <c r="J32" s="237"/>
      <c r="K32" s="237"/>
      <c r="L32" s="237"/>
      <c r="M32" s="237"/>
      <c r="N32" s="237"/>
      <c r="O32" s="237"/>
      <c r="P32" s="237"/>
      <c r="Q32" s="237"/>
      <c r="R32" s="237"/>
      <c r="S32" s="237"/>
    </row>
    <row r="33" spans="3:21" x14ac:dyDescent="0.25">
      <c r="F33" s="16" t="s">
        <v>267</v>
      </c>
      <c r="G33" s="16" t="s">
        <v>94</v>
      </c>
      <c r="H33" s="91"/>
      <c r="I33" s="91"/>
      <c r="J33" s="244"/>
      <c r="K33" s="245"/>
      <c r="L33" s="244"/>
      <c r="M33" s="244"/>
      <c r="N33" s="244"/>
      <c r="O33" s="244"/>
      <c r="P33" s="244"/>
      <c r="Q33" s="244"/>
      <c r="R33" s="244"/>
      <c r="S33" s="244"/>
      <c r="U33" s="90"/>
    </row>
    <row r="34" spans="3:21" x14ac:dyDescent="0.25">
      <c r="F34" s="76" t="s">
        <v>43</v>
      </c>
      <c r="G34" s="76" t="s">
        <v>94</v>
      </c>
      <c r="H34" s="92"/>
      <c r="I34" s="92"/>
      <c r="J34" s="246"/>
      <c r="K34" s="249"/>
      <c r="L34" s="246"/>
      <c r="M34" s="246"/>
      <c r="N34" s="246"/>
      <c r="O34" s="246"/>
      <c r="P34" s="246"/>
      <c r="Q34" s="246"/>
      <c r="R34" s="246"/>
      <c r="S34" s="246"/>
      <c r="U34" s="90"/>
    </row>
    <row r="35" spans="3:21" x14ac:dyDescent="0.25">
      <c r="F35" s="76" t="s">
        <v>44</v>
      </c>
      <c r="G35" s="76" t="s">
        <v>94</v>
      </c>
      <c r="H35" s="92"/>
      <c r="I35" s="92"/>
      <c r="J35" s="246"/>
      <c r="K35" s="249"/>
      <c r="L35" s="246"/>
      <c r="M35" s="246"/>
      <c r="N35" s="246"/>
      <c r="O35" s="246"/>
      <c r="P35" s="246"/>
      <c r="Q35" s="246"/>
      <c r="R35" s="246"/>
      <c r="S35" s="246"/>
      <c r="U35" s="90"/>
    </row>
    <row r="36" spans="3:21" x14ac:dyDescent="0.25">
      <c r="F36" s="76" t="s">
        <v>45</v>
      </c>
      <c r="G36" s="76" t="s">
        <v>94</v>
      </c>
      <c r="H36" s="92"/>
      <c r="I36" s="92"/>
      <c r="J36" s="246"/>
      <c r="K36" s="249"/>
      <c r="L36" s="246"/>
      <c r="M36" s="246"/>
      <c r="N36" s="246"/>
      <c r="O36" s="246"/>
      <c r="P36" s="246"/>
      <c r="Q36" s="246"/>
      <c r="R36" s="246"/>
      <c r="S36" s="246"/>
      <c r="U36" s="90"/>
    </row>
    <row r="37" spans="3:21" x14ac:dyDescent="0.25">
      <c r="F37" s="76" t="s">
        <v>46</v>
      </c>
      <c r="G37" s="76" t="s">
        <v>94</v>
      </c>
      <c r="H37" s="92"/>
      <c r="I37" s="92"/>
      <c r="J37" s="246"/>
      <c r="K37" s="249"/>
      <c r="L37" s="246"/>
      <c r="M37" s="246"/>
      <c r="N37" s="246"/>
      <c r="O37" s="246"/>
      <c r="P37" s="246"/>
      <c r="Q37" s="246"/>
      <c r="R37" s="246"/>
      <c r="S37" s="246"/>
      <c r="U37" s="90"/>
    </row>
    <row r="38" spans="3:21" x14ac:dyDescent="0.25">
      <c r="F38" s="76" t="s">
        <v>47</v>
      </c>
      <c r="G38" s="76" t="s">
        <v>94</v>
      </c>
      <c r="H38" s="92"/>
      <c r="I38" s="92"/>
      <c r="J38" s="246"/>
      <c r="K38" s="249"/>
      <c r="L38" s="246"/>
      <c r="M38" s="246"/>
      <c r="N38" s="246"/>
      <c r="O38" s="246"/>
      <c r="P38" s="246"/>
      <c r="Q38" s="246"/>
      <c r="R38" s="246"/>
      <c r="S38" s="246"/>
      <c r="U38" s="90"/>
    </row>
    <row r="39" spans="3:21" x14ac:dyDescent="0.25">
      <c r="F39" s="76" t="s">
        <v>51</v>
      </c>
      <c r="G39" s="76" t="s">
        <v>94</v>
      </c>
      <c r="H39" s="92"/>
      <c r="I39" s="92"/>
      <c r="J39" s="233">
        <f>CHOOSE(year_selection, L39,M39,N39,O39,P39,Q39,R39,S39)</f>
        <v>0</v>
      </c>
      <c r="K39" s="249"/>
      <c r="L39" s="330"/>
      <c r="M39" s="330"/>
      <c r="N39" s="330"/>
      <c r="O39" s="330"/>
      <c r="P39" s="330"/>
      <c r="Q39" s="330"/>
      <c r="R39" s="330"/>
      <c r="S39" s="330"/>
      <c r="U39" s="90"/>
    </row>
    <row r="40" spans="3:21" x14ac:dyDescent="0.25">
      <c r="F40" s="76" t="s">
        <v>48</v>
      </c>
      <c r="G40" s="76" t="s">
        <v>94</v>
      </c>
      <c r="H40" s="92"/>
      <c r="I40" s="92"/>
      <c r="J40" s="246"/>
      <c r="K40" s="249"/>
      <c r="L40" s="246"/>
      <c r="M40" s="246"/>
      <c r="N40" s="246"/>
      <c r="O40" s="246"/>
      <c r="P40" s="246"/>
      <c r="Q40" s="246"/>
      <c r="R40" s="246"/>
      <c r="S40" s="246"/>
      <c r="U40" s="90"/>
    </row>
    <row r="41" spans="3:21" x14ac:dyDescent="0.25">
      <c r="F41" s="76" t="s">
        <v>49</v>
      </c>
      <c r="G41" s="76" t="s">
        <v>94</v>
      </c>
      <c r="H41" s="92"/>
      <c r="I41" s="92"/>
      <c r="J41" s="246"/>
      <c r="K41" s="249"/>
      <c r="L41" s="246"/>
      <c r="M41" s="246"/>
      <c r="N41" s="246"/>
      <c r="O41" s="246"/>
      <c r="P41" s="246"/>
      <c r="Q41" s="246"/>
      <c r="R41" s="246"/>
      <c r="S41" s="246"/>
      <c r="U41" s="90"/>
    </row>
    <row r="42" spans="3:21" x14ac:dyDescent="0.25">
      <c r="F42" s="15" t="s">
        <v>50</v>
      </c>
      <c r="G42" s="15" t="s">
        <v>94</v>
      </c>
      <c r="H42" s="93"/>
      <c r="I42" s="93"/>
      <c r="J42" s="250"/>
      <c r="K42" s="251"/>
      <c r="L42" s="250"/>
      <c r="M42" s="250"/>
      <c r="N42" s="250"/>
      <c r="O42" s="250"/>
      <c r="P42" s="250"/>
      <c r="Q42" s="250"/>
      <c r="R42" s="250"/>
      <c r="S42" s="250"/>
      <c r="U42" s="90"/>
    </row>
    <row r="43" spans="3:21" x14ac:dyDescent="0.25">
      <c r="J43" s="237"/>
      <c r="K43" s="237"/>
      <c r="L43" s="237"/>
      <c r="M43" s="237"/>
      <c r="N43" s="237"/>
      <c r="O43" s="237"/>
      <c r="P43" s="237"/>
      <c r="Q43" s="237"/>
      <c r="R43" s="237"/>
      <c r="S43" s="237"/>
    </row>
    <row r="44" spans="3:21" s="195" customFormat="1" x14ac:dyDescent="0.25">
      <c r="C44" s="7" t="str">
        <f ca="1">INDEX('Version control'!$H$35:$H$61,MATCH($A$1,'Version control'!$F$35:$F$61,0),1)&amp;"-C: Loss adjustment factors to transmission"</f>
        <v>Input 502-C: Loss adjustment factors to transmission</v>
      </c>
      <c r="D44" s="7"/>
      <c r="E44" s="7"/>
      <c r="F44" s="7"/>
      <c r="G44" s="7"/>
      <c r="H44" s="7"/>
      <c r="I44" s="7"/>
      <c r="J44" s="242"/>
      <c r="K44" s="242"/>
      <c r="L44" s="242"/>
      <c r="M44" s="242"/>
      <c r="N44" s="242"/>
      <c r="O44" s="242"/>
      <c r="P44" s="242"/>
      <c r="Q44" s="242"/>
      <c r="R44" s="242"/>
      <c r="S44" s="242"/>
      <c r="T44" s="7"/>
      <c r="U44" s="7"/>
    </row>
    <row r="45" spans="3:21" s="195" customFormat="1" x14ac:dyDescent="0.25">
      <c r="J45" s="252"/>
      <c r="K45" s="252"/>
      <c r="L45" s="252"/>
      <c r="M45" s="252"/>
      <c r="N45" s="252"/>
      <c r="O45" s="252"/>
      <c r="P45" s="252"/>
      <c r="Q45" s="252"/>
      <c r="R45" s="252"/>
      <c r="S45" s="252"/>
    </row>
    <row r="46" spans="3:21" x14ac:dyDescent="0.25">
      <c r="E46" s="146" t="s">
        <v>196</v>
      </c>
      <c r="F46" s="76"/>
      <c r="G46" s="76"/>
      <c r="H46" s="92"/>
      <c r="I46" s="85" t="s">
        <v>359</v>
      </c>
      <c r="J46" s="237"/>
      <c r="K46" s="237"/>
      <c r="L46" s="237"/>
      <c r="M46" s="237"/>
      <c r="N46" s="237"/>
      <c r="O46" s="237"/>
      <c r="P46" s="237"/>
      <c r="Q46" s="237"/>
      <c r="R46" s="237"/>
      <c r="S46" s="237"/>
      <c r="U46" s="90" t="s">
        <v>693</v>
      </c>
    </row>
    <row r="47" spans="3:21" x14ac:dyDescent="0.25">
      <c r="E47" s="76"/>
      <c r="F47" s="16" t="s">
        <v>267</v>
      </c>
      <c r="G47" s="16" t="s">
        <v>427</v>
      </c>
      <c r="H47" s="91"/>
      <c r="I47" s="91"/>
      <c r="J47" s="244"/>
      <c r="K47" s="245"/>
      <c r="L47" s="244"/>
      <c r="M47" s="244"/>
      <c r="N47" s="244"/>
      <c r="O47" s="244"/>
      <c r="P47" s="244"/>
      <c r="Q47" s="244"/>
      <c r="R47" s="244"/>
      <c r="S47" s="244"/>
      <c r="U47" s="90"/>
    </row>
    <row r="48" spans="3:21" x14ac:dyDescent="0.25">
      <c r="E48" s="76"/>
      <c r="F48" s="76" t="s">
        <v>43</v>
      </c>
      <c r="G48" s="76" t="s">
        <v>427</v>
      </c>
      <c r="H48" s="92"/>
      <c r="I48" s="92"/>
      <c r="J48" s="233">
        <f>CHOOSE(year_selection, L48,M48,N48,O48,P48,Q48,R48,S48)</f>
        <v>1</v>
      </c>
      <c r="K48" s="247"/>
      <c r="L48" s="330">
        <v>1</v>
      </c>
      <c r="M48" s="330">
        <v>1</v>
      </c>
      <c r="N48" s="330">
        <v>1</v>
      </c>
      <c r="O48" s="330">
        <v>1</v>
      </c>
      <c r="P48" s="330">
        <v>1</v>
      </c>
      <c r="Q48" s="330">
        <v>1</v>
      </c>
      <c r="R48" s="330">
        <v>1</v>
      </c>
      <c r="S48" s="330">
        <v>1</v>
      </c>
      <c r="U48" s="90"/>
    </row>
    <row r="49" spans="3:22" x14ac:dyDescent="0.25">
      <c r="E49" s="76"/>
      <c r="F49" s="76" t="s">
        <v>44</v>
      </c>
      <c r="G49" s="76" t="s">
        <v>427</v>
      </c>
      <c r="H49" s="92"/>
      <c r="I49" s="92"/>
      <c r="J49" s="233">
        <f>CHOOSE(year_selection, L49,M49,N49,O49,P49,Q49,R49,S49)</f>
        <v>1.004</v>
      </c>
      <c r="K49" s="247"/>
      <c r="L49" s="330">
        <v>1.0049999999999999</v>
      </c>
      <c r="M49" s="330">
        <v>1.0049999999999999</v>
      </c>
      <c r="N49" s="330">
        <v>1.004</v>
      </c>
      <c r="O49" s="330">
        <v>1.004</v>
      </c>
      <c r="P49" s="330">
        <v>1.004</v>
      </c>
      <c r="Q49" s="330">
        <v>1.004</v>
      </c>
      <c r="R49" s="330">
        <v>1.004</v>
      </c>
      <c r="S49" s="330">
        <v>1.004</v>
      </c>
      <c r="U49" s="90"/>
      <c r="V49" s="90"/>
    </row>
    <row r="50" spans="3:22" x14ac:dyDescent="0.25">
      <c r="E50" s="76"/>
      <c r="F50" s="76" t="s">
        <v>45</v>
      </c>
      <c r="G50" s="76" t="s">
        <v>427</v>
      </c>
      <c r="H50" s="92"/>
      <c r="I50" s="92"/>
      <c r="J50" s="233">
        <f>CHOOSE(year_selection, L50,M50,N50,O50,P50,Q50,R50,S50)</f>
        <v>1.008</v>
      </c>
      <c r="K50" s="247"/>
      <c r="L50" s="330">
        <v>1.008</v>
      </c>
      <c r="M50" s="330">
        <v>1.0089999999999999</v>
      </c>
      <c r="N50" s="330">
        <v>1.008</v>
      </c>
      <c r="O50" s="330">
        <v>1.008</v>
      </c>
      <c r="P50" s="330">
        <v>1.008</v>
      </c>
      <c r="Q50" s="330">
        <v>1.008</v>
      </c>
      <c r="R50" s="330">
        <v>1.008</v>
      </c>
      <c r="S50" s="330">
        <v>1.008</v>
      </c>
      <c r="U50" s="90"/>
      <c r="V50" s="90"/>
    </row>
    <row r="51" spans="3:22" x14ac:dyDescent="0.25">
      <c r="E51" s="76"/>
      <c r="F51" s="76" t="s">
        <v>46</v>
      </c>
      <c r="G51" s="76" t="s">
        <v>427</v>
      </c>
      <c r="H51" s="92"/>
      <c r="I51" s="92"/>
      <c r="J51" s="233">
        <f>CHOOSE(year_selection, L51,M51,N51,O51,P51,Q51,R51,S51)</f>
        <v>1.014</v>
      </c>
      <c r="K51" s="247"/>
      <c r="L51" s="330">
        <v>1.016</v>
      </c>
      <c r="M51" s="330">
        <v>1.016</v>
      </c>
      <c r="N51" s="330">
        <v>1.014</v>
      </c>
      <c r="O51" s="330">
        <v>1.014</v>
      </c>
      <c r="P51" s="330">
        <v>1.014</v>
      </c>
      <c r="Q51" s="330">
        <v>1.014</v>
      </c>
      <c r="R51" s="330">
        <v>1.014</v>
      </c>
      <c r="S51" s="330">
        <v>1.014</v>
      </c>
      <c r="U51" s="90"/>
      <c r="V51" s="90"/>
    </row>
    <row r="52" spans="3:22" x14ac:dyDescent="0.25">
      <c r="E52" s="76"/>
      <c r="F52" s="76" t="s">
        <v>47</v>
      </c>
      <c r="G52" s="76" t="s">
        <v>427</v>
      </c>
      <c r="H52" s="92"/>
      <c r="I52" s="92"/>
      <c r="J52" s="233">
        <f>CHOOSE(year_selection, L52,M52,N52,O52,P52,Q52,R52,S52)</f>
        <v>1.02</v>
      </c>
      <c r="K52" s="247"/>
      <c r="L52" s="330">
        <v>1.0209999999999999</v>
      </c>
      <c r="M52" s="330">
        <v>1.022</v>
      </c>
      <c r="N52" s="330">
        <v>1.0189999999999999</v>
      </c>
      <c r="O52" s="330">
        <v>1.02</v>
      </c>
      <c r="P52" s="330">
        <v>1.02</v>
      </c>
      <c r="Q52" s="330">
        <v>1.02</v>
      </c>
      <c r="R52" s="330">
        <v>1.02</v>
      </c>
      <c r="S52" s="330">
        <v>1.02</v>
      </c>
      <c r="U52" s="90"/>
      <c r="V52" s="90"/>
    </row>
    <row r="53" spans="3:22" x14ac:dyDescent="0.25">
      <c r="E53" s="76"/>
      <c r="F53" s="76" t="s">
        <v>51</v>
      </c>
      <c r="G53" s="76" t="s">
        <v>427</v>
      </c>
      <c r="H53" s="92"/>
      <c r="I53" s="92"/>
      <c r="J53" s="246"/>
      <c r="K53" s="247"/>
      <c r="L53" s="246"/>
      <c r="M53" s="246"/>
      <c r="N53" s="246"/>
      <c r="O53" s="246"/>
      <c r="P53" s="246"/>
      <c r="Q53" s="246"/>
      <c r="R53" s="246"/>
      <c r="S53" s="246"/>
      <c r="U53" s="90"/>
      <c r="V53" s="90"/>
    </row>
    <row r="54" spans="3:22" x14ac:dyDescent="0.25">
      <c r="E54" s="76"/>
      <c r="F54" s="76" t="s">
        <v>48</v>
      </c>
      <c r="G54" s="76" t="s">
        <v>427</v>
      </c>
      <c r="H54" s="92"/>
      <c r="I54" s="92"/>
      <c r="J54" s="233">
        <f>CHOOSE(year_selection, L54,M54,N54,O54,P54,Q54,R54,S54)</f>
        <v>1.0289999999999999</v>
      </c>
      <c r="K54" s="247"/>
      <c r="L54" s="330">
        <v>1.0309999999999999</v>
      </c>
      <c r="M54" s="330">
        <v>1.032</v>
      </c>
      <c r="N54" s="330">
        <v>1.028</v>
      </c>
      <c r="O54" s="562">
        <v>1.0289999999999999</v>
      </c>
      <c r="P54" s="562">
        <v>1.0289999999999999</v>
      </c>
      <c r="Q54" s="562">
        <v>1.0289999999999999</v>
      </c>
      <c r="R54" s="562">
        <v>1.0289999999999999</v>
      </c>
      <c r="S54" s="562">
        <v>1.0289999999999999</v>
      </c>
      <c r="U54" s="90"/>
      <c r="V54" s="90"/>
    </row>
    <row r="55" spans="3:22" x14ac:dyDescent="0.25">
      <c r="E55" s="76"/>
      <c r="F55" s="76" t="s">
        <v>49</v>
      </c>
      <c r="G55" s="76" t="s">
        <v>427</v>
      </c>
      <c r="H55" s="92"/>
      <c r="I55" s="92"/>
      <c r="J55" s="233">
        <f>CHOOSE(year_selection, L55,M55,N55,O55,P55,Q55,R55,S55)</f>
        <v>1.044</v>
      </c>
      <c r="K55" s="247"/>
      <c r="L55" s="330">
        <v>1.046</v>
      </c>
      <c r="M55" s="330">
        <v>1.0469999999999999</v>
      </c>
      <c r="N55" s="330">
        <v>1.044</v>
      </c>
      <c r="O55" s="562">
        <v>1.044</v>
      </c>
      <c r="P55" s="562">
        <v>1.044</v>
      </c>
      <c r="Q55" s="562">
        <v>1.044</v>
      </c>
      <c r="R55" s="562">
        <v>1.044</v>
      </c>
      <c r="S55" s="562">
        <v>1.044</v>
      </c>
      <c r="U55" s="90"/>
      <c r="V55" s="90"/>
    </row>
    <row r="56" spans="3:22" x14ac:dyDescent="0.25">
      <c r="E56" s="76"/>
      <c r="F56" s="15" t="s">
        <v>50</v>
      </c>
      <c r="G56" s="15" t="s">
        <v>427</v>
      </c>
      <c r="H56" s="93"/>
      <c r="I56" s="93"/>
      <c r="J56" s="235">
        <f>CHOOSE(year_selection, L56,M56,N56,O56,P56,Q56,R56,S56)</f>
        <v>1.0880000000000001</v>
      </c>
      <c r="K56" s="248"/>
      <c r="L56" s="331">
        <v>1.089</v>
      </c>
      <c r="M56" s="331">
        <v>1.0940000000000001</v>
      </c>
      <c r="N56" s="331">
        <v>1.0880000000000001</v>
      </c>
      <c r="O56" s="334">
        <v>1.0880000000000001</v>
      </c>
      <c r="P56" s="334">
        <v>1.0880000000000001</v>
      </c>
      <c r="Q56" s="334">
        <v>1.0880000000000001</v>
      </c>
      <c r="R56" s="334">
        <v>1.0880000000000001</v>
      </c>
      <c r="S56" s="334">
        <v>1.0880000000000001</v>
      </c>
      <c r="U56" s="90"/>
      <c r="V56" s="90"/>
    </row>
    <row r="57" spans="3:22" x14ac:dyDescent="0.25">
      <c r="J57" s="237"/>
      <c r="K57" s="237"/>
      <c r="L57" s="237"/>
      <c r="M57" s="237"/>
      <c r="N57" s="237"/>
      <c r="O57" s="237"/>
      <c r="P57" s="237"/>
      <c r="Q57" s="237"/>
      <c r="R57" s="237"/>
      <c r="S57" s="237"/>
    </row>
    <row r="58" spans="3:22" s="195" customFormat="1" x14ac:dyDescent="0.25">
      <c r="C58" s="7" t="str">
        <f ca="1">INDEX('Version control'!$H$35:$H$61,MATCH($A$1,'Version control'!$F$35:$F$61,0),1)&amp;"-D: Average kVAr by kVA, by network level"</f>
        <v>Input 502-D: Average kVAr by kVA, by network level</v>
      </c>
      <c r="D58" s="7"/>
      <c r="E58" s="7"/>
      <c r="F58" s="7"/>
      <c r="G58" s="7"/>
      <c r="H58" s="7"/>
      <c r="I58" s="7"/>
      <c r="J58" s="242"/>
      <c r="K58" s="242"/>
      <c r="L58" s="242"/>
      <c r="M58" s="242"/>
      <c r="N58" s="242"/>
      <c r="O58" s="242"/>
      <c r="P58" s="242"/>
      <c r="Q58" s="242"/>
      <c r="R58" s="242"/>
      <c r="S58" s="242"/>
      <c r="T58" s="7"/>
      <c r="U58" s="7"/>
    </row>
    <row r="59" spans="3:22" s="195" customFormat="1" x14ac:dyDescent="0.25">
      <c r="J59" s="252"/>
      <c r="K59" s="252"/>
      <c r="L59" s="252"/>
      <c r="M59" s="252"/>
      <c r="N59" s="252"/>
      <c r="O59" s="252"/>
      <c r="P59" s="252"/>
      <c r="Q59" s="252"/>
      <c r="R59" s="252"/>
      <c r="S59" s="252"/>
    </row>
    <row r="60" spans="3:22" x14ac:dyDescent="0.25">
      <c r="E60" s="146" t="s">
        <v>89</v>
      </c>
      <c r="F60" s="76"/>
      <c r="G60" s="76"/>
      <c r="H60" s="92"/>
      <c r="I60" s="85" t="s">
        <v>359</v>
      </c>
      <c r="J60" s="237"/>
      <c r="K60" s="237"/>
      <c r="L60" s="237"/>
      <c r="M60" s="237"/>
      <c r="N60" s="237"/>
      <c r="O60" s="237"/>
      <c r="P60" s="237"/>
      <c r="Q60" s="237"/>
      <c r="R60" s="237"/>
      <c r="S60" s="237"/>
      <c r="U60" s="90" t="s">
        <v>810</v>
      </c>
    </row>
    <row r="61" spans="3:22" x14ac:dyDescent="0.25">
      <c r="E61" s="76"/>
      <c r="F61" s="16" t="s">
        <v>267</v>
      </c>
      <c r="G61" s="16" t="s">
        <v>209</v>
      </c>
      <c r="H61" s="91"/>
      <c r="I61" s="91"/>
      <c r="J61" s="238"/>
      <c r="K61" s="253"/>
      <c r="L61" s="238"/>
      <c r="M61" s="238"/>
      <c r="N61" s="238"/>
      <c r="O61" s="238"/>
      <c r="P61" s="238"/>
      <c r="Q61" s="238"/>
      <c r="R61" s="238"/>
      <c r="S61" s="238"/>
      <c r="U61" s="90"/>
    </row>
    <row r="62" spans="3:22" x14ac:dyDescent="0.25">
      <c r="E62" s="76"/>
      <c r="F62" s="76" t="s">
        <v>43</v>
      </c>
      <c r="G62" s="76" t="s">
        <v>209</v>
      </c>
      <c r="H62" s="92"/>
      <c r="I62" s="92"/>
      <c r="J62" s="233">
        <f t="shared" ref="J62:J70" si="0">CHOOSE(year_selection, L62,M62,N62,O62,P62,Q62,R62,S62)</f>
        <v>0.22971048873866273</v>
      </c>
      <c r="K62" s="247"/>
      <c r="L62" s="330">
        <v>0.22971048873866273</v>
      </c>
      <c r="M62" s="330">
        <v>0.22971048873866273</v>
      </c>
      <c r="N62" s="330">
        <v>0.22971048873866273</v>
      </c>
      <c r="O62" s="330">
        <v>0.22971048873866273</v>
      </c>
      <c r="P62" s="330">
        <v>0.22971048873866273</v>
      </c>
      <c r="Q62" s="330">
        <v>0.22971048873866273</v>
      </c>
      <c r="R62" s="330">
        <v>0.22971048873866273</v>
      </c>
      <c r="S62" s="330">
        <v>0.22971048873866273</v>
      </c>
      <c r="U62" s="90"/>
    </row>
    <row r="63" spans="3:22" x14ac:dyDescent="0.25">
      <c r="E63" s="76"/>
      <c r="F63" s="76" t="s">
        <v>44</v>
      </c>
      <c r="G63" s="76" t="s">
        <v>209</v>
      </c>
      <c r="H63" s="92"/>
      <c r="I63" s="92"/>
      <c r="J63" s="233">
        <f t="shared" si="0"/>
        <v>0.22971048873866273</v>
      </c>
      <c r="K63" s="247"/>
      <c r="L63" s="330">
        <v>0.22971048873866273</v>
      </c>
      <c r="M63" s="330">
        <v>0.22971048873866273</v>
      </c>
      <c r="N63" s="330">
        <v>0.22971048873866273</v>
      </c>
      <c r="O63" s="330">
        <v>0.22971048873866273</v>
      </c>
      <c r="P63" s="330">
        <v>0.22971048873866273</v>
      </c>
      <c r="Q63" s="330">
        <v>0.22971048873866273</v>
      </c>
      <c r="R63" s="330">
        <v>0.22971048873866273</v>
      </c>
      <c r="S63" s="330">
        <v>0.22971048873866273</v>
      </c>
      <c r="U63" s="90"/>
    </row>
    <row r="64" spans="3:22" x14ac:dyDescent="0.25">
      <c r="E64" s="76"/>
      <c r="F64" s="76" t="s">
        <v>45</v>
      </c>
      <c r="G64" s="76" t="s">
        <v>209</v>
      </c>
      <c r="H64" s="92"/>
      <c r="I64" s="92"/>
      <c r="J64" s="233">
        <f t="shared" si="0"/>
        <v>0.22971048873866273</v>
      </c>
      <c r="K64" s="247"/>
      <c r="L64" s="330">
        <v>0.22971048873866273</v>
      </c>
      <c r="M64" s="330">
        <v>0.22971048873866273</v>
      </c>
      <c r="N64" s="330">
        <v>0.22971048873866273</v>
      </c>
      <c r="O64" s="330">
        <v>0.22971048873866273</v>
      </c>
      <c r="P64" s="330">
        <v>0.22971048873866273</v>
      </c>
      <c r="Q64" s="330">
        <v>0.22971048873866273</v>
      </c>
      <c r="R64" s="330">
        <v>0.22971048873866273</v>
      </c>
      <c r="S64" s="330">
        <v>0.22971048873866273</v>
      </c>
      <c r="U64" s="90"/>
    </row>
    <row r="65" spans="2:21" x14ac:dyDescent="0.25">
      <c r="E65" s="76"/>
      <c r="F65" s="76" t="s">
        <v>46</v>
      </c>
      <c r="G65" s="76" t="s">
        <v>209</v>
      </c>
      <c r="H65" s="92"/>
      <c r="I65" s="92"/>
      <c r="J65" s="233">
        <f t="shared" si="0"/>
        <v>0.22971048873866273</v>
      </c>
      <c r="K65" s="247"/>
      <c r="L65" s="330">
        <v>0.22971048873866273</v>
      </c>
      <c r="M65" s="330">
        <v>0.22971048873866273</v>
      </c>
      <c r="N65" s="330">
        <v>0.22971048873866273</v>
      </c>
      <c r="O65" s="330">
        <v>0.22971048873866273</v>
      </c>
      <c r="P65" s="330">
        <v>0.22971048873866273</v>
      </c>
      <c r="Q65" s="330">
        <v>0.22971048873866273</v>
      </c>
      <c r="R65" s="330">
        <v>0.22971048873866273</v>
      </c>
      <c r="S65" s="330">
        <v>0.22971048873866273</v>
      </c>
      <c r="U65" s="90"/>
    </row>
    <row r="66" spans="2:21" x14ac:dyDescent="0.25">
      <c r="E66" s="76"/>
      <c r="F66" s="76" t="s">
        <v>47</v>
      </c>
      <c r="G66" s="76" t="s">
        <v>209</v>
      </c>
      <c r="H66" s="92"/>
      <c r="I66" s="92"/>
      <c r="J66" s="233">
        <f t="shared" si="0"/>
        <v>0.22971048873866273</v>
      </c>
      <c r="K66" s="247"/>
      <c r="L66" s="330">
        <v>0.22971048873866273</v>
      </c>
      <c r="M66" s="330">
        <v>0.22971048873866273</v>
      </c>
      <c r="N66" s="330">
        <v>0.22971048873866273</v>
      </c>
      <c r="O66" s="330">
        <v>0.22971048873866273</v>
      </c>
      <c r="P66" s="330">
        <v>0.22971048873866273</v>
      </c>
      <c r="Q66" s="330">
        <v>0.22971048873866273</v>
      </c>
      <c r="R66" s="330">
        <v>0.22971048873866273</v>
      </c>
      <c r="S66" s="330">
        <v>0.22971048873866273</v>
      </c>
      <c r="U66" s="90"/>
    </row>
    <row r="67" spans="2:21" x14ac:dyDescent="0.25">
      <c r="E67" s="76"/>
      <c r="F67" s="76" t="s">
        <v>51</v>
      </c>
      <c r="G67" s="76" t="s">
        <v>209</v>
      </c>
      <c r="H67" s="92"/>
      <c r="I67" s="92"/>
      <c r="J67" s="233">
        <f t="shared" si="0"/>
        <v>0</v>
      </c>
      <c r="K67" s="247"/>
      <c r="L67" s="330">
        <v>0</v>
      </c>
      <c r="M67" s="330">
        <v>0</v>
      </c>
      <c r="N67" s="330">
        <v>0</v>
      </c>
      <c r="O67" s="330">
        <v>0</v>
      </c>
      <c r="P67" s="330">
        <v>0</v>
      </c>
      <c r="Q67" s="330">
        <v>0</v>
      </c>
      <c r="R67" s="330">
        <v>0</v>
      </c>
      <c r="S67" s="330">
        <v>0</v>
      </c>
      <c r="U67" s="90"/>
    </row>
    <row r="68" spans="2:21" x14ac:dyDescent="0.25">
      <c r="E68" s="76"/>
      <c r="F68" s="76" t="s">
        <v>48</v>
      </c>
      <c r="G68" s="76" t="s">
        <v>209</v>
      </c>
      <c r="H68" s="92"/>
      <c r="I68" s="92"/>
      <c r="J68" s="233">
        <f t="shared" si="0"/>
        <v>0.22971048873866273</v>
      </c>
      <c r="K68" s="247"/>
      <c r="L68" s="330">
        <v>0.22971048873866273</v>
      </c>
      <c r="M68" s="330">
        <v>0.22971048873866273</v>
      </c>
      <c r="N68" s="330">
        <v>0.22971048873866273</v>
      </c>
      <c r="O68" s="330">
        <v>0.22971048873866273</v>
      </c>
      <c r="P68" s="330">
        <v>0.22971048873866273</v>
      </c>
      <c r="Q68" s="330">
        <v>0.22971048873866273</v>
      </c>
      <c r="R68" s="330">
        <v>0.22971048873866273</v>
      </c>
      <c r="S68" s="330">
        <v>0.22971048873866273</v>
      </c>
      <c r="U68" s="90"/>
    </row>
    <row r="69" spans="2:21" x14ac:dyDescent="0.25">
      <c r="E69" s="76"/>
      <c r="F69" s="76" t="s">
        <v>49</v>
      </c>
      <c r="G69" s="76" t="s">
        <v>209</v>
      </c>
      <c r="H69" s="92"/>
      <c r="I69" s="92"/>
      <c r="J69" s="233">
        <f t="shared" si="0"/>
        <v>0.22971048873866273</v>
      </c>
      <c r="K69" s="247"/>
      <c r="L69" s="330">
        <v>0.22971048873866273</v>
      </c>
      <c r="M69" s="330">
        <v>0.22971048873866273</v>
      </c>
      <c r="N69" s="330">
        <v>0.22971048873866273</v>
      </c>
      <c r="O69" s="330">
        <v>0.22971048873866273</v>
      </c>
      <c r="P69" s="330">
        <v>0.22971048873866273</v>
      </c>
      <c r="Q69" s="330">
        <v>0.22971048873866273</v>
      </c>
      <c r="R69" s="330">
        <v>0.22971048873866273</v>
      </c>
      <c r="S69" s="330">
        <v>0.22971048873866273</v>
      </c>
      <c r="U69" s="90"/>
    </row>
    <row r="70" spans="2:21" x14ac:dyDescent="0.25">
      <c r="E70" s="76"/>
      <c r="F70" s="15" t="s">
        <v>50</v>
      </c>
      <c r="G70" s="15" t="s">
        <v>209</v>
      </c>
      <c r="H70" s="93"/>
      <c r="I70" s="93"/>
      <c r="J70" s="235">
        <f t="shared" si="0"/>
        <v>0.22971048873866273</v>
      </c>
      <c r="K70" s="248"/>
      <c r="L70" s="331">
        <v>0.22971048873866273</v>
      </c>
      <c r="M70" s="331">
        <v>0.22971048873866273</v>
      </c>
      <c r="N70" s="331">
        <v>0.22971048873866273</v>
      </c>
      <c r="O70" s="331">
        <v>0.22971048873866273</v>
      </c>
      <c r="P70" s="331">
        <v>0.22971048873866273</v>
      </c>
      <c r="Q70" s="331">
        <v>0.22971048873866273</v>
      </c>
      <c r="R70" s="331">
        <v>0.22971048873866273</v>
      </c>
      <c r="S70" s="331">
        <v>0.22971048873866273</v>
      </c>
      <c r="U70" s="90"/>
    </row>
    <row r="71" spans="2:21" x14ac:dyDescent="0.25">
      <c r="J71" s="111"/>
      <c r="K71" s="111"/>
      <c r="L71" s="111"/>
      <c r="M71" s="111"/>
      <c r="N71" s="111"/>
      <c r="O71" s="111"/>
      <c r="P71" s="111"/>
      <c r="Q71" s="111"/>
      <c r="R71" s="111"/>
      <c r="S71" s="111"/>
    </row>
    <row r="72" spans="2:21" s="195" customFormat="1" x14ac:dyDescent="0.25">
      <c r="C72" s="7" t="str">
        <f ca="1">INDEX('Version control'!$H$35:$H$61,MATCH($A$1,'Version control'!$F$35:$F$61,0),1)&amp;"-E: Customer contributions under current connection charging policy"</f>
        <v>Input 502-E: Customer contributions under current connection charging policy</v>
      </c>
      <c r="D72" s="7"/>
      <c r="E72" s="7"/>
      <c r="F72" s="7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</row>
    <row r="73" spans="2:21" s="195" customFormat="1" x14ac:dyDescent="0.25">
      <c r="L73" s="293"/>
      <c r="M73" s="293"/>
      <c r="N73" s="293"/>
      <c r="P73" s="293"/>
      <c r="Q73" s="293"/>
      <c r="R73" s="293"/>
      <c r="S73" s="293"/>
    </row>
    <row r="74" spans="2:21" x14ac:dyDescent="0.25">
      <c r="B74" s="96"/>
      <c r="D74" s="96" t="s">
        <v>205</v>
      </c>
      <c r="I74" s="85" t="s">
        <v>359</v>
      </c>
      <c r="J74" s="111"/>
      <c r="K74" s="111"/>
      <c r="L74" s="111"/>
      <c r="M74" s="111"/>
      <c r="N74" s="111"/>
      <c r="O74" s="111"/>
      <c r="P74" s="111"/>
      <c r="Q74" s="111"/>
      <c r="R74" s="111"/>
      <c r="S74" s="111"/>
      <c r="U74" s="85" t="s">
        <v>811</v>
      </c>
    </row>
    <row r="75" spans="2:21" x14ac:dyDescent="0.25">
      <c r="E75" s="146" t="s">
        <v>80</v>
      </c>
      <c r="J75" s="111"/>
      <c r="K75" s="111"/>
      <c r="L75" s="111"/>
      <c r="M75" s="111"/>
      <c r="N75" s="111"/>
      <c r="O75" s="111"/>
      <c r="P75" s="111"/>
      <c r="Q75" s="111"/>
      <c r="R75" s="111"/>
      <c r="S75" s="111"/>
    </row>
    <row r="76" spans="2:21" x14ac:dyDescent="0.25">
      <c r="E76" s="76"/>
      <c r="F76" s="16" t="s">
        <v>267</v>
      </c>
      <c r="G76" s="16" t="s">
        <v>94</v>
      </c>
      <c r="H76" s="91"/>
      <c r="I76" s="91"/>
      <c r="J76" s="170"/>
      <c r="K76" s="431"/>
      <c r="L76" s="170"/>
      <c r="M76" s="170"/>
      <c r="N76" s="170"/>
      <c r="O76" s="170"/>
      <c r="P76" s="170"/>
      <c r="Q76" s="170"/>
      <c r="R76" s="170"/>
      <c r="S76" s="170"/>
      <c r="U76" s="90"/>
    </row>
    <row r="77" spans="2:21" x14ac:dyDescent="0.25">
      <c r="E77" s="76"/>
      <c r="F77" s="76" t="s">
        <v>43</v>
      </c>
      <c r="G77" s="76" t="s">
        <v>94</v>
      </c>
      <c r="H77" s="92"/>
      <c r="I77" s="92"/>
      <c r="J77" s="159"/>
      <c r="K77" s="432"/>
      <c r="L77" s="159"/>
      <c r="M77" s="159"/>
      <c r="N77" s="159"/>
      <c r="O77" s="159"/>
      <c r="P77" s="159"/>
      <c r="Q77" s="159"/>
      <c r="R77" s="159"/>
      <c r="S77" s="159"/>
      <c r="U77" s="90"/>
    </row>
    <row r="78" spans="2:21" x14ac:dyDescent="0.25">
      <c r="E78" s="76"/>
      <c r="F78" s="76" t="s">
        <v>44</v>
      </c>
      <c r="G78" s="76" t="s">
        <v>94</v>
      </c>
      <c r="H78" s="92"/>
      <c r="I78" s="92"/>
      <c r="J78" s="185">
        <f>CHOOSE(year_selection, L78,M78,N78,O78,P78,Q78,R78,S78)</f>
        <v>0</v>
      </c>
      <c r="K78" s="432"/>
      <c r="L78" s="324">
        <v>0</v>
      </c>
      <c r="M78" s="324">
        <v>0</v>
      </c>
      <c r="N78" s="324">
        <v>0</v>
      </c>
      <c r="O78" s="324">
        <v>0</v>
      </c>
      <c r="P78" s="324">
        <v>0</v>
      </c>
      <c r="Q78" s="324">
        <v>0</v>
      </c>
      <c r="R78" s="324">
        <v>0</v>
      </c>
      <c r="S78" s="324">
        <v>0</v>
      </c>
      <c r="U78" s="90"/>
    </row>
    <row r="79" spans="2:21" x14ac:dyDescent="0.25">
      <c r="E79" s="76"/>
      <c r="F79" s="76" t="s">
        <v>45</v>
      </c>
      <c r="G79" s="76" t="s">
        <v>94</v>
      </c>
      <c r="H79" s="92"/>
      <c r="I79" s="92"/>
      <c r="J79" s="185">
        <f t="shared" ref="J79:J85" si="1">CHOOSE(year_selection, L79,M79,N79,O79,P79,Q79,R79,S79)</f>
        <v>0</v>
      </c>
      <c r="K79" s="432"/>
      <c r="L79" s="324">
        <v>0</v>
      </c>
      <c r="M79" s="324">
        <v>0</v>
      </c>
      <c r="N79" s="324">
        <v>0</v>
      </c>
      <c r="O79" s="324">
        <v>0</v>
      </c>
      <c r="P79" s="324">
        <v>0</v>
      </c>
      <c r="Q79" s="324">
        <v>0</v>
      </c>
      <c r="R79" s="324">
        <v>0</v>
      </c>
      <c r="S79" s="324">
        <v>0</v>
      </c>
      <c r="U79" s="90"/>
    </row>
    <row r="80" spans="2:21" x14ac:dyDescent="0.25">
      <c r="E80" s="76"/>
      <c r="F80" s="76" t="s">
        <v>46</v>
      </c>
      <c r="G80" s="76" t="s">
        <v>94</v>
      </c>
      <c r="H80" s="92"/>
      <c r="I80" s="92"/>
      <c r="J80" s="185">
        <f>CHOOSE(year_selection, L80,M80,N80,O80,P80,Q80,R80,S80)</f>
        <v>1.2370413198693E-2</v>
      </c>
      <c r="K80" s="432"/>
      <c r="L80" s="324">
        <v>1.2370413198693E-2</v>
      </c>
      <c r="M80" s="324">
        <v>1.2370413198693E-2</v>
      </c>
      <c r="N80" s="324">
        <v>1.2370413198693E-2</v>
      </c>
      <c r="O80" s="559">
        <v>1.2370413198693E-2</v>
      </c>
      <c r="P80" s="559">
        <v>1.2370413198693E-2</v>
      </c>
      <c r="Q80" s="559">
        <v>1.2370413198693E-2</v>
      </c>
      <c r="R80" s="559">
        <v>1.2370413198693E-2</v>
      </c>
      <c r="S80" s="559">
        <v>1.2370413198693E-2</v>
      </c>
      <c r="U80" s="90"/>
    </row>
    <row r="81" spans="5:21" x14ac:dyDescent="0.25">
      <c r="E81" s="76"/>
      <c r="F81" s="76" t="s">
        <v>47</v>
      </c>
      <c r="G81" s="76" t="s">
        <v>94</v>
      </c>
      <c r="H81" s="92"/>
      <c r="I81" s="92"/>
      <c r="J81" s="185">
        <f t="shared" si="1"/>
        <v>2.4400925983857801E-2</v>
      </c>
      <c r="K81" s="432"/>
      <c r="L81" s="324">
        <v>2.4400925983857801E-2</v>
      </c>
      <c r="M81" s="324">
        <v>2.4400925983857801E-2</v>
      </c>
      <c r="N81" s="324">
        <v>2.4400925983857801E-2</v>
      </c>
      <c r="O81" s="559">
        <v>2.4400925983857801E-2</v>
      </c>
      <c r="P81" s="559">
        <v>2.4400925983857801E-2</v>
      </c>
      <c r="Q81" s="559">
        <v>2.4400925983857801E-2</v>
      </c>
      <c r="R81" s="559">
        <v>2.4400925983857801E-2</v>
      </c>
      <c r="S81" s="559">
        <v>2.4400925983857801E-2</v>
      </c>
      <c r="U81" s="90"/>
    </row>
    <row r="82" spans="5:21" x14ac:dyDescent="0.25">
      <c r="E82" s="76"/>
      <c r="F82" s="76" t="s">
        <v>51</v>
      </c>
      <c r="G82" s="76" t="s">
        <v>94</v>
      </c>
      <c r="H82" s="92"/>
      <c r="I82" s="92"/>
      <c r="J82" s="185">
        <f t="shared" si="1"/>
        <v>0</v>
      </c>
      <c r="K82" s="432"/>
      <c r="L82" s="324">
        <v>0</v>
      </c>
      <c r="M82" s="324">
        <v>0</v>
      </c>
      <c r="N82" s="324">
        <v>0</v>
      </c>
      <c r="O82" s="324">
        <v>0</v>
      </c>
      <c r="P82" s="324">
        <v>0</v>
      </c>
      <c r="Q82" s="324">
        <v>0</v>
      </c>
      <c r="R82" s="324">
        <v>0</v>
      </c>
      <c r="S82" s="324">
        <v>0</v>
      </c>
      <c r="U82" s="90"/>
    </row>
    <row r="83" spans="5:21" x14ac:dyDescent="0.25">
      <c r="E83" s="76"/>
      <c r="F83" s="76" t="s">
        <v>48</v>
      </c>
      <c r="G83" s="76" t="s">
        <v>94</v>
      </c>
      <c r="H83" s="92"/>
      <c r="I83" s="92"/>
      <c r="J83" s="185">
        <f t="shared" si="1"/>
        <v>0.34379931777325301</v>
      </c>
      <c r="K83" s="432"/>
      <c r="L83" s="324">
        <v>0.34379931777325301</v>
      </c>
      <c r="M83" s="324">
        <v>0.34379931777325301</v>
      </c>
      <c r="N83" s="324">
        <v>0.34379931777325301</v>
      </c>
      <c r="O83" s="324">
        <v>0.34379931777325301</v>
      </c>
      <c r="P83" s="324">
        <v>0.34379931777325301</v>
      </c>
      <c r="Q83" s="324">
        <v>0.34379931777325301</v>
      </c>
      <c r="R83" s="324">
        <v>0.34379931777325301</v>
      </c>
      <c r="S83" s="324">
        <v>0.34379931777325301</v>
      </c>
      <c r="U83" s="90"/>
    </row>
    <row r="84" spans="5:21" x14ac:dyDescent="0.25">
      <c r="E84" s="76"/>
      <c r="F84" s="76" t="s">
        <v>49</v>
      </c>
      <c r="G84" s="76" t="s">
        <v>94</v>
      </c>
      <c r="H84" s="92"/>
      <c r="I84" s="92"/>
      <c r="J84" s="185">
        <f t="shared" si="1"/>
        <v>0.42351973684210498</v>
      </c>
      <c r="K84" s="432"/>
      <c r="L84" s="324">
        <v>0.42351973684210498</v>
      </c>
      <c r="M84" s="324">
        <v>0.42351973684210498</v>
      </c>
      <c r="N84" s="324">
        <v>0.42351973684210498</v>
      </c>
      <c r="O84" s="324">
        <v>0.42351973684210498</v>
      </c>
      <c r="P84" s="324">
        <v>0.42351973684210498</v>
      </c>
      <c r="Q84" s="324">
        <v>0.42351973684210498</v>
      </c>
      <c r="R84" s="324">
        <v>0.42351973684210498</v>
      </c>
      <c r="S84" s="324">
        <v>0.42351973684210498</v>
      </c>
      <c r="U84" s="90"/>
    </row>
    <row r="85" spans="5:21" x14ac:dyDescent="0.25">
      <c r="E85" s="76"/>
      <c r="F85" s="15" t="s">
        <v>50</v>
      </c>
      <c r="G85" s="15" t="s">
        <v>94</v>
      </c>
      <c r="H85" s="93"/>
      <c r="I85" s="93"/>
      <c r="J85" s="186">
        <f t="shared" si="1"/>
        <v>0.95595667870036105</v>
      </c>
      <c r="K85" s="308"/>
      <c r="L85" s="325">
        <v>0.95595667870036105</v>
      </c>
      <c r="M85" s="325">
        <v>0.95595667870036105</v>
      </c>
      <c r="N85" s="325">
        <v>0.95595667870036105</v>
      </c>
      <c r="O85" s="325">
        <v>0.95595667870036105</v>
      </c>
      <c r="P85" s="325">
        <v>0.95595667870036105</v>
      </c>
      <c r="Q85" s="325">
        <v>0.95595667870036105</v>
      </c>
      <c r="R85" s="325">
        <v>0.95595667870036105</v>
      </c>
      <c r="S85" s="325">
        <v>0.95595667870036105</v>
      </c>
      <c r="U85" s="90"/>
    </row>
    <row r="86" spans="5:21" x14ac:dyDescent="0.25">
      <c r="E86" s="146" t="s">
        <v>81</v>
      </c>
      <c r="J86" s="433"/>
      <c r="K86" s="433"/>
      <c r="L86" s="433"/>
      <c r="M86" s="433"/>
      <c r="N86" s="433"/>
      <c r="O86" s="433"/>
      <c r="P86" s="433"/>
      <c r="Q86" s="433"/>
      <c r="R86" s="433"/>
      <c r="S86" s="433"/>
    </row>
    <row r="87" spans="5:21" x14ac:dyDescent="0.25">
      <c r="E87" s="76"/>
      <c r="F87" s="16" t="s">
        <v>267</v>
      </c>
      <c r="G87" s="16" t="s">
        <v>94</v>
      </c>
      <c r="H87" s="91"/>
      <c r="I87" s="91"/>
      <c r="J87" s="170"/>
      <c r="K87" s="431"/>
      <c r="L87" s="170"/>
      <c r="M87" s="170"/>
      <c r="N87" s="170"/>
      <c r="O87" s="170"/>
      <c r="P87" s="170"/>
      <c r="Q87" s="170"/>
      <c r="R87" s="170"/>
      <c r="S87" s="170"/>
      <c r="U87" s="90"/>
    </row>
    <row r="88" spans="5:21" x14ac:dyDescent="0.25">
      <c r="E88" s="76"/>
      <c r="F88" s="76" t="s">
        <v>43</v>
      </c>
      <c r="G88" s="76" t="s">
        <v>94</v>
      </c>
      <c r="H88" s="92"/>
      <c r="I88" s="92"/>
      <c r="J88" s="159"/>
      <c r="K88" s="432"/>
      <c r="L88" s="159"/>
      <c r="M88" s="159"/>
      <c r="N88" s="159"/>
      <c r="O88" s="159"/>
      <c r="P88" s="159"/>
      <c r="Q88" s="159"/>
      <c r="R88" s="159"/>
      <c r="S88" s="159"/>
      <c r="U88" s="90"/>
    </row>
    <row r="89" spans="5:21" x14ac:dyDescent="0.25">
      <c r="E89" s="76"/>
      <c r="F89" s="76" t="s">
        <v>44</v>
      </c>
      <c r="G89" s="76" t="s">
        <v>94</v>
      </c>
      <c r="H89" s="92"/>
      <c r="I89" s="92"/>
      <c r="J89" s="185">
        <f t="shared" ref="J89:J95" si="2">CHOOSE(year_selection, L89,M89,N89,O89,P89,Q89,R89,S89)</f>
        <v>0</v>
      </c>
      <c r="K89" s="432"/>
      <c r="L89" s="324">
        <v>0</v>
      </c>
      <c r="M89" s="324">
        <v>0</v>
      </c>
      <c r="N89" s="324">
        <v>0</v>
      </c>
      <c r="O89" s="324">
        <v>0</v>
      </c>
      <c r="P89" s="324">
        <v>0</v>
      </c>
      <c r="Q89" s="324">
        <v>0</v>
      </c>
      <c r="R89" s="324">
        <v>0</v>
      </c>
      <c r="S89" s="324">
        <v>0</v>
      </c>
      <c r="U89" s="90"/>
    </row>
    <row r="90" spans="5:21" x14ac:dyDescent="0.25">
      <c r="E90" s="76"/>
      <c r="F90" s="76" t="s">
        <v>45</v>
      </c>
      <c r="G90" s="76" t="s">
        <v>94</v>
      </c>
      <c r="H90" s="92"/>
      <c r="I90" s="92"/>
      <c r="J90" s="185">
        <f t="shared" si="2"/>
        <v>0</v>
      </c>
      <c r="K90" s="432"/>
      <c r="L90" s="324">
        <v>0</v>
      </c>
      <c r="M90" s="324">
        <v>0</v>
      </c>
      <c r="N90" s="324">
        <v>0</v>
      </c>
      <c r="O90" s="324">
        <v>0</v>
      </c>
      <c r="P90" s="324">
        <v>0</v>
      </c>
      <c r="Q90" s="324">
        <v>0</v>
      </c>
      <c r="R90" s="324">
        <v>0</v>
      </c>
      <c r="S90" s="324">
        <v>0</v>
      </c>
      <c r="U90" s="90"/>
    </row>
    <row r="91" spans="5:21" x14ac:dyDescent="0.25">
      <c r="E91" s="76"/>
      <c r="F91" s="76" t="s">
        <v>46</v>
      </c>
      <c r="G91" s="76" t="s">
        <v>94</v>
      </c>
      <c r="H91" s="92"/>
      <c r="I91" s="92"/>
      <c r="J91" s="185">
        <f t="shared" si="2"/>
        <v>1.2370413198693E-2</v>
      </c>
      <c r="K91" s="432"/>
      <c r="L91" s="324">
        <v>1.2370413198693E-2</v>
      </c>
      <c r="M91" s="324">
        <v>1.2370413198693E-2</v>
      </c>
      <c r="N91" s="324">
        <v>1.2370413198693E-2</v>
      </c>
      <c r="O91" s="324">
        <v>1.2370413198693E-2</v>
      </c>
      <c r="P91" s="324">
        <v>1.2370413198693E-2</v>
      </c>
      <c r="Q91" s="324">
        <v>1.2370413198693E-2</v>
      </c>
      <c r="R91" s="324">
        <v>1.2370413198693E-2</v>
      </c>
      <c r="S91" s="324">
        <v>1.2370413198693E-2</v>
      </c>
      <c r="U91" s="90"/>
    </row>
    <row r="92" spans="5:21" x14ac:dyDescent="0.25">
      <c r="E92" s="76"/>
      <c r="F92" s="76" t="s">
        <v>47</v>
      </c>
      <c r="G92" s="76" t="s">
        <v>94</v>
      </c>
      <c r="H92" s="92"/>
      <c r="I92" s="92"/>
      <c r="J92" s="185">
        <f t="shared" si="2"/>
        <v>2.4400925983857801E-2</v>
      </c>
      <c r="K92" s="432"/>
      <c r="L92" s="324">
        <v>2.4400925983857801E-2</v>
      </c>
      <c r="M92" s="324">
        <v>2.4400925983857801E-2</v>
      </c>
      <c r="N92" s="324">
        <v>2.4400925983857801E-2</v>
      </c>
      <c r="O92" s="563">
        <v>2.4400925983857801E-2</v>
      </c>
      <c r="P92" s="563">
        <v>2.4400925983857801E-2</v>
      </c>
      <c r="Q92" s="563">
        <v>2.4400925983857801E-2</v>
      </c>
      <c r="R92" s="563">
        <v>2.4400925983857801E-2</v>
      </c>
      <c r="S92" s="563">
        <v>2.4400925983857801E-2</v>
      </c>
      <c r="U92" s="90"/>
    </row>
    <row r="93" spans="5:21" x14ac:dyDescent="0.25">
      <c r="E93" s="76"/>
      <c r="F93" s="76" t="s">
        <v>51</v>
      </c>
      <c r="G93" s="76" t="s">
        <v>94</v>
      </c>
      <c r="H93" s="92"/>
      <c r="I93" s="92"/>
      <c r="J93" s="185">
        <f t="shared" si="2"/>
        <v>0</v>
      </c>
      <c r="K93" s="432"/>
      <c r="L93" s="324">
        <v>0</v>
      </c>
      <c r="M93" s="324">
        <v>0</v>
      </c>
      <c r="N93" s="324">
        <v>0</v>
      </c>
      <c r="O93" s="324">
        <v>0</v>
      </c>
      <c r="P93" s="324">
        <v>0</v>
      </c>
      <c r="Q93" s="324">
        <v>0</v>
      </c>
      <c r="R93" s="324">
        <v>0</v>
      </c>
      <c r="S93" s="324">
        <v>0</v>
      </c>
      <c r="U93" s="90"/>
    </row>
    <row r="94" spans="5:21" x14ac:dyDescent="0.25">
      <c r="E94" s="76"/>
      <c r="F94" s="76" t="s">
        <v>48</v>
      </c>
      <c r="G94" s="76" t="s">
        <v>94</v>
      </c>
      <c r="H94" s="92"/>
      <c r="I94" s="92"/>
      <c r="J94" s="185">
        <f t="shared" si="2"/>
        <v>0.34379931777325301</v>
      </c>
      <c r="K94" s="432"/>
      <c r="L94" s="324">
        <v>0.34379931777325301</v>
      </c>
      <c r="M94" s="324">
        <v>0.34379931777325301</v>
      </c>
      <c r="N94" s="324">
        <v>0.34379931777325301</v>
      </c>
      <c r="O94" s="324">
        <v>0.34379931777325301</v>
      </c>
      <c r="P94" s="324">
        <v>0.34379931777325301</v>
      </c>
      <c r="Q94" s="324">
        <v>0.34379931777325301</v>
      </c>
      <c r="R94" s="324">
        <v>0.34379931777325301</v>
      </c>
      <c r="S94" s="324">
        <v>0.34379931777325301</v>
      </c>
      <c r="U94" s="90"/>
    </row>
    <row r="95" spans="5:21" x14ac:dyDescent="0.25">
      <c r="E95" s="76"/>
      <c r="F95" s="76" t="s">
        <v>49</v>
      </c>
      <c r="G95" s="76" t="s">
        <v>94</v>
      </c>
      <c r="H95" s="92"/>
      <c r="I95" s="92"/>
      <c r="J95" s="185">
        <f t="shared" si="2"/>
        <v>0.42351973684210498</v>
      </c>
      <c r="K95" s="432"/>
      <c r="L95" s="324">
        <v>0.42351973684210498</v>
      </c>
      <c r="M95" s="324">
        <v>0.42351973684210498</v>
      </c>
      <c r="N95" s="324">
        <v>0.42351973684210498</v>
      </c>
      <c r="O95" s="324">
        <v>0.42351973684210498</v>
      </c>
      <c r="P95" s="324">
        <v>0.42351973684210498</v>
      </c>
      <c r="Q95" s="324">
        <v>0.42351973684210498</v>
      </c>
      <c r="R95" s="324">
        <v>0.42351973684210498</v>
      </c>
      <c r="S95" s="324">
        <v>0.42351973684210498</v>
      </c>
      <c r="U95" s="90"/>
    </row>
    <row r="96" spans="5:21" x14ac:dyDescent="0.25">
      <c r="E96" s="76"/>
      <c r="F96" s="15" t="s">
        <v>50</v>
      </c>
      <c r="G96" s="15" t="s">
        <v>94</v>
      </c>
      <c r="H96" s="93"/>
      <c r="I96" s="93"/>
      <c r="J96" s="38"/>
      <c r="K96" s="308"/>
      <c r="L96" s="38"/>
      <c r="M96" s="38"/>
      <c r="N96" s="38"/>
      <c r="O96" s="38"/>
      <c r="P96" s="38"/>
      <c r="Q96" s="38"/>
      <c r="R96" s="38"/>
      <c r="S96" s="38"/>
      <c r="U96" s="90"/>
    </row>
    <row r="97" spans="5:21" x14ac:dyDescent="0.25">
      <c r="E97" s="146" t="s">
        <v>82</v>
      </c>
      <c r="J97" s="433"/>
      <c r="K97" s="433"/>
      <c r="L97" s="433"/>
      <c r="M97" s="433"/>
      <c r="N97" s="433"/>
      <c r="O97" s="433"/>
      <c r="P97" s="433"/>
      <c r="Q97" s="433"/>
      <c r="R97" s="433"/>
      <c r="S97" s="433"/>
    </row>
    <row r="98" spans="5:21" x14ac:dyDescent="0.25">
      <c r="E98" s="76"/>
      <c r="F98" s="16" t="s">
        <v>267</v>
      </c>
      <c r="G98" s="16" t="s">
        <v>94</v>
      </c>
      <c r="H98" s="91"/>
      <c r="I98" s="91"/>
      <c r="J98" s="170"/>
      <c r="K98" s="431"/>
      <c r="L98" s="170"/>
      <c r="M98" s="170"/>
      <c r="N98" s="170"/>
      <c r="O98" s="170"/>
      <c r="P98" s="170"/>
      <c r="Q98" s="170"/>
      <c r="R98" s="170"/>
      <c r="S98" s="170"/>
      <c r="U98" s="90"/>
    </row>
    <row r="99" spans="5:21" x14ac:dyDescent="0.25">
      <c r="E99" s="76"/>
      <c r="F99" s="76" t="s">
        <v>43</v>
      </c>
      <c r="G99" s="76" t="s">
        <v>94</v>
      </c>
      <c r="H99" s="92"/>
      <c r="I99" s="92"/>
      <c r="J99" s="159"/>
      <c r="K99" s="432"/>
      <c r="L99" s="159"/>
      <c r="M99" s="159"/>
      <c r="N99" s="159"/>
      <c r="O99" s="159"/>
      <c r="P99" s="159"/>
      <c r="Q99" s="159"/>
      <c r="R99" s="159"/>
      <c r="S99" s="159"/>
      <c r="U99" s="90"/>
    </row>
    <row r="100" spans="5:21" x14ac:dyDescent="0.25">
      <c r="E100" s="76"/>
      <c r="F100" s="76" t="s">
        <v>44</v>
      </c>
      <c r="G100" s="76" t="s">
        <v>94</v>
      </c>
      <c r="H100" s="92"/>
      <c r="I100" s="92"/>
      <c r="J100" s="185">
        <f t="shared" ref="J100:J105" si="3">CHOOSE(year_selection, L100,M100,N100,O100,P100,Q100,R100,S100)</f>
        <v>0</v>
      </c>
      <c r="K100" s="432"/>
      <c r="L100" s="324">
        <v>0</v>
      </c>
      <c r="M100" s="324">
        <v>0</v>
      </c>
      <c r="N100" s="324">
        <v>0</v>
      </c>
      <c r="O100" s="324">
        <v>0</v>
      </c>
      <c r="P100" s="324">
        <v>0</v>
      </c>
      <c r="Q100" s="324">
        <v>0</v>
      </c>
      <c r="R100" s="324">
        <v>0</v>
      </c>
      <c r="S100" s="324">
        <v>0</v>
      </c>
      <c r="U100" s="90"/>
    </row>
    <row r="101" spans="5:21" x14ac:dyDescent="0.25">
      <c r="E101" s="76"/>
      <c r="F101" s="76" t="s">
        <v>45</v>
      </c>
      <c r="G101" s="76" t="s">
        <v>94</v>
      </c>
      <c r="H101" s="92"/>
      <c r="I101" s="92"/>
      <c r="J101" s="185">
        <f t="shared" si="3"/>
        <v>0</v>
      </c>
      <c r="K101" s="432"/>
      <c r="L101" s="324">
        <v>0</v>
      </c>
      <c r="M101" s="324">
        <v>0</v>
      </c>
      <c r="N101" s="324">
        <v>0</v>
      </c>
      <c r="O101" s="324">
        <v>0</v>
      </c>
      <c r="P101" s="324">
        <v>0</v>
      </c>
      <c r="Q101" s="324">
        <v>0</v>
      </c>
      <c r="R101" s="324">
        <v>0</v>
      </c>
      <c r="S101" s="324">
        <v>0</v>
      </c>
      <c r="U101" s="90"/>
    </row>
    <row r="102" spans="5:21" x14ac:dyDescent="0.25">
      <c r="E102" s="76"/>
      <c r="F102" s="76" t="s">
        <v>46</v>
      </c>
      <c r="G102" s="76" t="s">
        <v>94</v>
      </c>
      <c r="H102" s="92"/>
      <c r="I102" s="92"/>
      <c r="J102" s="185">
        <f t="shared" si="3"/>
        <v>3.4530744799792602E-2</v>
      </c>
      <c r="K102" s="432"/>
      <c r="L102" s="324">
        <v>3.4530744799792602E-2</v>
      </c>
      <c r="M102" s="324">
        <v>3.4530744799792602E-2</v>
      </c>
      <c r="N102" s="324">
        <v>3.4530744799792602E-2</v>
      </c>
      <c r="O102" s="563">
        <v>3.4530744799792602E-2</v>
      </c>
      <c r="P102" s="563">
        <v>3.4530744799792602E-2</v>
      </c>
      <c r="Q102" s="563">
        <v>3.4530744799792602E-2</v>
      </c>
      <c r="R102" s="563">
        <v>3.4530744799792602E-2</v>
      </c>
      <c r="S102" s="563">
        <v>3.4530744799792602E-2</v>
      </c>
      <c r="U102" s="90"/>
    </row>
    <row r="103" spans="5:21" x14ac:dyDescent="0.25">
      <c r="E103" s="76"/>
      <c r="F103" s="76" t="s">
        <v>47</v>
      </c>
      <c r="G103" s="76" t="s">
        <v>94</v>
      </c>
      <c r="H103" s="92"/>
      <c r="I103" s="92"/>
      <c r="J103" s="185">
        <f t="shared" si="3"/>
        <v>6.6381013698021907E-2</v>
      </c>
      <c r="K103" s="432"/>
      <c r="L103" s="324">
        <v>6.6381013698021907E-2</v>
      </c>
      <c r="M103" s="324">
        <v>6.6381013698021907E-2</v>
      </c>
      <c r="N103" s="324">
        <v>6.6381013698021907E-2</v>
      </c>
      <c r="O103" s="563">
        <v>6.6381013698021907E-2</v>
      </c>
      <c r="P103" s="563">
        <v>6.6381013698021907E-2</v>
      </c>
      <c r="Q103" s="563">
        <v>6.6381013698021907E-2</v>
      </c>
      <c r="R103" s="563">
        <v>6.6381013698021907E-2</v>
      </c>
      <c r="S103" s="563">
        <v>6.6381013698021907E-2</v>
      </c>
      <c r="U103" s="90"/>
    </row>
    <row r="104" spans="5:21" x14ac:dyDescent="0.25">
      <c r="E104" s="76"/>
      <c r="F104" s="76" t="s">
        <v>51</v>
      </c>
      <c r="G104" s="76" t="s">
        <v>94</v>
      </c>
      <c r="H104" s="92"/>
      <c r="I104" s="92"/>
      <c r="J104" s="185">
        <f t="shared" si="3"/>
        <v>0</v>
      </c>
      <c r="K104" s="432"/>
      <c r="L104" s="324">
        <v>0</v>
      </c>
      <c r="M104" s="324">
        <v>0</v>
      </c>
      <c r="N104" s="324">
        <v>0</v>
      </c>
      <c r="O104" s="324">
        <v>0</v>
      </c>
      <c r="P104" s="324">
        <v>0</v>
      </c>
      <c r="Q104" s="324">
        <v>0</v>
      </c>
      <c r="R104" s="324">
        <v>0</v>
      </c>
      <c r="S104" s="324">
        <v>0</v>
      </c>
      <c r="U104" s="90"/>
    </row>
    <row r="105" spans="5:21" x14ac:dyDescent="0.25">
      <c r="E105" s="76"/>
      <c r="F105" s="76" t="s">
        <v>48</v>
      </c>
      <c r="G105" s="76" t="s">
        <v>94</v>
      </c>
      <c r="H105" s="92"/>
      <c r="I105" s="92"/>
      <c r="J105" s="185">
        <f t="shared" si="3"/>
        <v>0.38323267678152101</v>
      </c>
      <c r="K105" s="432"/>
      <c r="L105" s="324">
        <v>0.38323267678152101</v>
      </c>
      <c r="M105" s="324">
        <v>0.38323267678152101</v>
      </c>
      <c r="N105" s="324">
        <v>0.38323267678152101</v>
      </c>
      <c r="O105" s="324">
        <v>0.38323267678152101</v>
      </c>
      <c r="P105" s="324">
        <v>0.38323267678152101</v>
      </c>
      <c r="Q105" s="324">
        <v>0.38323267678152101</v>
      </c>
      <c r="R105" s="324">
        <v>0.38323267678152101</v>
      </c>
      <c r="S105" s="324">
        <v>0.38323267678152101</v>
      </c>
      <c r="U105" s="90"/>
    </row>
    <row r="106" spans="5:21" x14ac:dyDescent="0.25">
      <c r="E106" s="76"/>
      <c r="F106" s="76" t="s">
        <v>49</v>
      </c>
      <c r="G106" s="76" t="s">
        <v>94</v>
      </c>
      <c r="H106" s="92"/>
      <c r="I106" s="92"/>
      <c r="J106" s="37"/>
      <c r="K106" s="432"/>
      <c r="L106" s="37"/>
      <c r="M106" s="37"/>
      <c r="N106" s="37"/>
      <c r="O106" s="37"/>
      <c r="P106" s="37"/>
      <c r="Q106" s="37"/>
      <c r="R106" s="37"/>
      <c r="S106" s="37"/>
      <c r="U106" s="90"/>
    </row>
    <row r="107" spans="5:21" x14ac:dyDescent="0.25">
      <c r="E107" s="76"/>
      <c r="F107" s="15" t="s">
        <v>50</v>
      </c>
      <c r="G107" s="15" t="s">
        <v>94</v>
      </c>
      <c r="H107" s="93"/>
      <c r="I107" s="93"/>
      <c r="J107" s="38"/>
      <c r="K107" s="308"/>
      <c r="L107" s="38"/>
      <c r="M107" s="38"/>
      <c r="N107" s="38"/>
      <c r="O107" s="38"/>
      <c r="P107" s="38"/>
      <c r="Q107" s="38"/>
      <c r="R107" s="38"/>
      <c r="S107" s="38"/>
      <c r="U107" s="90"/>
    </row>
    <row r="108" spans="5:21" x14ac:dyDescent="0.25">
      <c r="E108" s="146" t="s">
        <v>83</v>
      </c>
      <c r="J108" s="433"/>
      <c r="K108" s="433"/>
      <c r="L108" s="433"/>
      <c r="M108" s="433"/>
      <c r="N108" s="433"/>
      <c r="O108" s="433"/>
      <c r="P108" s="433"/>
      <c r="Q108" s="433"/>
      <c r="R108" s="433"/>
      <c r="S108" s="433"/>
    </row>
    <row r="109" spans="5:21" x14ac:dyDescent="0.25">
      <c r="E109" s="76"/>
      <c r="F109" s="16" t="s">
        <v>267</v>
      </c>
      <c r="G109" s="16" t="s">
        <v>94</v>
      </c>
      <c r="H109" s="91"/>
      <c r="I109" s="91"/>
      <c r="J109" s="170"/>
      <c r="K109" s="431"/>
      <c r="L109" s="170"/>
      <c r="M109" s="170"/>
      <c r="N109" s="170"/>
      <c r="O109" s="170"/>
      <c r="P109" s="170"/>
      <c r="Q109" s="170"/>
      <c r="R109" s="170"/>
      <c r="S109" s="170"/>
      <c r="U109" s="90"/>
    </row>
    <row r="110" spans="5:21" x14ac:dyDescent="0.25">
      <c r="E110" s="76"/>
      <c r="F110" s="76" t="s">
        <v>43</v>
      </c>
      <c r="G110" s="76" t="s">
        <v>94</v>
      </c>
      <c r="H110" s="92"/>
      <c r="I110" s="92"/>
      <c r="J110" s="159"/>
      <c r="K110" s="432"/>
      <c r="L110" s="159"/>
      <c r="M110" s="159"/>
      <c r="N110" s="159"/>
      <c r="O110" s="159"/>
      <c r="P110" s="159"/>
      <c r="Q110" s="159"/>
      <c r="R110" s="159"/>
      <c r="S110" s="159"/>
      <c r="U110" s="90"/>
    </row>
    <row r="111" spans="5:21" x14ac:dyDescent="0.25">
      <c r="E111" s="76"/>
      <c r="F111" s="76" t="s">
        <v>44</v>
      </c>
      <c r="G111" s="76" t="s">
        <v>94</v>
      </c>
      <c r="H111" s="92"/>
      <c r="I111" s="92"/>
      <c r="J111" s="185">
        <f t="shared" ref="J111:J114" si="4">CHOOSE(year_selection, L111,M111,N111,O111,P111,Q111,R111,S111)</f>
        <v>0</v>
      </c>
      <c r="K111" s="432"/>
      <c r="L111" s="324">
        <v>0</v>
      </c>
      <c r="M111" s="324">
        <v>0</v>
      </c>
      <c r="N111" s="324">
        <v>0</v>
      </c>
      <c r="O111" s="324">
        <v>0</v>
      </c>
      <c r="P111" s="324">
        <v>0</v>
      </c>
      <c r="Q111" s="324">
        <v>0</v>
      </c>
      <c r="R111" s="324">
        <v>0</v>
      </c>
      <c r="S111" s="324">
        <v>0</v>
      </c>
      <c r="U111" s="90"/>
    </row>
    <row r="112" spans="5:21" x14ac:dyDescent="0.25">
      <c r="E112" s="76"/>
      <c r="F112" s="76" t="s">
        <v>45</v>
      </c>
      <c r="G112" s="76" t="s">
        <v>94</v>
      </c>
      <c r="H112" s="92"/>
      <c r="I112" s="92"/>
      <c r="J112" s="185">
        <f t="shared" si="4"/>
        <v>0</v>
      </c>
      <c r="K112" s="432"/>
      <c r="L112" s="324">
        <v>0</v>
      </c>
      <c r="M112" s="324">
        <v>0</v>
      </c>
      <c r="N112" s="324">
        <v>0</v>
      </c>
      <c r="O112" s="324">
        <v>0</v>
      </c>
      <c r="P112" s="324">
        <v>0</v>
      </c>
      <c r="Q112" s="324">
        <v>0</v>
      </c>
      <c r="R112" s="324">
        <v>0</v>
      </c>
      <c r="S112" s="324">
        <v>0</v>
      </c>
      <c r="U112" s="90"/>
    </row>
    <row r="113" spans="3:22" x14ac:dyDescent="0.25">
      <c r="E113" s="76"/>
      <c r="F113" s="76" t="s">
        <v>46</v>
      </c>
      <c r="G113" s="76" t="s">
        <v>94</v>
      </c>
      <c r="H113" s="92"/>
      <c r="I113" s="92"/>
      <c r="J113" s="185">
        <f t="shared" si="4"/>
        <v>3.4530744799792602E-2</v>
      </c>
      <c r="K113" s="432"/>
      <c r="L113" s="324">
        <v>3.4530744799792602E-2</v>
      </c>
      <c r="M113" s="324">
        <v>3.4530744799792602E-2</v>
      </c>
      <c r="N113" s="324">
        <v>3.4530744799792602E-2</v>
      </c>
      <c r="O113" s="559">
        <v>3.4530744799792602E-2</v>
      </c>
      <c r="P113" s="559">
        <v>3.4530744799792602E-2</v>
      </c>
      <c r="Q113" s="559">
        <v>3.4530744799792602E-2</v>
      </c>
      <c r="R113" s="559">
        <v>3.4530744799792602E-2</v>
      </c>
      <c r="S113" s="559">
        <v>3.4530744799792602E-2</v>
      </c>
      <c r="U113" s="90"/>
    </row>
    <row r="114" spans="3:22" x14ac:dyDescent="0.25">
      <c r="E114" s="76"/>
      <c r="F114" s="76" t="s">
        <v>47</v>
      </c>
      <c r="G114" s="76" t="s">
        <v>94</v>
      </c>
      <c r="H114" s="92"/>
      <c r="I114" s="92"/>
      <c r="J114" s="185">
        <f t="shared" si="4"/>
        <v>6.6381013698021907E-2</v>
      </c>
      <c r="K114" s="432"/>
      <c r="L114" s="324">
        <v>6.6381013698021907E-2</v>
      </c>
      <c r="M114" s="324">
        <v>6.6381013698021907E-2</v>
      </c>
      <c r="N114" s="324">
        <v>6.6381013698021907E-2</v>
      </c>
      <c r="O114" s="324">
        <v>6.6381013698021907E-2</v>
      </c>
      <c r="P114" s="324">
        <v>6.6381013698021907E-2</v>
      </c>
      <c r="Q114" s="324">
        <v>6.6381013698021907E-2</v>
      </c>
      <c r="R114" s="324">
        <v>6.6381013698021907E-2</v>
      </c>
      <c r="S114" s="324">
        <v>6.6381013698021907E-2</v>
      </c>
      <c r="U114" s="90"/>
    </row>
    <row r="115" spans="3:22" x14ac:dyDescent="0.25">
      <c r="E115" s="76"/>
      <c r="F115" s="76" t="s">
        <v>51</v>
      </c>
      <c r="G115" s="76" t="s">
        <v>94</v>
      </c>
      <c r="H115" s="92"/>
      <c r="I115" s="92"/>
      <c r="J115" s="37"/>
      <c r="K115" s="432"/>
      <c r="L115" s="37"/>
      <c r="M115" s="37"/>
      <c r="N115" s="37"/>
      <c r="O115" s="37"/>
      <c r="P115" s="37"/>
      <c r="Q115" s="37"/>
      <c r="R115" s="37"/>
      <c r="S115" s="37"/>
      <c r="U115" s="90"/>
    </row>
    <row r="116" spans="3:22" x14ac:dyDescent="0.25">
      <c r="E116" s="76"/>
      <c r="F116" s="76" t="s">
        <v>48</v>
      </c>
      <c r="G116" s="76" t="s">
        <v>94</v>
      </c>
      <c r="H116" s="92"/>
      <c r="I116" s="92"/>
      <c r="J116" s="37"/>
      <c r="K116" s="432"/>
      <c r="L116" s="37"/>
      <c r="M116" s="37"/>
      <c r="N116" s="37"/>
      <c r="O116" s="37"/>
      <c r="P116" s="37"/>
      <c r="Q116" s="37"/>
      <c r="R116" s="37"/>
      <c r="S116" s="37"/>
      <c r="T116" s="195"/>
      <c r="U116" s="90"/>
      <c r="V116" s="195"/>
    </row>
    <row r="117" spans="3:22" x14ac:dyDescent="0.25">
      <c r="E117" s="76"/>
      <c r="F117" s="76" t="s">
        <v>49</v>
      </c>
      <c r="G117" s="76" t="s">
        <v>94</v>
      </c>
      <c r="H117" s="92"/>
      <c r="I117" s="92"/>
      <c r="J117" s="37"/>
      <c r="K117" s="432"/>
      <c r="L117" s="37"/>
      <c r="M117" s="37"/>
      <c r="N117" s="37"/>
      <c r="O117" s="37"/>
      <c r="P117" s="37"/>
      <c r="Q117" s="37"/>
      <c r="R117" s="37"/>
      <c r="S117" s="37"/>
      <c r="U117" s="90"/>
    </row>
    <row r="118" spans="3:22" x14ac:dyDescent="0.25">
      <c r="E118" s="76"/>
      <c r="F118" s="15" t="s">
        <v>50</v>
      </c>
      <c r="G118" s="15" t="s">
        <v>94</v>
      </c>
      <c r="H118" s="93"/>
      <c r="I118" s="93"/>
      <c r="J118" s="38"/>
      <c r="K118" s="308"/>
      <c r="L118" s="38"/>
      <c r="M118" s="38"/>
      <c r="N118" s="38"/>
      <c r="O118" s="38"/>
      <c r="P118" s="38"/>
      <c r="Q118" s="38"/>
      <c r="R118" s="38"/>
      <c r="S118" s="38"/>
      <c r="U118" s="90"/>
    </row>
    <row r="119" spans="3:22" x14ac:dyDescent="0.25">
      <c r="J119" s="433"/>
      <c r="K119" s="433"/>
      <c r="L119" s="433"/>
      <c r="M119" s="433"/>
      <c r="N119" s="433"/>
      <c r="O119" s="433"/>
      <c r="P119" s="433"/>
      <c r="Q119" s="433"/>
      <c r="R119" s="433"/>
      <c r="S119" s="433"/>
    </row>
    <row r="120" spans="3:22" s="195" customFormat="1" x14ac:dyDescent="0.25">
      <c r="C120" s="7" t="str">
        <f ca="1">INDEX('Version control'!$H$35:$H$61,MATCH($A$1,'Version control'!$F$35:$F$61,0),1)&amp;"-F: Gross asset cost by network level"</f>
        <v>Input 502-F: Gross asset cost by network level</v>
      </c>
      <c r="D120" s="7"/>
      <c r="E120" s="7"/>
      <c r="F120" s="7"/>
      <c r="G120" s="7"/>
      <c r="H120" s="7"/>
      <c r="I120" s="7"/>
      <c r="J120" s="434"/>
      <c r="K120" s="434"/>
      <c r="L120" s="434"/>
      <c r="M120" s="434"/>
      <c r="N120" s="434"/>
      <c r="O120" s="434"/>
      <c r="P120" s="434"/>
      <c r="Q120" s="434"/>
      <c r="R120" s="434"/>
      <c r="S120" s="434"/>
      <c r="T120" s="7"/>
      <c r="U120" s="7"/>
    </row>
    <row r="121" spans="3:22" s="195" customFormat="1" x14ac:dyDescent="0.25">
      <c r="J121" s="89"/>
      <c r="K121" s="89"/>
      <c r="L121" s="89"/>
      <c r="M121" s="89"/>
      <c r="N121" s="89"/>
      <c r="O121" s="89"/>
      <c r="P121" s="89"/>
      <c r="Q121" s="89"/>
      <c r="R121" s="89"/>
      <c r="S121" s="89"/>
    </row>
    <row r="122" spans="3:22" ht="14.85" customHeight="1" x14ac:dyDescent="0.25">
      <c r="E122" s="96" t="s">
        <v>194</v>
      </c>
      <c r="J122" s="433"/>
      <c r="K122" s="433"/>
      <c r="L122" s="433"/>
      <c r="M122" s="433"/>
      <c r="N122" s="433"/>
      <c r="O122" s="433"/>
      <c r="P122" s="433"/>
      <c r="Q122" s="433"/>
      <c r="R122" s="433"/>
      <c r="S122" s="433"/>
    </row>
    <row r="123" spans="3:22" x14ac:dyDescent="0.25">
      <c r="F123" s="16" t="s">
        <v>267</v>
      </c>
      <c r="G123" s="16" t="s">
        <v>107</v>
      </c>
      <c r="H123" s="91"/>
      <c r="I123" s="91"/>
      <c r="J123" s="244"/>
      <c r="K123" s="245"/>
      <c r="L123" s="244"/>
      <c r="M123" s="244"/>
      <c r="N123" s="244"/>
      <c r="O123" s="244"/>
      <c r="P123" s="244"/>
      <c r="Q123" s="244"/>
      <c r="R123" s="244"/>
      <c r="S123" s="244"/>
      <c r="U123" s="90"/>
    </row>
    <row r="124" spans="3:22" x14ac:dyDescent="0.25">
      <c r="F124" s="76" t="s">
        <v>43</v>
      </c>
      <c r="G124" s="76" t="s">
        <v>107</v>
      </c>
      <c r="H124" s="92"/>
      <c r="I124" s="92"/>
      <c r="J124" s="246"/>
      <c r="K124" s="247"/>
      <c r="L124" s="246"/>
      <c r="M124" s="246"/>
      <c r="N124" s="246"/>
      <c r="O124" s="246"/>
      <c r="P124" s="246"/>
      <c r="Q124" s="246"/>
      <c r="R124" s="246"/>
      <c r="S124" s="246"/>
      <c r="U124" s="90"/>
    </row>
    <row r="125" spans="3:22" x14ac:dyDescent="0.25">
      <c r="F125" s="76" t="s">
        <v>44</v>
      </c>
      <c r="G125" s="76" t="s">
        <v>107</v>
      </c>
      <c r="H125" s="92"/>
      <c r="I125" s="92"/>
      <c r="J125" s="233">
        <f t="shared" ref="J125:J132" si="5">CHOOSE(year_selection, L125,M125,N125,O125,P125,Q125,R125,S125)</f>
        <v>106296948.70410222</v>
      </c>
      <c r="K125" s="247"/>
      <c r="L125" s="330">
        <v>105534557.83430843</v>
      </c>
      <c r="M125" s="330">
        <v>105407570.84438835</v>
      </c>
      <c r="N125" s="330">
        <v>104680691.71405736</v>
      </c>
      <c r="O125" s="330">
        <v>106296948.70410222</v>
      </c>
      <c r="P125" s="330">
        <v>106296948.70410222</v>
      </c>
      <c r="Q125" s="330">
        <v>106296948.70410222</v>
      </c>
      <c r="R125" s="330">
        <v>106296948.70410222</v>
      </c>
      <c r="S125" s="330">
        <v>106296948.70410222</v>
      </c>
      <c r="U125" s="90"/>
    </row>
    <row r="126" spans="3:22" x14ac:dyDescent="0.25">
      <c r="F126" s="76" t="s">
        <v>45</v>
      </c>
      <c r="G126" s="76" t="s">
        <v>107</v>
      </c>
      <c r="H126" s="92"/>
      <c r="I126" s="92"/>
      <c r="J126" s="233">
        <f t="shared" si="5"/>
        <v>27504108.472574044</v>
      </c>
      <c r="K126" s="247"/>
      <c r="L126" s="330">
        <v>29370660.223999143</v>
      </c>
      <c r="M126" s="330">
        <v>27870923.461734932</v>
      </c>
      <c r="N126" s="330">
        <v>27079258.444674417</v>
      </c>
      <c r="O126" s="330">
        <v>27504108.472574044</v>
      </c>
      <c r="P126" s="330">
        <v>27504108.472574044</v>
      </c>
      <c r="Q126" s="330">
        <v>27504108.472574044</v>
      </c>
      <c r="R126" s="330">
        <v>27504108.472574044</v>
      </c>
      <c r="S126" s="330">
        <v>27504108.472574044</v>
      </c>
      <c r="U126" s="90"/>
    </row>
    <row r="127" spans="3:22" x14ac:dyDescent="0.25">
      <c r="F127" s="76" t="s">
        <v>46</v>
      </c>
      <c r="G127" s="76" t="s">
        <v>107</v>
      </c>
      <c r="H127" s="92"/>
      <c r="I127" s="92"/>
      <c r="J127" s="233">
        <f t="shared" si="5"/>
        <v>75773309.614287958</v>
      </c>
      <c r="K127" s="247"/>
      <c r="L127" s="330">
        <v>70462347.874902844</v>
      </c>
      <c r="M127" s="330">
        <v>71182113.365996152</v>
      </c>
      <c r="N127" s="330">
        <v>74621167.969433755</v>
      </c>
      <c r="O127" s="330">
        <v>75773309.614287958</v>
      </c>
      <c r="P127" s="330">
        <v>75773309.614287958</v>
      </c>
      <c r="Q127" s="330">
        <v>75773309.614287958</v>
      </c>
      <c r="R127" s="330">
        <v>75773309.614287958</v>
      </c>
      <c r="S127" s="330">
        <v>75773309.614287958</v>
      </c>
      <c r="U127" s="90"/>
    </row>
    <row r="128" spans="3:22" x14ac:dyDescent="0.25">
      <c r="F128" s="76" t="s">
        <v>47</v>
      </c>
      <c r="G128" s="76" t="s">
        <v>107</v>
      </c>
      <c r="H128" s="92"/>
      <c r="I128" s="92"/>
      <c r="J128" s="233">
        <f t="shared" si="5"/>
        <v>53609022.22269015</v>
      </c>
      <c r="K128" s="247"/>
      <c r="L128" s="330">
        <v>53670003.428299688</v>
      </c>
      <c r="M128" s="330">
        <v>52977161.411358595</v>
      </c>
      <c r="N128" s="330">
        <v>52793891.045801058</v>
      </c>
      <c r="O128" s="330">
        <v>53609022.22269015</v>
      </c>
      <c r="P128" s="330">
        <v>53609022.22269015</v>
      </c>
      <c r="Q128" s="330">
        <v>53609022.22269015</v>
      </c>
      <c r="R128" s="330">
        <v>53609022.22269015</v>
      </c>
      <c r="S128" s="330">
        <v>53609022.22269015</v>
      </c>
      <c r="U128" s="90"/>
    </row>
    <row r="129" spans="3:21" x14ac:dyDescent="0.25">
      <c r="F129" s="76" t="s">
        <v>51</v>
      </c>
      <c r="G129" s="76" t="s">
        <v>107</v>
      </c>
      <c r="H129" s="92"/>
      <c r="I129" s="92"/>
      <c r="J129" s="233">
        <f t="shared" si="5"/>
        <v>0</v>
      </c>
      <c r="K129" s="247"/>
      <c r="L129" s="330">
        <v>0</v>
      </c>
      <c r="M129" s="330">
        <v>0</v>
      </c>
      <c r="N129" s="330"/>
      <c r="O129" s="330">
        <v>0</v>
      </c>
      <c r="P129" s="330">
        <v>0</v>
      </c>
      <c r="Q129" s="330">
        <v>0</v>
      </c>
      <c r="R129" s="330">
        <v>0</v>
      </c>
      <c r="S129" s="330">
        <v>0</v>
      </c>
      <c r="U129" s="90"/>
    </row>
    <row r="130" spans="3:21" x14ac:dyDescent="0.25">
      <c r="F130" s="76" t="s">
        <v>48</v>
      </c>
      <c r="G130" s="76" t="s">
        <v>107</v>
      </c>
      <c r="H130" s="92"/>
      <c r="I130" s="92"/>
      <c r="J130" s="233">
        <f t="shared" si="5"/>
        <v>173497342.67406029</v>
      </c>
      <c r="K130" s="247"/>
      <c r="L130" s="330">
        <v>175477371.6944035</v>
      </c>
      <c r="M130" s="330">
        <v>170777777.69114429</v>
      </c>
      <c r="N130" s="330">
        <v>170859296.1800659</v>
      </c>
      <c r="O130" s="330">
        <v>173497342.67406029</v>
      </c>
      <c r="P130" s="330">
        <v>173497342.67406029</v>
      </c>
      <c r="Q130" s="330">
        <v>173497342.67406029</v>
      </c>
      <c r="R130" s="330">
        <v>173497342.67406029</v>
      </c>
      <c r="S130" s="330">
        <v>173497342.67406029</v>
      </c>
      <c r="U130" s="90"/>
    </row>
    <row r="131" spans="3:21" x14ac:dyDescent="0.25">
      <c r="F131" s="76" t="s">
        <v>49</v>
      </c>
      <c r="G131" s="76" t="s">
        <v>107</v>
      </c>
      <c r="H131" s="92"/>
      <c r="I131" s="92"/>
      <c r="J131" s="233">
        <f t="shared" si="5"/>
        <v>65404989.463258825</v>
      </c>
      <c r="K131" s="247"/>
      <c r="L131" s="330">
        <v>57539178.727579542</v>
      </c>
      <c r="M131" s="330">
        <v>65291592.974061303</v>
      </c>
      <c r="N131" s="330">
        <v>63327991.324497864</v>
      </c>
      <c r="O131" s="330">
        <v>65404989.463258825</v>
      </c>
      <c r="P131" s="330">
        <v>65404989.463258825</v>
      </c>
      <c r="Q131" s="330">
        <v>65404989.463258825</v>
      </c>
      <c r="R131" s="330">
        <v>65404989.463258825</v>
      </c>
      <c r="S131" s="330">
        <v>65404989.463258825</v>
      </c>
      <c r="U131" s="90"/>
    </row>
    <row r="132" spans="3:21" x14ac:dyDescent="0.25">
      <c r="F132" s="15" t="s">
        <v>50</v>
      </c>
      <c r="G132" s="15" t="s">
        <v>107</v>
      </c>
      <c r="H132" s="93"/>
      <c r="I132" s="93"/>
      <c r="J132" s="235">
        <f t="shared" si="5"/>
        <v>172162555.77410966</v>
      </c>
      <c r="K132" s="248"/>
      <c r="L132" s="331">
        <v>103494556.03979655</v>
      </c>
      <c r="M132" s="331">
        <v>94719921.167317197</v>
      </c>
      <c r="N132" s="331">
        <v>169543895.64522895</v>
      </c>
      <c r="O132" s="331">
        <v>172162555.77410966</v>
      </c>
      <c r="P132" s="331">
        <v>172162555.77410966</v>
      </c>
      <c r="Q132" s="331">
        <v>172162555.77410966</v>
      </c>
      <c r="R132" s="331">
        <v>172162555.77410966</v>
      </c>
      <c r="S132" s="331">
        <v>172162555.77410966</v>
      </c>
      <c r="U132" s="90"/>
    </row>
    <row r="133" spans="3:21" x14ac:dyDescent="0.25">
      <c r="J133" s="433"/>
      <c r="K133" s="433"/>
      <c r="L133" s="433"/>
      <c r="M133" s="433"/>
      <c r="N133" s="433"/>
      <c r="O133" s="433"/>
      <c r="P133" s="433"/>
      <c r="Q133" s="433"/>
      <c r="R133" s="433"/>
      <c r="S133" s="433"/>
    </row>
    <row r="134" spans="3:21" s="195" customFormat="1" x14ac:dyDescent="0.25">
      <c r="C134" s="7" t="str">
        <f ca="1">INDEX('Version control'!$H$35:$H$61,MATCH($A$1,'Version control'!$F$35:$F$61,0),1)&amp;"-G: Peaking probabilities, by timeband &amp; network level"</f>
        <v>Input 502-G: Peaking probabilities, by timeband &amp; network level</v>
      </c>
      <c r="D134" s="7"/>
      <c r="E134" s="7"/>
      <c r="F134" s="7"/>
      <c r="G134" s="7"/>
      <c r="H134" s="7"/>
      <c r="I134" s="7"/>
      <c r="J134" s="434"/>
      <c r="K134" s="434"/>
      <c r="L134" s="434"/>
      <c r="M134" s="434"/>
      <c r="N134" s="434"/>
      <c r="O134" s="434"/>
      <c r="P134" s="434"/>
      <c r="Q134" s="434"/>
      <c r="R134" s="434"/>
      <c r="S134" s="434"/>
      <c r="T134" s="7"/>
      <c r="U134" s="7"/>
    </row>
    <row r="135" spans="3:21" s="195" customFormat="1" x14ac:dyDescent="0.25">
      <c r="J135" s="89"/>
      <c r="K135" s="89"/>
      <c r="L135" s="89"/>
      <c r="M135" s="89"/>
      <c r="N135" s="89"/>
      <c r="O135" s="89"/>
      <c r="P135" s="89"/>
      <c r="Q135" s="89"/>
      <c r="R135" s="89"/>
      <c r="S135" s="89"/>
    </row>
    <row r="136" spans="3:21" x14ac:dyDescent="0.25">
      <c r="C136" s="82" t="s">
        <v>624</v>
      </c>
      <c r="J136" s="433"/>
      <c r="K136" s="433"/>
      <c r="L136" s="433"/>
      <c r="M136" s="433"/>
      <c r="N136" s="433"/>
      <c r="O136" s="433"/>
      <c r="P136" s="433"/>
      <c r="Q136" s="433"/>
      <c r="R136" s="433"/>
      <c r="S136" s="433"/>
    </row>
    <row r="137" spans="3:21" s="195" customFormat="1" x14ac:dyDescent="0.25">
      <c r="D137" s="96"/>
      <c r="I137" s="196"/>
      <c r="J137" s="433"/>
      <c r="K137" s="433"/>
      <c r="L137" s="433"/>
      <c r="M137" s="433"/>
      <c r="N137" s="433"/>
      <c r="O137" s="433"/>
      <c r="P137" s="433"/>
      <c r="Q137" s="433"/>
      <c r="R137" s="433"/>
      <c r="S137" s="433"/>
    </row>
    <row r="138" spans="3:21" x14ac:dyDescent="0.25">
      <c r="E138" s="96" t="s">
        <v>490</v>
      </c>
      <c r="I138" s="92" t="s">
        <v>359</v>
      </c>
      <c r="J138" s="433"/>
      <c r="K138" s="433"/>
      <c r="L138" s="433"/>
      <c r="M138" s="433"/>
      <c r="N138" s="433"/>
      <c r="O138" s="433"/>
      <c r="P138" s="433"/>
      <c r="Q138" s="433"/>
      <c r="R138" s="433"/>
      <c r="S138" s="433"/>
      <c r="U138" s="85" t="s">
        <v>812</v>
      </c>
    </row>
    <row r="139" spans="3:21" x14ac:dyDescent="0.25">
      <c r="F139" s="16" t="s">
        <v>267</v>
      </c>
      <c r="G139" s="16" t="s">
        <v>94</v>
      </c>
      <c r="H139" s="91"/>
      <c r="I139" s="91"/>
      <c r="J139" s="170"/>
      <c r="K139" s="431"/>
      <c r="L139" s="170"/>
      <c r="M139" s="170"/>
      <c r="N139" s="170"/>
      <c r="O139" s="170"/>
      <c r="P139" s="170"/>
      <c r="Q139" s="170"/>
      <c r="R139" s="170"/>
      <c r="S139" s="170"/>
      <c r="U139" s="90"/>
    </row>
    <row r="140" spans="3:21" x14ac:dyDescent="0.25">
      <c r="F140" s="76" t="s">
        <v>43</v>
      </c>
      <c r="G140" s="76" t="s">
        <v>94</v>
      </c>
      <c r="H140" s="92"/>
      <c r="I140" s="92"/>
      <c r="J140" s="185">
        <f t="shared" ref="J140:J148" si="6">CHOOSE(year_selection, L140,M140,N140,O140,P140,Q140,R140,S140)</f>
        <v>0.85246164448733908</v>
      </c>
      <c r="K140" s="432"/>
      <c r="L140" s="324">
        <v>0.87714932303008375</v>
      </c>
      <c r="M140" s="324">
        <v>0.84983413472363178</v>
      </c>
      <c r="N140" s="324">
        <v>0.85105418309270231</v>
      </c>
      <c r="O140" s="324">
        <v>0.85246164448733908</v>
      </c>
      <c r="P140" s="324">
        <v>0.85246164448733908</v>
      </c>
      <c r="Q140" s="324">
        <v>0.85246164448733908</v>
      </c>
      <c r="R140" s="324">
        <v>0.85246164448733908</v>
      </c>
      <c r="S140" s="324">
        <v>0.85246164448733908</v>
      </c>
      <c r="U140" s="90"/>
    </row>
    <row r="141" spans="3:21" x14ac:dyDescent="0.25">
      <c r="F141" s="76" t="s">
        <v>44</v>
      </c>
      <c r="G141" s="76" t="s">
        <v>94</v>
      </c>
      <c r="H141" s="92"/>
      <c r="I141" s="92"/>
      <c r="J141" s="185">
        <f t="shared" si="6"/>
        <v>0.74473134722277601</v>
      </c>
      <c r="K141" s="432"/>
      <c r="L141" s="324">
        <v>0.81354690092946347</v>
      </c>
      <c r="M141" s="324">
        <v>0.77327145872524972</v>
      </c>
      <c r="N141" s="324">
        <v>0.73905257390902113</v>
      </c>
      <c r="O141" s="324">
        <v>0.74473134722277601</v>
      </c>
      <c r="P141" s="324">
        <v>0.74473134722277601</v>
      </c>
      <c r="Q141" s="324">
        <v>0.74473134722277601</v>
      </c>
      <c r="R141" s="324">
        <v>0.74473134722277601</v>
      </c>
      <c r="S141" s="324">
        <v>0.74473134722277601</v>
      </c>
      <c r="U141" s="90"/>
    </row>
    <row r="142" spans="3:21" x14ac:dyDescent="0.25">
      <c r="F142" s="76" t="s">
        <v>45</v>
      </c>
      <c r="G142" s="76" t="s">
        <v>94</v>
      </c>
      <c r="H142" s="92"/>
      <c r="I142" s="92"/>
      <c r="J142" s="185">
        <f t="shared" si="6"/>
        <v>0.74473134722277601</v>
      </c>
      <c r="K142" s="432"/>
      <c r="L142" s="324">
        <v>0.81354690092946347</v>
      </c>
      <c r="M142" s="324">
        <v>0.77327145872524972</v>
      </c>
      <c r="N142" s="324">
        <v>0.73905257390902113</v>
      </c>
      <c r="O142" s="324">
        <v>0.74473134722277601</v>
      </c>
      <c r="P142" s="324">
        <v>0.74473134722277601</v>
      </c>
      <c r="Q142" s="324">
        <v>0.74473134722277601</v>
      </c>
      <c r="R142" s="324">
        <v>0.74473134722277601</v>
      </c>
      <c r="S142" s="324">
        <v>0.74473134722277601</v>
      </c>
      <c r="U142" s="90"/>
    </row>
    <row r="143" spans="3:21" x14ac:dyDescent="0.25">
      <c r="F143" s="76" t="s">
        <v>46</v>
      </c>
      <c r="G143" s="76" t="s">
        <v>94</v>
      </c>
      <c r="H143" s="92"/>
      <c r="I143" s="92"/>
      <c r="J143" s="185">
        <f t="shared" si="6"/>
        <v>0.61498575708306913</v>
      </c>
      <c r="K143" s="432"/>
      <c r="L143" s="324">
        <v>0.64604237702390588</v>
      </c>
      <c r="M143" s="324">
        <v>0.64018282947787719</v>
      </c>
      <c r="N143" s="324">
        <v>0.63019485639427752</v>
      </c>
      <c r="O143" s="324">
        <v>0.61498575708306913</v>
      </c>
      <c r="P143" s="324">
        <v>0.61498575708306913</v>
      </c>
      <c r="Q143" s="324">
        <v>0.61498575708306913</v>
      </c>
      <c r="R143" s="324">
        <v>0.61498575708306913</v>
      </c>
      <c r="S143" s="324">
        <v>0.61498575708306913</v>
      </c>
      <c r="U143" s="90"/>
    </row>
    <row r="144" spans="3:21" x14ac:dyDescent="0.25">
      <c r="F144" s="76" t="s">
        <v>47</v>
      </c>
      <c r="G144" s="76" t="s">
        <v>94</v>
      </c>
      <c r="H144" s="92"/>
      <c r="I144" s="92"/>
      <c r="J144" s="185">
        <f t="shared" si="6"/>
        <v>0.61498575708306913</v>
      </c>
      <c r="K144" s="432"/>
      <c r="L144" s="324">
        <v>0.64604237702390588</v>
      </c>
      <c r="M144" s="324">
        <v>0.64018282947787719</v>
      </c>
      <c r="N144" s="324">
        <v>0.63019485639427752</v>
      </c>
      <c r="O144" s="324">
        <v>0.61498575708306913</v>
      </c>
      <c r="P144" s="324">
        <v>0.61498575708306913</v>
      </c>
      <c r="Q144" s="324">
        <v>0.61498575708306913</v>
      </c>
      <c r="R144" s="324">
        <v>0.61498575708306913</v>
      </c>
      <c r="S144" s="324">
        <v>0.61498575708306913</v>
      </c>
      <c r="U144" s="90"/>
    </row>
    <row r="145" spans="5:21" x14ac:dyDescent="0.25">
      <c r="F145" s="76" t="s">
        <v>51</v>
      </c>
      <c r="G145" s="76" t="s">
        <v>94</v>
      </c>
      <c r="H145" s="92"/>
      <c r="I145" s="92"/>
      <c r="J145" s="185">
        <f t="shared" si="6"/>
        <v>0</v>
      </c>
      <c r="K145" s="432"/>
      <c r="L145" s="324">
        <v>0</v>
      </c>
      <c r="M145" s="324">
        <v>0</v>
      </c>
      <c r="N145" s="324">
        <v>0</v>
      </c>
      <c r="O145" s="324">
        <v>0</v>
      </c>
      <c r="P145" s="324">
        <v>0</v>
      </c>
      <c r="Q145" s="324">
        <v>0</v>
      </c>
      <c r="R145" s="324">
        <v>0</v>
      </c>
      <c r="S145" s="324">
        <v>0</v>
      </c>
      <c r="U145" s="90"/>
    </row>
    <row r="146" spans="5:21" x14ac:dyDescent="0.25">
      <c r="F146" s="76" t="s">
        <v>48</v>
      </c>
      <c r="G146" s="76" t="s">
        <v>94</v>
      </c>
      <c r="H146" s="92"/>
      <c r="I146" s="92"/>
      <c r="J146" s="185">
        <f t="shared" si="6"/>
        <v>0.3799428329392241</v>
      </c>
      <c r="K146" s="432"/>
      <c r="L146" s="324">
        <v>0.42663341792505066</v>
      </c>
      <c r="M146" s="324">
        <v>0.42071378612579197</v>
      </c>
      <c r="N146" s="324">
        <v>0.40448497016001328</v>
      </c>
      <c r="O146" s="324">
        <v>0.3799428329392241</v>
      </c>
      <c r="P146" s="324">
        <v>0.3799428329392241</v>
      </c>
      <c r="Q146" s="324">
        <v>0.3799428329392241</v>
      </c>
      <c r="R146" s="324">
        <v>0.3799428329392241</v>
      </c>
      <c r="S146" s="324">
        <v>0.3799428329392241</v>
      </c>
      <c r="U146" s="90"/>
    </row>
    <row r="147" spans="5:21" x14ac:dyDescent="0.25">
      <c r="F147" s="76" t="s">
        <v>49</v>
      </c>
      <c r="G147" s="76" t="s">
        <v>94</v>
      </c>
      <c r="H147" s="92"/>
      <c r="I147" s="92"/>
      <c r="J147" s="185">
        <f t="shared" si="6"/>
        <v>0.3799428329392241</v>
      </c>
      <c r="K147" s="432"/>
      <c r="L147" s="324">
        <v>0.42663341792505066</v>
      </c>
      <c r="M147" s="324">
        <v>0.42071378612579197</v>
      </c>
      <c r="N147" s="324">
        <v>0.40448497016001328</v>
      </c>
      <c r="O147" s="324">
        <v>0.3799428329392241</v>
      </c>
      <c r="P147" s="324">
        <v>0.3799428329392241</v>
      </c>
      <c r="Q147" s="324">
        <v>0.3799428329392241</v>
      </c>
      <c r="R147" s="324">
        <v>0.3799428329392241</v>
      </c>
      <c r="S147" s="324">
        <v>0.3799428329392241</v>
      </c>
      <c r="U147" s="90"/>
    </row>
    <row r="148" spans="5:21" x14ac:dyDescent="0.25">
      <c r="F148" s="15" t="s">
        <v>50</v>
      </c>
      <c r="G148" s="15" t="s">
        <v>94</v>
      </c>
      <c r="H148" s="93"/>
      <c r="I148" s="93"/>
      <c r="J148" s="186">
        <f t="shared" si="6"/>
        <v>0.3799428329392241</v>
      </c>
      <c r="K148" s="308"/>
      <c r="L148" s="325">
        <v>0.42663341792505066</v>
      </c>
      <c r="M148" s="325">
        <v>0.42071378612579197</v>
      </c>
      <c r="N148" s="325">
        <v>0.40448497016001328</v>
      </c>
      <c r="O148" s="325">
        <v>0.3799428329392241</v>
      </c>
      <c r="P148" s="325">
        <v>0.3799428329392241</v>
      </c>
      <c r="Q148" s="325">
        <v>0.3799428329392241</v>
      </c>
      <c r="R148" s="325">
        <v>0.3799428329392241</v>
      </c>
      <c r="S148" s="325">
        <v>0.3799428329392241</v>
      </c>
      <c r="U148" s="90"/>
    </row>
    <row r="149" spans="5:21" x14ac:dyDescent="0.25">
      <c r="E149" s="96"/>
      <c r="I149" s="92"/>
      <c r="J149" s="433"/>
      <c r="K149" s="433"/>
      <c r="L149" s="433"/>
      <c r="M149" s="433"/>
      <c r="N149" s="433"/>
      <c r="O149" s="433"/>
      <c r="P149" s="433"/>
      <c r="Q149" s="433"/>
      <c r="R149" s="433"/>
      <c r="S149" s="433"/>
    </row>
    <row r="150" spans="5:21" x14ac:dyDescent="0.25">
      <c r="E150" s="96" t="s">
        <v>491</v>
      </c>
      <c r="I150" s="92" t="s">
        <v>359</v>
      </c>
      <c r="J150" s="433"/>
      <c r="K150" s="433"/>
      <c r="L150" s="433"/>
      <c r="M150" s="433"/>
      <c r="N150" s="433"/>
      <c r="O150" s="433"/>
      <c r="P150" s="433"/>
      <c r="Q150" s="433"/>
      <c r="R150" s="433"/>
      <c r="S150" s="433"/>
      <c r="U150" s="85" t="s">
        <v>812</v>
      </c>
    </row>
    <row r="151" spans="5:21" x14ac:dyDescent="0.25">
      <c r="F151" s="16" t="s">
        <v>267</v>
      </c>
      <c r="G151" s="16" t="s">
        <v>94</v>
      </c>
      <c r="H151" s="91"/>
      <c r="I151" s="91"/>
      <c r="J151" s="170"/>
      <c r="K151" s="431"/>
      <c r="L151" s="170"/>
      <c r="M151" s="170"/>
      <c r="N151" s="170"/>
      <c r="O151" s="170"/>
      <c r="P151" s="170"/>
      <c r="Q151" s="170"/>
      <c r="R151" s="170"/>
      <c r="S151" s="170"/>
      <c r="U151" s="90"/>
    </row>
    <row r="152" spans="5:21" x14ac:dyDescent="0.25">
      <c r="F152" s="76" t="s">
        <v>43</v>
      </c>
      <c r="G152" s="76" t="s">
        <v>94</v>
      </c>
      <c r="H152" s="92"/>
      <c r="I152" s="92"/>
      <c r="J152" s="185">
        <f t="shared" ref="J152:J160" si="7">CHOOSE(year_selection, L152,M152,N152,O152,P152,Q152,R152,S152)</f>
        <v>0.14753835551266087</v>
      </c>
      <c r="K152" s="432"/>
      <c r="L152" s="324">
        <v>0.12285067696991624</v>
      </c>
      <c r="M152" s="324">
        <v>0.1501658652763683</v>
      </c>
      <c r="N152" s="324">
        <v>0.14894581690729777</v>
      </c>
      <c r="O152" s="324">
        <v>0.14753835551266087</v>
      </c>
      <c r="P152" s="324">
        <v>0.14753835551266087</v>
      </c>
      <c r="Q152" s="324">
        <v>0.14753835551266087</v>
      </c>
      <c r="R152" s="324">
        <v>0.14753835551266087</v>
      </c>
      <c r="S152" s="324">
        <v>0.14753835551266087</v>
      </c>
      <c r="U152" s="90"/>
    </row>
    <row r="153" spans="5:21" x14ac:dyDescent="0.25">
      <c r="F153" s="76" t="s">
        <v>44</v>
      </c>
      <c r="G153" s="76" t="s">
        <v>94</v>
      </c>
      <c r="H153" s="92"/>
      <c r="I153" s="92"/>
      <c r="J153" s="185">
        <f t="shared" si="7"/>
        <v>0.24659319962112539</v>
      </c>
      <c r="K153" s="432"/>
      <c r="L153" s="324">
        <v>0.18388800282969542</v>
      </c>
      <c r="M153" s="324">
        <v>0.22484876980125112</v>
      </c>
      <c r="N153" s="324">
        <v>0.25682456452040114</v>
      </c>
      <c r="O153" s="324">
        <v>0.24659319962112539</v>
      </c>
      <c r="P153" s="324">
        <v>0.24659319962112539</v>
      </c>
      <c r="Q153" s="324">
        <v>0.24659319962112539</v>
      </c>
      <c r="R153" s="324">
        <v>0.24659319962112539</v>
      </c>
      <c r="S153" s="324">
        <v>0.24659319962112539</v>
      </c>
      <c r="U153" s="90"/>
    </row>
    <row r="154" spans="5:21" x14ac:dyDescent="0.25">
      <c r="F154" s="76" t="s">
        <v>45</v>
      </c>
      <c r="G154" s="76" t="s">
        <v>94</v>
      </c>
      <c r="H154" s="92"/>
      <c r="I154" s="92"/>
      <c r="J154" s="185">
        <f t="shared" si="7"/>
        <v>0.24659319962112539</v>
      </c>
      <c r="K154" s="432"/>
      <c r="L154" s="324">
        <v>0.18388800282969542</v>
      </c>
      <c r="M154" s="324">
        <v>0.22484876980125112</v>
      </c>
      <c r="N154" s="324">
        <v>0.25682456452040114</v>
      </c>
      <c r="O154" s="324">
        <v>0.24659319962112539</v>
      </c>
      <c r="P154" s="324">
        <v>0.24659319962112539</v>
      </c>
      <c r="Q154" s="324">
        <v>0.24659319962112539</v>
      </c>
      <c r="R154" s="324">
        <v>0.24659319962112539</v>
      </c>
      <c r="S154" s="324">
        <v>0.24659319962112539</v>
      </c>
      <c r="U154" s="90"/>
    </row>
    <row r="155" spans="5:21" x14ac:dyDescent="0.25">
      <c r="F155" s="76" t="s">
        <v>46</v>
      </c>
      <c r="G155" s="76" t="s">
        <v>94</v>
      </c>
      <c r="H155" s="92"/>
      <c r="I155" s="92"/>
      <c r="J155" s="185">
        <f t="shared" si="7"/>
        <v>0.37180191456713002</v>
      </c>
      <c r="K155" s="432"/>
      <c r="L155" s="324">
        <v>0.33939627158356922</v>
      </c>
      <c r="M155" s="324">
        <v>0.34653475617850393</v>
      </c>
      <c r="N155" s="324">
        <v>0.35639215617344072</v>
      </c>
      <c r="O155" s="324">
        <v>0.37180191456713002</v>
      </c>
      <c r="P155" s="324">
        <v>0.37180191456713002</v>
      </c>
      <c r="Q155" s="324">
        <v>0.37180191456713002</v>
      </c>
      <c r="R155" s="324">
        <v>0.37180191456713002</v>
      </c>
      <c r="S155" s="324">
        <v>0.37180191456713002</v>
      </c>
      <c r="U155" s="90"/>
    </row>
    <row r="156" spans="5:21" x14ac:dyDescent="0.25">
      <c r="F156" s="76" t="s">
        <v>47</v>
      </c>
      <c r="G156" s="76" t="s">
        <v>94</v>
      </c>
      <c r="H156" s="92"/>
      <c r="I156" s="92"/>
      <c r="J156" s="185">
        <f t="shared" si="7"/>
        <v>0.37180191456713002</v>
      </c>
      <c r="K156" s="432"/>
      <c r="L156" s="324">
        <v>0.33939627158356922</v>
      </c>
      <c r="M156" s="324">
        <v>0.34653475617850393</v>
      </c>
      <c r="N156" s="324">
        <v>0.35639215617344072</v>
      </c>
      <c r="O156" s="324">
        <v>0.37180191456713002</v>
      </c>
      <c r="P156" s="324">
        <v>0.37180191456713002</v>
      </c>
      <c r="Q156" s="324">
        <v>0.37180191456713002</v>
      </c>
      <c r="R156" s="324">
        <v>0.37180191456713002</v>
      </c>
      <c r="S156" s="324">
        <v>0.37180191456713002</v>
      </c>
      <c r="U156" s="90"/>
    </row>
    <row r="157" spans="5:21" x14ac:dyDescent="0.25">
      <c r="F157" s="76" t="s">
        <v>51</v>
      </c>
      <c r="G157" s="76" t="s">
        <v>94</v>
      </c>
      <c r="H157" s="92"/>
      <c r="I157" s="92"/>
      <c r="J157" s="185">
        <f t="shared" si="7"/>
        <v>0</v>
      </c>
      <c r="K157" s="432"/>
      <c r="L157" s="324">
        <v>0</v>
      </c>
      <c r="M157" s="324">
        <v>0</v>
      </c>
      <c r="N157" s="324">
        <v>0</v>
      </c>
      <c r="O157" s="324">
        <v>0</v>
      </c>
      <c r="P157" s="324">
        <v>0</v>
      </c>
      <c r="Q157" s="324">
        <v>0</v>
      </c>
      <c r="R157" s="324">
        <v>0</v>
      </c>
      <c r="S157" s="324">
        <v>0</v>
      </c>
      <c r="U157" s="90"/>
    </row>
    <row r="158" spans="5:21" x14ac:dyDescent="0.25">
      <c r="F158" s="76" t="s">
        <v>48</v>
      </c>
      <c r="G158" s="76" t="s">
        <v>94</v>
      </c>
      <c r="H158" s="92"/>
      <c r="I158" s="92"/>
      <c r="J158" s="185">
        <f t="shared" si="7"/>
        <v>0.59387927082595571</v>
      </c>
      <c r="K158" s="432"/>
      <c r="L158" s="324">
        <v>0.5416472134423479</v>
      </c>
      <c r="M158" s="324">
        <v>0.54937887796921225</v>
      </c>
      <c r="N158" s="324">
        <v>0.56742051584363506</v>
      </c>
      <c r="O158" s="324">
        <v>0.59387927082595571</v>
      </c>
      <c r="P158" s="324">
        <v>0.59387927082595571</v>
      </c>
      <c r="Q158" s="324">
        <v>0.59387927082595571</v>
      </c>
      <c r="R158" s="324">
        <v>0.59387927082595571</v>
      </c>
      <c r="S158" s="324">
        <v>0.59387927082595571</v>
      </c>
      <c r="U158" s="90"/>
    </row>
    <row r="159" spans="5:21" x14ac:dyDescent="0.25">
      <c r="F159" s="76" t="s">
        <v>49</v>
      </c>
      <c r="G159" s="76" t="s">
        <v>94</v>
      </c>
      <c r="H159" s="92"/>
      <c r="I159" s="92"/>
      <c r="J159" s="185">
        <f t="shared" si="7"/>
        <v>0.59387927082595571</v>
      </c>
      <c r="K159" s="432"/>
      <c r="L159" s="324">
        <v>0.5416472134423479</v>
      </c>
      <c r="M159" s="324">
        <v>0.54937887796921225</v>
      </c>
      <c r="N159" s="324">
        <v>0.56742051584363506</v>
      </c>
      <c r="O159" s="324">
        <v>0.59387927082595571</v>
      </c>
      <c r="P159" s="324">
        <v>0.59387927082595571</v>
      </c>
      <c r="Q159" s="324">
        <v>0.59387927082595571</v>
      </c>
      <c r="R159" s="324">
        <v>0.59387927082595571</v>
      </c>
      <c r="S159" s="324">
        <v>0.59387927082595571</v>
      </c>
      <c r="U159" s="90"/>
    </row>
    <row r="160" spans="5:21" x14ac:dyDescent="0.25">
      <c r="F160" s="15" t="s">
        <v>50</v>
      </c>
      <c r="G160" s="15" t="s">
        <v>94</v>
      </c>
      <c r="H160" s="93"/>
      <c r="I160" s="93"/>
      <c r="J160" s="186">
        <f t="shared" si="7"/>
        <v>0.59387927082595571</v>
      </c>
      <c r="K160" s="308"/>
      <c r="L160" s="325">
        <v>0.5416472134423479</v>
      </c>
      <c r="M160" s="325">
        <v>0.54937887796921225</v>
      </c>
      <c r="N160" s="325">
        <v>0.56742051584363506</v>
      </c>
      <c r="O160" s="325">
        <v>0.59387927082595571</v>
      </c>
      <c r="P160" s="325">
        <v>0.59387927082595571</v>
      </c>
      <c r="Q160" s="325">
        <v>0.59387927082595571</v>
      </c>
      <c r="R160" s="325">
        <v>0.59387927082595571</v>
      </c>
      <c r="S160" s="325">
        <v>0.59387927082595571</v>
      </c>
      <c r="U160" s="90"/>
    </row>
    <row r="161" spans="5:21" x14ac:dyDescent="0.25">
      <c r="E161" s="96"/>
      <c r="I161" s="92"/>
      <c r="J161" s="433"/>
      <c r="K161" s="433"/>
      <c r="L161" s="433"/>
      <c r="M161" s="433"/>
      <c r="N161" s="433"/>
      <c r="O161" s="433"/>
      <c r="P161" s="433"/>
      <c r="Q161" s="433"/>
      <c r="R161" s="433"/>
      <c r="S161" s="433"/>
    </row>
    <row r="162" spans="5:21" x14ac:dyDescent="0.25">
      <c r="E162" s="96" t="s">
        <v>492</v>
      </c>
      <c r="I162" s="92" t="s">
        <v>359</v>
      </c>
      <c r="J162" s="433"/>
      <c r="K162" s="433"/>
      <c r="L162" s="433"/>
      <c r="M162" s="433"/>
      <c r="N162" s="433"/>
      <c r="O162" s="433"/>
      <c r="P162" s="433"/>
      <c r="Q162" s="433"/>
      <c r="R162" s="433"/>
      <c r="S162" s="433"/>
      <c r="U162" s="85" t="s">
        <v>812</v>
      </c>
    </row>
    <row r="163" spans="5:21" x14ac:dyDescent="0.25">
      <c r="F163" s="16" t="s">
        <v>267</v>
      </c>
      <c r="G163" s="16" t="s">
        <v>94</v>
      </c>
      <c r="H163" s="91"/>
      <c r="I163" s="91"/>
      <c r="J163" s="170"/>
      <c r="K163" s="431"/>
      <c r="L163" s="170"/>
      <c r="M163" s="170"/>
      <c r="N163" s="170"/>
      <c r="O163" s="170"/>
      <c r="P163" s="170"/>
      <c r="Q163" s="170"/>
      <c r="R163" s="170"/>
      <c r="S163" s="170"/>
      <c r="U163" s="90"/>
    </row>
    <row r="164" spans="5:21" x14ac:dyDescent="0.25">
      <c r="F164" s="76" t="s">
        <v>43</v>
      </c>
      <c r="G164" s="76" t="s">
        <v>94</v>
      </c>
      <c r="H164" s="92"/>
      <c r="I164" s="92"/>
      <c r="J164" s="185">
        <f t="shared" ref="J164:J172" si="8">CHOOSE(year_selection, L164,M164,N164,O164,P164,Q164,R164,S164)</f>
        <v>0</v>
      </c>
      <c r="K164" s="432"/>
      <c r="L164" s="324">
        <v>0</v>
      </c>
      <c r="M164" s="324">
        <v>0</v>
      </c>
      <c r="N164" s="324">
        <v>0</v>
      </c>
      <c r="O164" s="324">
        <v>0</v>
      </c>
      <c r="P164" s="324">
        <v>0</v>
      </c>
      <c r="Q164" s="324">
        <v>0</v>
      </c>
      <c r="R164" s="324">
        <v>0</v>
      </c>
      <c r="S164" s="324">
        <v>0</v>
      </c>
      <c r="U164" s="90"/>
    </row>
    <row r="165" spans="5:21" x14ac:dyDescent="0.25">
      <c r="F165" s="76" t="s">
        <v>44</v>
      </c>
      <c r="G165" s="76" t="s">
        <v>94</v>
      </c>
      <c r="H165" s="92"/>
      <c r="I165" s="92"/>
      <c r="J165" s="185">
        <f t="shared" si="8"/>
        <v>8.6754531560986579E-3</v>
      </c>
      <c r="K165" s="432"/>
      <c r="L165" s="324">
        <v>2.5650962408412851E-3</v>
      </c>
      <c r="M165" s="324">
        <v>1.8797714734992094E-3</v>
      </c>
      <c r="N165" s="324">
        <v>4.1228615705776704E-3</v>
      </c>
      <c r="O165" s="324">
        <v>8.6754531560986579E-3</v>
      </c>
      <c r="P165" s="324">
        <v>8.6754531560986579E-3</v>
      </c>
      <c r="Q165" s="324">
        <v>8.6754531560986579E-3</v>
      </c>
      <c r="R165" s="324">
        <v>8.6754531560986579E-3</v>
      </c>
      <c r="S165" s="324">
        <v>8.6754531560986579E-3</v>
      </c>
      <c r="U165" s="90"/>
    </row>
    <row r="166" spans="5:21" x14ac:dyDescent="0.25">
      <c r="F166" s="76" t="s">
        <v>45</v>
      </c>
      <c r="G166" s="76" t="s">
        <v>94</v>
      </c>
      <c r="H166" s="92"/>
      <c r="I166" s="92"/>
      <c r="J166" s="185">
        <f t="shared" si="8"/>
        <v>8.6754531560986579E-3</v>
      </c>
      <c r="K166" s="432"/>
      <c r="L166" s="324">
        <v>2.5650962408412851E-3</v>
      </c>
      <c r="M166" s="324">
        <v>1.8797714734992094E-3</v>
      </c>
      <c r="N166" s="324">
        <v>4.1228615705776704E-3</v>
      </c>
      <c r="O166" s="324">
        <v>8.6754531560986579E-3</v>
      </c>
      <c r="P166" s="324">
        <v>8.6754531560986579E-3</v>
      </c>
      <c r="Q166" s="324">
        <v>8.6754531560986579E-3</v>
      </c>
      <c r="R166" s="324">
        <v>8.6754531560986579E-3</v>
      </c>
      <c r="S166" s="324">
        <v>8.6754531560986579E-3</v>
      </c>
      <c r="U166" s="90"/>
    </row>
    <row r="167" spans="5:21" x14ac:dyDescent="0.25">
      <c r="F167" s="76" t="s">
        <v>46</v>
      </c>
      <c r="G167" s="76" t="s">
        <v>94</v>
      </c>
      <c r="H167" s="92"/>
      <c r="I167" s="92"/>
      <c r="J167" s="185">
        <f t="shared" si="8"/>
        <v>1.3212328349800849E-2</v>
      </c>
      <c r="K167" s="432"/>
      <c r="L167" s="324">
        <v>1.4561351392524903E-2</v>
      </c>
      <c r="M167" s="324">
        <v>1.3282414343618812E-2</v>
      </c>
      <c r="N167" s="324">
        <v>1.3412987432281823E-2</v>
      </c>
      <c r="O167" s="324">
        <v>1.3212328349800849E-2</v>
      </c>
      <c r="P167" s="324">
        <v>1.3212328349800849E-2</v>
      </c>
      <c r="Q167" s="324">
        <v>1.3212328349800849E-2</v>
      </c>
      <c r="R167" s="324">
        <v>1.3212328349800849E-2</v>
      </c>
      <c r="S167" s="324">
        <v>1.3212328349800849E-2</v>
      </c>
      <c r="U167" s="90"/>
    </row>
    <row r="168" spans="5:21" x14ac:dyDescent="0.25">
      <c r="F168" s="76" t="s">
        <v>47</v>
      </c>
      <c r="G168" s="76" t="s">
        <v>94</v>
      </c>
      <c r="H168" s="92"/>
      <c r="I168" s="92"/>
      <c r="J168" s="185">
        <f t="shared" si="8"/>
        <v>1.3212328349800849E-2</v>
      </c>
      <c r="K168" s="432"/>
      <c r="L168" s="324">
        <v>1.4561351392524903E-2</v>
      </c>
      <c r="M168" s="324">
        <v>1.3282414343618812E-2</v>
      </c>
      <c r="N168" s="324">
        <v>1.3412987432281823E-2</v>
      </c>
      <c r="O168" s="324">
        <v>1.3212328349800849E-2</v>
      </c>
      <c r="P168" s="324">
        <v>1.3212328349800849E-2</v>
      </c>
      <c r="Q168" s="324">
        <v>1.3212328349800849E-2</v>
      </c>
      <c r="R168" s="324">
        <v>1.3212328349800849E-2</v>
      </c>
      <c r="S168" s="324">
        <v>1.3212328349800849E-2</v>
      </c>
      <c r="U168" s="90"/>
    </row>
    <row r="169" spans="5:21" x14ac:dyDescent="0.25">
      <c r="F169" s="76" t="s">
        <v>51</v>
      </c>
      <c r="G169" s="76" t="s">
        <v>94</v>
      </c>
      <c r="H169" s="92"/>
      <c r="I169" s="92"/>
      <c r="J169" s="185">
        <f t="shared" si="8"/>
        <v>0</v>
      </c>
      <c r="K169" s="432"/>
      <c r="L169" s="324">
        <v>0</v>
      </c>
      <c r="M169" s="324">
        <v>0</v>
      </c>
      <c r="N169" s="324">
        <v>0</v>
      </c>
      <c r="O169" s="324">
        <v>0</v>
      </c>
      <c r="P169" s="324">
        <v>0</v>
      </c>
      <c r="Q169" s="324">
        <v>0</v>
      </c>
      <c r="R169" s="324">
        <v>0</v>
      </c>
      <c r="S169" s="324">
        <v>0</v>
      </c>
      <c r="U169" s="90"/>
    </row>
    <row r="170" spans="5:21" x14ac:dyDescent="0.25">
      <c r="F170" s="76" t="s">
        <v>48</v>
      </c>
      <c r="G170" s="76" t="s">
        <v>94</v>
      </c>
      <c r="H170" s="92"/>
      <c r="I170" s="92"/>
      <c r="J170" s="185">
        <f t="shared" si="8"/>
        <v>2.6177896234820221E-2</v>
      </c>
      <c r="K170" s="432"/>
      <c r="L170" s="324">
        <v>3.1719368632601504E-2</v>
      </c>
      <c r="M170" s="324">
        <v>2.9907335904995735E-2</v>
      </c>
      <c r="N170" s="324">
        <v>2.8094513996351694E-2</v>
      </c>
      <c r="O170" s="324">
        <v>2.6177896234820221E-2</v>
      </c>
      <c r="P170" s="324">
        <v>2.6177896234820221E-2</v>
      </c>
      <c r="Q170" s="324">
        <v>2.6177896234820221E-2</v>
      </c>
      <c r="R170" s="324">
        <v>2.6177896234820221E-2</v>
      </c>
      <c r="S170" s="324">
        <v>2.6177896234820221E-2</v>
      </c>
      <c r="U170" s="90"/>
    </row>
    <row r="171" spans="5:21" x14ac:dyDescent="0.25">
      <c r="F171" s="76" t="s">
        <v>49</v>
      </c>
      <c r="G171" s="76" t="s">
        <v>94</v>
      </c>
      <c r="H171" s="92"/>
      <c r="I171" s="92"/>
      <c r="J171" s="185">
        <f t="shared" si="8"/>
        <v>2.6177896234820221E-2</v>
      </c>
      <c r="K171" s="432"/>
      <c r="L171" s="324">
        <v>3.1719368632601504E-2</v>
      </c>
      <c r="M171" s="324">
        <v>2.9907335904995735E-2</v>
      </c>
      <c r="N171" s="324">
        <v>2.8094513996351694E-2</v>
      </c>
      <c r="O171" s="324">
        <v>2.6177896234820221E-2</v>
      </c>
      <c r="P171" s="324">
        <v>2.6177896234820221E-2</v>
      </c>
      <c r="Q171" s="324">
        <v>2.6177896234820221E-2</v>
      </c>
      <c r="R171" s="324">
        <v>2.6177896234820221E-2</v>
      </c>
      <c r="S171" s="324">
        <v>2.6177896234820221E-2</v>
      </c>
      <c r="U171" s="90"/>
    </row>
    <row r="172" spans="5:21" x14ac:dyDescent="0.25">
      <c r="F172" s="15" t="s">
        <v>50</v>
      </c>
      <c r="G172" s="15" t="s">
        <v>94</v>
      </c>
      <c r="H172" s="93"/>
      <c r="I172" s="93"/>
      <c r="J172" s="186">
        <f t="shared" si="8"/>
        <v>2.6177896234820221E-2</v>
      </c>
      <c r="K172" s="308"/>
      <c r="L172" s="325">
        <v>3.1719368632601504E-2</v>
      </c>
      <c r="M172" s="325">
        <v>2.9907335904995735E-2</v>
      </c>
      <c r="N172" s="325">
        <v>2.8094513996351694E-2</v>
      </c>
      <c r="O172" s="325">
        <v>2.6177896234820221E-2</v>
      </c>
      <c r="P172" s="325">
        <v>2.6177896234820221E-2</v>
      </c>
      <c r="Q172" s="325">
        <v>2.6177896234820221E-2</v>
      </c>
      <c r="R172" s="325">
        <v>2.6177896234820221E-2</v>
      </c>
      <c r="S172" s="325">
        <v>2.6177896234820221E-2</v>
      </c>
      <c r="U172" s="90"/>
    </row>
    <row r="173" spans="5:21" x14ac:dyDescent="0.25">
      <c r="J173" s="433"/>
      <c r="K173" s="433"/>
      <c r="L173" s="433"/>
      <c r="M173" s="433"/>
      <c r="N173" s="433"/>
      <c r="O173" s="433"/>
      <c r="P173" s="433"/>
      <c r="Q173" s="433"/>
      <c r="R173" s="433"/>
      <c r="S173" s="433"/>
    </row>
    <row r="174" spans="5:21" x14ac:dyDescent="0.25">
      <c r="E174" s="96" t="s">
        <v>493</v>
      </c>
      <c r="J174" s="433"/>
      <c r="K174" s="433"/>
      <c r="L174" s="433"/>
      <c r="M174" s="433"/>
      <c r="N174" s="433"/>
      <c r="O174" s="433"/>
      <c r="P174" s="433"/>
      <c r="Q174" s="433"/>
      <c r="R174" s="433"/>
      <c r="S174" s="433"/>
    </row>
    <row r="175" spans="5:21" x14ac:dyDescent="0.25">
      <c r="F175" s="16" t="s">
        <v>267</v>
      </c>
      <c r="G175" s="16" t="s">
        <v>94</v>
      </c>
      <c r="H175" s="91"/>
      <c r="I175" s="91"/>
      <c r="J175" s="170"/>
      <c r="K175" s="431"/>
      <c r="L175" s="170"/>
      <c r="M175" s="170"/>
      <c r="N175" s="170"/>
      <c r="O175" s="170"/>
      <c r="P175" s="170"/>
      <c r="Q175" s="170"/>
      <c r="R175" s="170"/>
      <c r="S175" s="170"/>
      <c r="U175" s="90"/>
    </row>
    <row r="176" spans="5:21" x14ac:dyDescent="0.25">
      <c r="F176" s="76" t="s">
        <v>43</v>
      </c>
      <c r="G176" s="76" t="s">
        <v>94</v>
      </c>
      <c r="H176" s="92"/>
      <c r="I176" s="92"/>
      <c r="J176" s="185">
        <f t="shared" ref="J176:J184" si="9">CHOOSE(year_selection, L176,M176,N176,O176,P176,Q176,R176,S176)</f>
        <v>0.67294975519428046</v>
      </c>
      <c r="K176" s="432"/>
      <c r="L176" s="324">
        <v>0.52666037470868921</v>
      </c>
      <c r="M176" s="324">
        <v>0.45325523093801401</v>
      </c>
      <c r="N176" s="324">
        <v>0.47193798668140952</v>
      </c>
      <c r="O176" s="324">
        <v>0.67294975519428046</v>
      </c>
      <c r="P176" s="324">
        <v>0.67294975519428046</v>
      </c>
      <c r="Q176" s="324">
        <v>0.67294975519428046</v>
      </c>
      <c r="R176" s="324">
        <v>0.67294975519428046</v>
      </c>
      <c r="S176" s="324">
        <v>0.67294975519428046</v>
      </c>
      <c r="U176" s="90"/>
    </row>
    <row r="177" spans="2:27" x14ac:dyDescent="0.25">
      <c r="F177" s="76" t="s">
        <v>44</v>
      </c>
      <c r="G177" s="76" t="s">
        <v>94</v>
      </c>
      <c r="H177" s="92"/>
      <c r="I177" s="92"/>
      <c r="J177" s="185">
        <f t="shared" si="9"/>
        <v>0.69187454995110576</v>
      </c>
      <c r="K177" s="432"/>
      <c r="L177" s="324">
        <v>0.5883321234047395</v>
      </c>
      <c r="M177" s="324">
        <v>0.58160767275160052</v>
      </c>
      <c r="N177" s="324">
        <v>0.54425820763971444</v>
      </c>
      <c r="O177" s="324">
        <v>0.69187454995110576</v>
      </c>
      <c r="P177" s="324">
        <v>0.69187454995110576</v>
      </c>
      <c r="Q177" s="324">
        <v>0.69187454995110576</v>
      </c>
      <c r="R177" s="324">
        <v>0.69187454995110576</v>
      </c>
      <c r="S177" s="324">
        <v>0.69187454995110576</v>
      </c>
      <c r="U177" s="90"/>
    </row>
    <row r="178" spans="2:27" x14ac:dyDescent="0.25">
      <c r="F178" s="76" t="s">
        <v>45</v>
      </c>
      <c r="G178" s="76" t="s">
        <v>94</v>
      </c>
      <c r="H178" s="92"/>
      <c r="I178" s="92"/>
      <c r="J178" s="185">
        <f t="shared" si="9"/>
        <v>0.69187454995110576</v>
      </c>
      <c r="K178" s="432"/>
      <c r="L178" s="324">
        <v>0.5883321234047395</v>
      </c>
      <c r="M178" s="324">
        <v>0.58160767275160052</v>
      </c>
      <c r="N178" s="324">
        <v>0.54425820763971444</v>
      </c>
      <c r="O178" s="324">
        <v>0.69187454995110576</v>
      </c>
      <c r="P178" s="324">
        <v>0.69187454995110576</v>
      </c>
      <c r="Q178" s="324">
        <v>0.69187454995110576</v>
      </c>
      <c r="R178" s="324">
        <v>0.69187454995110576</v>
      </c>
      <c r="S178" s="324">
        <v>0.69187454995110576</v>
      </c>
      <c r="U178" s="90"/>
    </row>
    <row r="179" spans="2:27" x14ac:dyDescent="0.25">
      <c r="F179" s="76" t="s">
        <v>46</v>
      </c>
      <c r="G179" s="76" t="s">
        <v>94</v>
      </c>
      <c r="H179" s="92"/>
      <c r="I179" s="92"/>
      <c r="J179" s="185">
        <f t="shared" si="9"/>
        <v>0.5731442069319812</v>
      </c>
      <c r="K179" s="432"/>
      <c r="L179" s="324">
        <v>0.48656961006219612</v>
      </c>
      <c r="M179" s="324">
        <v>0.48817824516340952</v>
      </c>
      <c r="N179" s="324">
        <v>0.46725246890505673</v>
      </c>
      <c r="O179" s="324">
        <v>0.5731442069319812</v>
      </c>
      <c r="P179" s="324">
        <v>0.5731442069319812</v>
      </c>
      <c r="Q179" s="324">
        <v>0.5731442069319812</v>
      </c>
      <c r="R179" s="324">
        <v>0.5731442069319812</v>
      </c>
      <c r="S179" s="324">
        <v>0.5731442069319812</v>
      </c>
      <c r="U179" s="90"/>
    </row>
    <row r="180" spans="2:27" x14ac:dyDescent="0.25">
      <c r="F180" s="76" t="s">
        <v>47</v>
      </c>
      <c r="G180" s="76" t="s">
        <v>94</v>
      </c>
      <c r="H180" s="92"/>
      <c r="I180" s="92"/>
      <c r="J180" s="185">
        <f t="shared" si="9"/>
        <v>0.5731442069319812</v>
      </c>
      <c r="K180" s="432"/>
      <c r="L180" s="324">
        <v>0.48656961006219612</v>
      </c>
      <c r="M180" s="324">
        <v>0.48817824516340952</v>
      </c>
      <c r="N180" s="324">
        <v>0.46725246890505673</v>
      </c>
      <c r="O180" s="324">
        <v>0.5731442069319812</v>
      </c>
      <c r="P180" s="324">
        <v>0.5731442069319812</v>
      </c>
      <c r="Q180" s="324">
        <v>0.5731442069319812</v>
      </c>
      <c r="R180" s="324">
        <v>0.5731442069319812</v>
      </c>
      <c r="S180" s="324">
        <v>0.5731442069319812</v>
      </c>
      <c r="U180" s="90"/>
    </row>
    <row r="181" spans="2:27" x14ac:dyDescent="0.25">
      <c r="F181" s="76" t="s">
        <v>51</v>
      </c>
      <c r="G181" s="76" t="s">
        <v>94</v>
      </c>
      <c r="H181" s="92"/>
      <c r="I181" s="92"/>
      <c r="J181" s="185">
        <f t="shared" si="9"/>
        <v>0</v>
      </c>
      <c r="K181" s="432"/>
      <c r="L181" s="324">
        <v>0</v>
      </c>
      <c r="M181" s="324">
        <v>0</v>
      </c>
      <c r="N181" s="324">
        <v>0</v>
      </c>
      <c r="O181" s="324">
        <v>0</v>
      </c>
      <c r="P181" s="324">
        <v>0</v>
      </c>
      <c r="Q181" s="324">
        <v>0</v>
      </c>
      <c r="R181" s="324">
        <v>0</v>
      </c>
      <c r="S181" s="324">
        <v>0</v>
      </c>
      <c r="U181" s="90"/>
    </row>
    <row r="182" spans="2:27" x14ac:dyDescent="0.25">
      <c r="F182" s="76" t="s">
        <v>48</v>
      </c>
      <c r="G182" s="76" t="s">
        <v>94</v>
      </c>
      <c r="H182" s="92"/>
      <c r="I182" s="92"/>
      <c r="J182" s="185">
        <f t="shared" si="9"/>
        <v>0.33748362018361128</v>
      </c>
      <c r="K182" s="432"/>
      <c r="L182" s="324">
        <v>0.29903860265532539</v>
      </c>
      <c r="M182" s="324">
        <v>0.29701570270899208</v>
      </c>
      <c r="N182" s="324">
        <v>0.27823405406124019</v>
      </c>
      <c r="O182" s="324">
        <v>0.33748362018361128</v>
      </c>
      <c r="P182" s="324">
        <v>0.33748362018361128</v>
      </c>
      <c r="Q182" s="324">
        <v>0.33748362018361128</v>
      </c>
      <c r="R182" s="324">
        <v>0.33748362018361128</v>
      </c>
      <c r="S182" s="324">
        <v>0.33748362018361128</v>
      </c>
      <c r="U182" s="90"/>
    </row>
    <row r="183" spans="2:27" x14ac:dyDescent="0.25">
      <c r="F183" s="76" t="s">
        <v>49</v>
      </c>
      <c r="G183" s="76" t="s">
        <v>94</v>
      </c>
      <c r="H183" s="92"/>
      <c r="I183" s="92"/>
      <c r="J183" s="185">
        <f t="shared" si="9"/>
        <v>0.33748362018361128</v>
      </c>
      <c r="K183" s="432"/>
      <c r="L183" s="324">
        <v>0.29903860265532539</v>
      </c>
      <c r="M183" s="324">
        <v>0.29701570270899208</v>
      </c>
      <c r="N183" s="324">
        <v>0.27823405406124019</v>
      </c>
      <c r="O183" s="324">
        <v>0.33748362018361128</v>
      </c>
      <c r="P183" s="324">
        <v>0.33748362018361128</v>
      </c>
      <c r="Q183" s="324">
        <v>0.33748362018361128</v>
      </c>
      <c r="R183" s="324">
        <v>0.33748362018361128</v>
      </c>
      <c r="S183" s="324">
        <v>0.33748362018361128</v>
      </c>
      <c r="U183" s="90"/>
    </row>
    <row r="184" spans="2:27" x14ac:dyDescent="0.25">
      <c r="F184" s="15" t="s">
        <v>50</v>
      </c>
      <c r="G184" s="15" t="s">
        <v>94</v>
      </c>
      <c r="H184" s="93"/>
      <c r="I184" s="93"/>
      <c r="J184" s="186">
        <f t="shared" si="9"/>
        <v>0.33748362018361128</v>
      </c>
      <c r="K184" s="308"/>
      <c r="L184" s="325">
        <v>0.29903860265532539</v>
      </c>
      <c r="M184" s="325">
        <v>0.29701570270899208</v>
      </c>
      <c r="N184" s="325">
        <v>0.27823405406124019</v>
      </c>
      <c r="O184" s="325">
        <v>0.33748362018361128</v>
      </c>
      <c r="P184" s="325">
        <v>0.33748362018361128</v>
      </c>
      <c r="Q184" s="325">
        <v>0.33748362018361128</v>
      </c>
      <c r="R184" s="325">
        <v>0.33748362018361128</v>
      </c>
      <c r="S184" s="325">
        <v>0.33748362018361128</v>
      </c>
      <c r="U184" s="90"/>
    </row>
    <row r="185" spans="2:27" x14ac:dyDescent="0.25">
      <c r="J185" s="111"/>
      <c r="K185" s="111"/>
      <c r="L185" s="111"/>
      <c r="M185" s="111"/>
      <c r="N185" s="111"/>
      <c r="O185" s="111"/>
      <c r="P185" s="111"/>
      <c r="Q185" s="111"/>
      <c r="R185" s="111"/>
      <c r="S185" s="111"/>
    </row>
    <row r="186" spans="2:27" x14ac:dyDescent="0.25">
      <c r="B186" s="95" t="s">
        <v>109</v>
      </c>
      <c r="C186" s="95"/>
      <c r="D186" s="95"/>
      <c r="E186" s="95"/>
      <c r="F186" s="95"/>
      <c r="G186" s="95"/>
      <c r="H186" s="95"/>
      <c r="I186" s="95"/>
      <c r="J186" s="160"/>
      <c r="K186" s="160"/>
      <c r="L186" s="160"/>
      <c r="M186" s="160"/>
      <c r="N186" s="160"/>
      <c r="O186" s="160"/>
      <c r="P186" s="160"/>
      <c r="Q186" s="160"/>
      <c r="R186" s="160"/>
      <c r="S186" s="160"/>
      <c r="T186" s="95"/>
      <c r="U186" s="95"/>
      <c r="W186" s="95"/>
      <c r="X186" s="95"/>
      <c r="Y186" s="95"/>
      <c r="Z186" s="95"/>
      <c r="AA186" s="95"/>
    </row>
    <row r="187" spans="2:27" x14ac:dyDescent="0.25">
      <c r="J187" s="111"/>
      <c r="K187" s="111"/>
      <c r="L187" s="111"/>
      <c r="M187" s="111"/>
      <c r="N187" s="111"/>
      <c r="O187" s="111"/>
      <c r="P187" s="111"/>
      <c r="Q187" s="111"/>
      <c r="R187" s="111"/>
      <c r="S187" s="111"/>
    </row>
    <row r="188" spans="2:27" s="293" customFormat="1" x14ac:dyDescent="0.25">
      <c r="C188" s="82" t="s">
        <v>756</v>
      </c>
      <c r="H188" s="111"/>
      <c r="J188" s="111"/>
      <c r="K188" s="111"/>
      <c r="L188" s="111"/>
      <c r="M188" s="111"/>
      <c r="N188" s="111"/>
      <c r="O188" s="111"/>
      <c r="P188" s="111"/>
      <c r="Q188" s="111"/>
      <c r="R188" s="111"/>
      <c r="S188" s="111"/>
    </row>
    <row r="189" spans="2:27" s="293" customFormat="1" x14ac:dyDescent="0.25">
      <c r="H189" s="111"/>
      <c r="J189" s="111"/>
      <c r="K189" s="111"/>
      <c r="L189" s="111"/>
      <c r="M189" s="111"/>
      <c r="N189" s="111"/>
      <c r="O189" s="111"/>
      <c r="P189" s="111"/>
      <c r="Q189" s="111"/>
      <c r="R189" s="111"/>
      <c r="S189" s="111"/>
    </row>
    <row r="190" spans="2:27" x14ac:dyDescent="0.25">
      <c r="E190" s="85" t="s">
        <v>415</v>
      </c>
      <c r="G190" s="60" t="s">
        <v>588</v>
      </c>
      <c r="H190" s="178">
        <f t="array" ref="H190">SUM(IF(ISERROR(H18:T185), 1))</f>
        <v>0</v>
      </c>
      <c r="J190" s="111"/>
      <c r="K190" s="111"/>
      <c r="L190" s="111"/>
      <c r="M190" s="111"/>
      <c r="N190" s="111"/>
      <c r="O190" s="111"/>
      <c r="P190" s="111"/>
      <c r="Q190" s="111"/>
      <c r="R190" s="111"/>
      <c r="S190" s="111"/>
    </row>
    <row r="191" spans="2:27" x14ac:dyDescent="0.25">
      <c r="H191" s="111"/>
      <c r="J191" s="111"/>
      <c r="K191" s="111"/>
      <c r="L191" s="111"/>
      <c r="M191" s="111"/>
      <c r="N191" s="111"/>
      <c r="O191" s="111"/>
      <c r="P191" s="111"/>
      <c r="Q191" s="111"/>
      <c r="R191" s="111"/>
      <c r="S191" s="111"/>
    </row>
    <row r="192" spans="2:27" s="195" customFormat="1" x14ac:dyDescent="0.25">
      <c r="E192" s="195" t="s">
        <v>644</v>
      </c>
      <c r="G192" s="60" t="s">
        <v>588</v>
      </c>
      <c r="H192" s="178">
        <f>SUM(L192:S192)</f>
        <v>0</v>
      </c>
      <c r="J192" s="111"/>
      <c r="K192" s="111"/>
      <c r="L192" s="101"/>
      <c r="M192" s="101"/>
      <c r="N192" s="101"/>
      <c r="O192" s="178">
        <f>IF(O48 = 1, 0, 1)</f>
        <v>0</v>
      </c>
      <c r="P192" s="178">
        <f>IF(P48 = 1, 0, 1)</f>
        <v>0</v>
      </c>
      <c r="Q192" s="178">
        <f>IF(Q48 = 1, 0, 1)</f>
        <v>0</v>
      </c>
      <c r="R192" s="178">
        <f>IF(R48 = 1, 0, 1)</f>
        <v>0</v>
      </c>
      <c r="S192" s="178">
        <f>IF(S48 = 1, 0, 1)</f>
        <v>0</v>
      </c>
    </row>
    <row r="193" spans="5:21" s="195" customFormat="1" x14ac:dyDescent="0.25">
      <c r="H193" s="111"/>
      <c r="J193" s="111"/>
      <c r="K193" s="111"/>
      <c r="L193" s="111"/>
      <c r="M193" s="111"/>
      <c r="N193" s="111"/>
      <c r="O193" s="111"/>
      <c r="P193" s="111"/>
      <c r="Q193" s="111"/>
      <c r="R193" s="111"/>
      <c r="S193" s="111"/>
    </row>
    <row r="194" spans="5:21" x14ac:dyDescent="0.25">
      <c r="E194" s="96" t="s">
        <v>623</v>
      </c>
      <c r="H194" s="111"/>
      <c r="J194" s="111"/>
      <c r="K194" s="111"/>
      <c r="L194" s="111"/>
      <c r="M194" s="111"/>
      <c r="N194" s="111"/>
      <c r="O194" s="111"/>
      <c r="P194" s="111"/>
      <c r="Q194" s="111"/>
      <c r="R194" s="111"/>
      <c r="S194" s="111"/>
    </row>
    <row r="195" spans="5:21" x14ac:dyDescent="0.25">
      <c r="F195" s="16" t="s">
        <v>267</v>
      </c>
      <c r="G195" s="91" t="s">
        <v>588</v>
      </c>
      <c r="H195" s="165"/>
      <c r="I195" s="91"/>
      <c r="J195" s="112"/>
      <c r="K195" s="112"/>
      <c r="L195" s="217"/>
      <c r="M195" s="217"/>
      <c r="N195" s="217"/>
      <c r="O195" s="165"/>
      <c r="P195" s="165"/>
      <c r="Q195" s="165"/>
      <c r="R195" s="165"/>
      <c r="S195" s="165"/>
      <c r="U195" s="90"/>
    </row>
    <row r="196" spans="5:21" x14ac:dyDescent="0.25">
      <c r="F196" s="76" t="s">
        <v>43</v>
      </c>
      <c r="G196" s="92" t="s">
        <v>588</v>
      </c>
      <c r="H196" s="178">
        <f t="shared" ref="H196:H203" si="10">SUM(L196:S196)</f>
        <v>0</v>
      </c>
      <c r="I196" s="92"/>
      <c r="J196" s="66"/>
      <c r="K196" s="66"/>
      <c r="L196" s="101"/>
      <c r="M196" s="101"/>
      <c r="N196" s="101"/>
      <c r="O196" s="178">
        <f>IF(ABS(SUM(O140,O152,O164) - 1) &lt; 10^-check_decimals,0,1)</f>
        <v>0</v>
      </c>
      <c r="P196" s="178">
        <f>IF(ABS(SUM(P140,P152,P164) - 1) &lt; 10^-check_decimals,0,1)</f>
        <v>0</v>
      </c>
      <c r="Q196" s="178">
        <f>IF(ABS(SUM(Q140,Q152,Q164) - 1) &lt; 10^-check_decimals,0,1)</f>
        <v>0</v>
      </c>
      <c r="R196" s="178">
        <f>IF(ABS(SUM(R140,R152,R164) - 1) &lt; 10^-check_decimals,0,1)</f>
        <v>0</v>
      </c>
      <c r="S196" s="178">
        <f>IF(ABS(SUM(S140,S152,S164) - 1) &lt; 10^-check_decimals,0,1)</f>
        <v>0</v>
      </c>
      <c r="U196" s="90"/>
    </row>
    <row r="197" spans="5:21" x14ac:dyDescent="0.25">
      <c r="F197" s="76" t="s">
        <v>44</v>
      </c>
      <c r="G197" s="92" t="s">
        <v>588</v>
      </c>
      <c r="H197" s="101"/>
      <c r="I197" s="195"/>
      <c r="J197" s="195"/>
      <c r="K197" s="195"/>
      <c r="L197" s="79"/>
      <c r="M197" s="79"/>
      <c r="N197" s="79"/>
      <c r="O197" s="79"/>
      <c r="P197" s="79"/>
      <c r="Q197" s="79"/>
      <c r="R197" s="79"/>
      <c r="S197" s="79"/>
      <c r="U197" s="90"/>
    </row>
    <row r="198" spans="5:21" x14ac:dyDescent="0.25">
      <c r="F198" s="76" t="s">
        <v>45</v>
      </c>
      <c r="G198" s="92" t="s">
        <v>588</v>
      </c>
      <c r="H198" s="101"/>
      <c r="I198" s="195"/>
      <c r="J198" s="195"/>
      <c r="K198" s="195"/>
      <c r="L198" s="79"/>
      <c r="M198" s="79"/>
      <c r="N198" s="79"/>
      <c r="O198" s="79"/>
      <c r="P198" s="79"/>
      <c r="Q198" s="79"/>
      <c r="R198" s="79"/>
      <c r="S198" s="79"/>
      <c r="U198" s="90"/>
    </row>
    <row r="199" spans="5:21" x14ac:dyDescent="0.25">
      <c r="F199" s="76" t="s">
        <v>46</v>
      </c>
      <c r="G199" s="92" t="s">
        <v>588</v>
      </c>
      <c r="H199" s="178">
        <f t="shared" si="10"/>
        <v>0</v>
      </c>
      <c r="I199" s="92"/>
      <c r="J199" s="66"/>
      <c r="K199" s="66"/>
      <c r="L199" s="101"/>
      <c r="M199" s="101"/>
      <c r="N199" s="101"/>
      <c r="O199" s="178">
        <f t="shared" ref="O199:S200" si="11">IF(ABS(SUM(O143,O155,O167) - 1) &lt; 10^-check_decimals,0,1)</f>
        <v>0</v>
      </c>
      <c r="P199" s="178">
        <f t="shared" si="11"/>
        <v>0</v>
      </c>
      <c r="Q199" s="178">
        <f t="shared" si="11"/>
        <v>0</v>
      </c>
      <c r="R199" s="178">
        <f t="shared" si="11"/>
        <v>0</v>
      </c>
      <c r="S199" s="178">
        <f t="shared" si="11"/>
        <v>0</v>
      </c>
      <c r="U199" s="90"/>
    </row>
    <row r="200" spans="5:21" x14ac:dyDescent="0.25">
      <c r="F200" s="76" t="s">
        <v>47</v>
      </c>
      <c r="G200" s="92" t="s">
        <v>588</v>
      </c>
      <c r="H200" s="178">
        <f t="shared" si="10"/>
        <v>0</v>
      </c>
      <c r="I200" s="92"/>
      <c r="J200" s="66"/>
      <c r="K200" s="66"/>
      <c r="L200" s="101"/>
      <c r="M200" s="101"/>
      <c r="N200" s="101"/>
      <c r="O200" s="178">
        <f t="shared" si="11"/>
        <v>0</v>
      </c>
      <c r="P200" s="178">
        <f t="shared" si="11"/>
        <v>0</v>
      </c>
      <c r="Q200" s="178">
        <f t="shared" si="11"/>
        <v>0</v>
      </c>
      <c r="R200" s="178">
        <f t="shared" si="11"/>
        <v>0</v>
      </c>
      <c r="S200" s="178">
        <f t="shared" si="11"/>
        <v>0</v>
      </c>
      <c r="U200" s="90"/>
    </row>
    <row r="201" spans="5:21" x14ac:dyDescent="0.25">
      <c r="F201" s="85" t="s">
        <v>51</v>
      </c>
      <c r="G201" s="196" t="s">
        <v>588</v>
      </c>
      <c r="H201" s="101"/>
      <c r="L201" s="79"/>
      <c r="M201" s="79"/>
      <c r="N201" s="79"/>
      <c r="O201" s="79"/>
      <c r="P201" s="79"/>
      <c r="Q201" s="79"/>
      <c r="R201" s="79"/>
      <c r="S201" s="79"/>
      <c r="U201" s="90"/>
    </row>
    <row r="202" spans="5:21" x14ac:dyDescent="0.25">
      <c r="F202" s="76" t="s">
        <v>48</v>
      </c>
      <c r="G202" s="92" t="s">
        <v>588</v>
      </c>
      <c r="H202" s="178">
        <f t="shared" si="10"/>
        <v>0</v>
      </c>
      <c r="I202" s="92"/>
      <c r="J202" s="66"/>
      <c r="K202" s="66"/>
      <c r="L202" s="101"/>
      <c r="M202" s="101"/>
      <c r="N202" s="101"/>
      <c r="O202" s="178">
        <f t="shared" ref="O202:S204" si="12">IF(ABS(SUM(O146,O158,O170) - 1) &lt; 10^-check_decimals,0,1)</f>
        <v>0</v>
      </c>
      <c r="P202" s="178">
        <f t="shared" si="12"/>
        <v>0</v>
      </c>
      <c r="Q202" s="178">
        <f t="shared" si="12"/>
        <v>0</v>
      </c>
      <c r="R202" s="178">
        <f t="shared" si="12"/>
        <v>0</v>
      </c>
      <c r="S202" s="178">
        <f t="shared" si="12"/>
        <v>0</v>
      </c>
      <c r="U202" s="90"/>
    </row>
    <row r="203" spans="5:21" x14ac:dyDescent="0.25">
      <c r="F203" s="76" t="s">
        <v>49</v>
      </c>
      <c r="G203" s="92" t="s">
        <v>588</v>
      </c>
      <c r="H203" s="178">
        <f t="shared" si="10"/>
        <v>0</v>
      </c>
      <c r="I203" s="92"/>
      <c r="J203" s="66"/>
      <c r="K203" s="66"/>
      <c r="L203" s="101"/>
      <c r="M203" s="101"/>
      <c r="N203" s="101"/>
      <c r="O203" s="178">
        <f t="shared" si="12"/>
        <v>0</v>
      </c>
      <c r="P203" s="178">
        <f t="shared" si="12"/>
        <v>0</v>
      </c>
      <c r="Q203" s="178">
        <f t="shared" si="12"/>
        <v>0</v>
      </c>
      <c r="R203" s="178">
        <f t="shared" si="12"/>
        <v>0</v>
      </c>
      <c r="S203" s="178">
        <f t="shared" si="12"/>
        <v>0</v>
      </c>
      <c r="U203" s="90"/>
    </row>
    <row r="204" spans="5:21" x14ac:dyDescent="0.25">
      <c r="F204" s="15" t="s">
        <v>50</v>
      </c>
      <c r="G204" s="93" t="s">
        <v>588</v>
      </c>
      <c r="H204" s="179">
        <f>SUM(L204:S204)</f>
        <v>0</v>
      </c>
      <c r="I204" s="93"/>
      <c r="J204" s="145"/>
      <c r="K204" s="145"/>
      <c r="L204" s="102"/>
      <c r="M204" s="102"/>
      <c r="N204" s="102"/>
      <c r="O204" s="179">
        <f t="shared" si="12"/>
        <v>0</v>
      </c>
      <c r="P204" s="179">
        <f t="shared" si="12"/>
        <v>0</v>
      </c>
      <c r="Q204" s="179">
        <f t="shared" si="12"/>
        <v>0</v>
      </c>
      <c r="R204" s="179">
        <f t="shared" si="12"/>
        <v>0</v>
      </c>
      <c r="S204" s="179">
        <f t="shared" si="12"/>
        <v>0</v>
      </c>
      <c r="U204" s="90"/>
    </row>
    <row r="205" spans="5:21" x14ac:dyDescent="0.25">
      <c r="M205" s="293"/>
      <c r="N205" s="293"/>
    </row>
    <row r="206" spans="5:21" s="195" customFormat="1" x14ac:dyDescent="0.25">
      <c r="E206" s="96" t="s">
        <v>622</v>
      </c>
      <c r="H206" s="111"/>
      <c r="J206" s="111"/>
      <c r="K206" s="111"/>
      <c r="L206" s="111"/>
      <c r="M206" s="111"/>
      <c r="N206" s="111"/>
      <c r="O206" s="111"/>
      <c r="P206" s="111"/>
      <c r="Q206" s="111"/>
      <c r="R206" s="111"/>
      <c r="S206" s="111"/>
    </row>
    <row r="207" spans="5:21" s="195" customFormat="1" x14ac:dyDescent="0.25">
      <c r="F207" s="16" t="s">
        <v>267</v>
      </c>
      <c r="G207" s="91" t="s">
        <v>588</v>
      </c>
      <c r="H207" s="165"/>
      <c r="I207" s="91"/>
      <c r="J207" s="112"/>
      <c r="K207" s="112"/>
      <c r="L207" s="217"/>
      <c r="M207" s="217"/>
      <c r="N207" s="217"/>
      <c r="O207" s="165"/>
      <c r="P207" s="165"/>
      <c r="Q207" s="165"/>
      <c r="R207" s="165"/>
      <c r="S207" s="165"/>
      <c r="U207" s="90"/>
    </row>
    <row r="208" spans="5:21" s="195" customFormat="1" x14ac:dyDescent="0.25">
      <c r="F208" s="76" t="s">
        <v>43</v>
      </c>
      <c r="G208" s="196" t="s">
        <v>588</v>
      </c>
      <c r="H208" s="101"/>
      <c r="L208" s="79"/>
      <c r="M208" s="79"/>
      <c r="N208" s="79"/>
      <c r="O208" s="79"/>
      <c r="P208" s="79"/>
      <c r="Q208" s="79"/>
      <c r="R208" s="79"/>
      <c r="S208" s="79"/>
      <c r="U208" s="90"/>
    </row>
    <row r="209" spans="2:27" s="195" customFormat="1" x14ac:dyDescent="0.25">
      <c r="F209" s="76" t="s">
        <v>44</v>
      </c>
      <c r="G209" s="196" t="s">
        <v>588</v>
      </c>
      <c r="H209" s="178">
        <f>SUM(L209:S209)</f>
        <v>0</v>
      </c>
      <c r="I209" s="196"/>
      <c r="J209" s="66"/>
      <c r="K209" s="66"/>
      <c r="L209" s="101"/>
      <c r="M209" s="101"/>
      <c r="N209" s="101"/>
      <c r="O209" s="178">
        <f t="shared" ref="O209:S210" si="13">IF(OR(ABS(SUM(O141,O153,O165) - 1) &lt; 10^-check_decimals, ABS(SUM(O141,O153,O165) - 0) &lt; 10^-check_decimals),0,1)</f>
        <v>0</v>
      </c>
      <c r="P209" s="178">
        <f t="shared" si="13"/>
        <v>0</v>
      </c>
      <c r="Q209" s="178">
        <f t="shared" si="13"/>
        <v>0</v>
      </c>
      <c r="R209" s="178">
        <f t="shared" si="13"/>
        <v>0</v>
      </c>
      <c r="S209" s="178">
        <f t="shared" si="13"/>
        <v>0</v>
      </c>
      <c r="U209" s="90"/>
    </row>
    <row r="210" spans="2:27" s="195" customFormat="1" x14ac:dyDescent="0.25">
      <c r="F210" s="76" t="s">
        <v>45</v>
      </c>
      <c r="G210" s="196" t="s">
        <v>588</v>
      </c>
      <c r="H210" s="178">
        <f>SUM(L210:S210)</f>
        <v>0</v>
      </c>
      <c r="I210" s="196"/>
      <c r="J210" s="66"/>
      <c r="K210" s="66"/>
      <c r="L210" s="101"/>
      <c r="M210" s="101"/>
      <c r="N210" s="101"/>
      <c r="O210" s="178">
        <f t="shared" si="13"/>
        <v>0</v>
      </c>
      <c r="P210" s="178">
        <f t="shared" si="13"/>
        <v>0</v>
      </c>
      <c r="Q210" s="178">
        <f t="shared" si="13"/>
        <v>0</v>
      </c>
      <c r="R210" s="178">
        <f t="shared" si="13"/>
        <v>0</v>
      </c>
      <c r="S210" s="178">
        <f t="shared" si="13"/>
        <v>0</v>
      </c>
      <c r="U210" s="90"/>
    </row>
    <row r="211" spans="2:27" s="195" customFormat="1" x14ac:dyDescent="0.25">
      <c r="F211" s="76" t="s">
        <v>46</v>
      </c>
      <c r="G211" s="196" t="s">
        <v>588</v>
      </c>
      <c r="H211" s="101"/>
      <c r="L211" s="79"/>
      <c r="M211" s="79"/>
      <c r="N211" s="79"/>
      <c r="O211" s="79"/>
      <c r="P211" s="79"/>
      <c r="Q211" s="79"/>
      <c r="R211" s="79"/>
      <c r="S211" s="79"/>
      <c r="U211" s="90"/>
    </row>
    <row r="212" spans="2:27" s="195" customFormat="1" x14ac:dyDescent="0.25">
      <c r="F212" s="76" t="s">
        <v>47</v>
      </c>
      <c r="G212" s="196" t="s">
        <v>588</v>
      </c>
      <c r="H212" s="101"/>
      <c r="L212" s="79"/>
      <c r="M212" s="79"/>
      <c r="N212" s="79"/>
      <c r="O212" s="79"/>
      <c r="P212" s="79"/>
      <c r="Q212" s="79"/>
      <c r="R212" s="79"/>
      <c r="S212" s="79"/>
      <c r="U212" s="90"/>
    </row>
    <row r="213" spans="2:27" s="195" customFormat="1" x14ac:dyDescent="0.25">
      <c r="F213" s="76" t="s">
        <v>51</v>
      </c>
      <c r="G213" s="196" t="s">
        <v>588</v>
      </c>
      <c r="H213" s="178">
        <f>SUM(L213:S213)</f>
        <v>0</v>
      </c>
      <c r="I213" s="196"/>
      <c r="J213" s="66"/>
      <c r="K213" s="66"/>
      <c r="L213" s="101"/>
      <c r="M213" s="101"/>
      <c r="N213" s="101"/>
      <c r="O213" s="178">
        <f>IF(OR(ABS(SUM(O145,O157,O169) - 1) &lt; 10^-check_decimals, ABS(SUM(O145,O157,O169) - 0) &lt; 10^-check_decimals),0,1)</f>
        <v>0</v>
      </c>
      <c r="P213" s="178">
        <f>IF(OR(ABS(SUM(P145,P157,P169) - 1) &lt; 10^-check_decimals, ABS(SUM(P145,P157,P169) - 0) &lt; 10^-check_decimals),0,1)</f>
        <v>0</v>
      </c>
      <c r="Q213" s="178">
        <f>IF(OR(ABS(SUM(Q145,Q157,Q169) - 1) &lt; 10^-check_decimals, ABS(SUM(Q145,Q157,Q169) - 0) &lt; 10^-check_decimals),0,1)</f>
        <v>0</v>
      </c>
      <c r="R213" s="178">
        <f>IF(OR(ABS(SUM(R145,R157,R169) - 1) &lt; 10^-check_decimals, ABS(SUM(R145,R157,R169) - 0) &lt; 10^-check_decimals),0,1)</f>
        <v>0</v>
      </c>
      <c r="S213" s="178">
        <f>IF(OR(ABS(SUM(S145,S157,S169) - 1) &lt; 10^-check_decimals, ABS(SUM(S145,S157,S169) - 0) &lt; 10^-check_decimals),0,1)</f>
        <v>0</v>
      </c>
      <c r="U213" s="90"/>
    </row>
    <row r="214" spans="2:27" s="195" customFormat="1" x14ac:dyDescent="0.25">
      <c r="F214" s="76" t="s">
        <v>48</v>
      </c>
      <c r="G214" s="196" t="s">
        <v>588</v>
      </c>
      <c r="H214" s="101"/>
      <c r="L214" s="79"/>
      <c r="M214" s="79"/>
      <c r="N214" s="79"/>
      <c r="O214" s="79"/>
      <c r="P214" s="79"/>
      <c r="Q214" s="79"/>
      <c r="R214" s="79"/>
      <c r="S214" s="79"/>
      <c r="U214" s="90"/>
    </row>
    <row r="215" spans="2:27" s="195" customFormat="1" x14ac:dyDescent="0.25">
      <c r="F215" s="76" t="s">
        <v>49</v>
      </c>
      <c r="G215" s="196" t="s">
        <v>588</v>
      </c>
      <c r="H215" s="101"/>
      <c r="L215" s="79"/>
      <c r="M215" s="79"/>
      <c r="N215" s="79"/>
      <c r="O215" s="79"/>
      <c r="P215" s="79"/>
      <c r="Q215" s="79"/>
      <c r="R215" s="79"/>
      <c r="S215" s="79"/>
      <c r="U215" s="90"/>
    </row>
    <row r="216" spans="2:27" s="195" customFormat="1" x14ac:dyDescent="0.25">
      <c r="F216" s="15" t="s">
        <v>50</v>
      </c>
      <c r="G216" s="93" t="s">
        <v>588</v>
      </c>
      <c r="H216" s="102"/>
      <c r="I216" s="93"/>
      <c r="J216" s="93"/>
      <c r="K216" s="93"/>
      <c r="L216" s="102"/>
      <c r="M216" s="102"/>
      <c r="N216" s="102"/>
      <c r="O216" s="102"/>
      <c r="P216" s="102"/>
      <c r="Q216" s="102"/>
      <c r="R216" s="102"/>
      <c r="S216" s="102"/>
      <c r="U216" s="90"/>
    </row>
    <row r="217" spans="2:27" s="195" customFormat="1" x14ac:dyDescent="0.25"/>
    <row r="218" spans="2:27" x14ac:dyDescent="0.25">
      <c r="E218" s="85" t="s">
        <v>374</v>
      </c>
      <c r="G218" s="60" t="s">
        <v>588</v>
      </c>
      <c r="H218" s="310">
        <f>SUM(H190,H192,H195:H204,H207:H216)</f>
        <v>0</v>
      </c>
      <c r="J218" s="111"/>
      <c r="K218" s="111"/>
      <c r="L218" s="111"/>
      <c r="M218" s="111"/>
      <c r="N218" s="111"/>
      <c r="O218" s="111"/>
      <c r="P218" s="111"/>
      <c r="Q218" s="111"/>
      <c r="R218" s="111"/>
      <c r="S218" s="111"/>
    </row>
    <row r="219" spans="2:27" x14ac:dyDescent="0.25">
      <c r="H219" s="111"/>
      <c r="J219" s="111"/>
      <c r="K219" s="111"/>
      <c r="L219" s="111"/>
      <c r="M219" s="111"/>
      <c r="N219" s="111"/>
      <c r="O219" s="111"/>
      <c r="P219" s="111"/>
      <c r="Q219" s="111"/>
      <c r="R219" s="111"/>
      <c r="S219" s="111"/>
    </row>
    <row r="220" spans="2:27" x14ac:dyDescent="0.25">
      <c r="B220" s="95" t="s">
        <v>110</v>
      </c>
      <c r="C220" s="95"/>
      <c r="D220" s="95"/>
      <c r="E220" s="95"/>
      <c r="F220" s="95"/>
      <c r="G220" s="95"/>
      <c r="H220" s="95"/>
      <c r="I220" s="95"/>
      <c r="J220" s="95"/>
      <c r="K220" s="95"/>
      <c r="L220" s="95"/>
      <c r="M220" s="95"/>
      <c r="N220" s="95"/>
      <c r="O220" s="95"/>
      <c r="P220" s="95"/>
      <c r="Q220" s="95"/>
      <c r="R220" s="95"/>
      <c r="S220" s="95"/>
      <c r="T220" s="95"/>
      <c r="U220" s="95"/>
      <c r="W220" s="95"/>
      <c r="X220" s="95"/>
      <c r="Y220" s="95"/>
      <c r="Z220" s="95"/>
      <c r="AA220" s="95"/>
    </row>
  </sheetData>
  <sheetProtection sheet="1" objects="1" formatCells="0" formatColumns="0" formatRows="0" sort="0" autoFilter="0"/>
  <conditionalFormatting sqref="H190 H213 H196 H199:H204 L196:S196 L202:S204 L213:S213 L199:S200">
    <cfRule type="cellIs" dxfId="249" priority="24" operator="greaterThan">
      <formula>0</formula>
    </cfRule>
  </conditionalFormatting>
  <conditionalFormatting sqref="H209">
    <cfRule type="cellIs" dxfId="248" priority="18" operator="greaterThan">
      <formula>0</formula>
    </cfRule>
  </conditionalFormatting>
  <conditionalFormatting sqref="H208">
    <cfRule type="cellIs" dxfId="247" priority="17" operator="greaterThan">
      <formula>0</formula>
    </cfRule>
  </conditionalFormatting>
  <conditionalFormatting sqref="H210">
    <cfRule type="cellIs" dxfId="246" priority="16" operator="greaterThan">
      <formula>0</formula>
    </cfRule>
  </conditionalFormatting>
  <conditionalFormatting sqref="H211">
    <cfRule type="cellIs" dxfId="245" priority="15" operator="greaterThan">
      <formula>0</formula>
    </cfRule>
  </conditionalFormatting>
  <conditionalFormatting sqref="H212">
    <cfRule type="cellIs" dxfId="244" priority="14" operator="greaterThan">
      <formula>0</formula>
    </cfRule>
  </conditionalFormatting>
  <conditionalFormatting sqref="H214">
    <cfRule type="cellIs" dxfId="243" priority="13" operator="greaterThan">
      <formula>0</formula>
    </cfRule>
  </conditionalFormatting>
  <conditionalFormatting sqref="H215">
    <cfRule type="cellIs" dxfId="242" priority="12" operator="greaterThan">
      <formula>0</formula>
    </cfRule>
  </conditionalFormatting>
  <conditionalFormatting sqref="H216">
    <cfRule type="cellIs" dxfId="241" priority="11" operator="greaterThan">
      <formula>0</formula>
    </cfRule>
  </conditionalFormatting>
  <conditionalFormatting sqref="L210:S210">
    <cfRule type="cellIs" dxfId="240" priority="10" operator="greaterThan">
      <formula>0</formula>
    </cfRule>
  </conditionalFormatting>
  <conditionalFormatting sqref="L209:S209">
    <cfRule type="cellIs" dxfId="239" priority="9" operator="greaterThan">
      <formula>0</formula>
    </cfRule>
  </conditionalFormatting>
  <conditionalFormatting sqref="H197">
    <cfRule type="cellIs" dxfId="238" priority="8" operator="greaterThan">
      <formula>0</formula>
    </cfRule>
  </conditionalFormatting>
  <conditionalFormatting sqref="H198">
    <cfRule type="cellIs" dxfId="237" priority="7" operator="greaterThan">
      <formula>0</formula>
    </cfRule>
  </conditionalFormatting>
  <conditionalFormatting sqref="L192:S192">
    <cfRule type="cellIs" dxfId="236" priority="4" operator="greaterThan">
      <formula>0</formula>
    </cfRule>
  </conditionalFormatting>
  <conditionalFormatting sqref="H192">
    <cfRule type="cellIs" dxfId="235" priority="5" operator="greaterThan">
      <formula>0</formula>
    </cfRule>
  </conditionalFormatting>
  <conditionalFormatting sqref="A4:XFD4">
    <cfRule type="expression" dxfId="234" priority="3">
      <formula>LEFT($A$4,1) &lt;&gt; "0"</formula>
    </cfRule>
  </conditionalFormatting>
  <conditionalFormatting sqref="H218">
    <cfRule type="cellIs" dxfId="233" priority="1" operator="greaterThan">
      <formula>0</formula>
    </cfRule>
  </conditionalFormatting>
  <dataValidations count="2">
    <dataValidation type="decimal" operator="greaterThan" allowBlank="1" showInputMessage="1" showErrorMessage="1" sqref="L48:S48" xr:uid="{00000000-0002-0000-0B00-000000000000}">
      <formula1>0</formula1>
    </dataValidation>
    <dataValidation type="decimal" allowBlank="1" showInputMessage="1" showErrorMessage="1" errorTitle="Invalid diversity allowance" error="Invalid diversity allowance (negative number or unused cell)." sqref="I32 J22 J24:J25 J27:J28 J175 J163 J87:J88 J53 J19 J47 J151 J76:J77 J109:J110 J123:J124 J139 J98:J99 J106:J107 J40:J42 J33:J38 L180:S181 L183:S184 L166:S166 L168:S169 L112:S112 L98:S99 L95:S96 L90:S90 L92:S93 L178:S178 L106:S107 L101:S101 L139:S139 L55:S56 L142:S142 L144:S145 L103:S104 L76:S77 L61:S61 L151:S151 L109:S110 L66:S67 L64:S64 L175:S175 L84:S85 L147:S148 L131:S132 L69:S70 L52:S53 L79:S79 L47:S47 L50:S50 L33:S42 L114:S114 L126:S126 L87:S88 L163:S163 L128:S129 L154:S154 L156:S157 L159:S160 L171:S172 L123:S124 L24:S25 L22:S22 L19:S19 L81:S82 L27:S28" xr:uid="{00000000-0002-0000-0B00-000001000000}">
      <formula1>0</formula1>
      <formula2>4</formula2>
    </dataValidation>
  </dataValidations>
  <hyperlinks>
    <hyperlink ref="B6:F6" location="'Model map'!A1" display="Click here to return to model map" xr:uid="{00000000-0004-0000-0B00-000000000000}"/>
  </hyperlinks>
  <pageMargins left="0.7" right="0.7" top="0.75" bottom="0.75" header="0.3" footer="0.3"/>
  <pageSetup paperSize="9" fitToHeight="0" orientation="portrait" r:id="rId1"/>
  <headerFooter>
    <oddHeader>&amp;L&amp;A&amp;C&amp;R&amp;P of &amp;N</oddHeader>
    <oddFooter>&amp;F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53">
    <tabColor theme="5" tint="0.59999389629810485"/>
    <pageSetUpPr fitToPage="1"/>
  </sheetPr>
  <dimension ref="A1:JL127"/>
  <sheetViews>
    <sheetView showGridLines="0" zoomScale="70" zoomScaleNormal="70" workbookViewId="0">
      <pane xSplit="9" ySplit="6" topLeftCell="L7" activePane="bottomRight" state="frozen"/>
      <selection pane="topRight"/>
      <selection pane="bottomLeft"/>
      <selection pane="bottomRight" activeCell="G1" sqref="G1"/>
    </sheetView>
  </sheetViews>
  <sheetFormatPr defaultColWidth="0" defaultRowHeight="15" x14ac:dyDescent="0.25"/>
  <cols>
    <col min="1" max="5" width="2.5703125" style="85" customWidth="1"/>
    <col min="6" max="6" width="59.5703125" style="85" customWidth="1"/>
    <col min="7" max="8" width="20.5703125" style="85" customWidth="1"/>
    <col min="9" max="9" width="2.42578125" style="85" customWidth="1"/>
    <col min="10" max="10" width="20.5703125" style="85" bestFit="1" customWidth="1"/>
    <col min="11" max="11" width="2.42578125" style="85" customWidth="1"/>
    <col min="12" max="19" width="14.85546875" style="85" bestFit="1" customWidth="1"/>
    <col min="20" max="20" width="2.42578125" style="85" customWidth="1"/>
    <col min="21" max="21" width="50.5703125" style="85" customWidth="1"/>
    <col min="22" max="22" width="2.42578125" style="85" customWidth="1"/>
    <col min="23" max="272" width="20.5703125" style="85" hidden="1" customWidth="1"/>
    <col min="273" max="16384" width="9.140625" style="85" hidden="1"/>
  </cols>
  <sheetData>
    <row r="1" spans="1:97" s="10" customFormat="1" x14ac:dyDescent="0.25">
      <c r="A1" s="10" t="str">
        <f ca="1">MID(CELL("filename",A1),FIND("]",CELL("filename",A1))+1,255)</f>
        <v>ARP_General inputs</v>
      </c>
    </row>
    <row r="2" spans="1:97" s="10" customFormat="1" x14ac:dyDescent="0.25">
      <c r="A2" s="10" t="str">
        <f>Cover!D21&amp;" - "&amp;Cover!D23</f>
        <v>Southern Electric Power Distribution plc - Final</v>
      </c>
    </row>
    <row r="3" spans="1:97" s="46" customFormat="1" x14ac:dyDescent="0.25">
      <c r="A3" s="46" t="str">
        <f>Cover!D2&amp;" - "&amp;Cover!D8&amp;" v"&amp;Cover!D10&amp;" - "&amp;Cover!D19</f>
        <v>ARP model - Release for charge setting v7 - 2023/24</v>
      </c>
    </row>
    <row r="4" spans="1:97" s="195" customFormat="1" x14ac:dyDescent="0.25">
      <c r="A4" s="228" t="str">
        <f>H125 &amp; IF(H125 = 1, " issue", " issues") &amp;" identified in checks on this sheet"</f>
        <v>0 issues identified in checks on this sheet</v>
      </c>
      <c r="B4" s="229"/>
      <c r="C4" s="229"/>
      <c r="D4" s="229"/>
      <c r="E4" s="229"/>
      <c r="F4" s="229"/>
      <c r="G4" s="229"/>
      <c r="H4" s="230"/>
      <c r="I4" s="230"/>
      <c r="J4" s="229"/>
      <c r="K4" s="221"/>
      <c r="L4" s="221"/>
      <c r="M4" s="221"/>
      <c r="N4" s="221"/>
      <c r="O4" s="221"/>
      <c r="P4" s="221"/>
      <c r="Q4" s="221"/>
      <c r="R4" s="221"/>
      <c r="S4" s="221"/>
      <c r="T4" s="221"/>
      <c r="U4" s="221"/>
      <c r="V4" s="221"/>
      <c r="W4" s="221"/>
      <c r="X4" s="221"/>
      <c r="Y4" s="221"/>
      <c r="Z4" s="221"/>
      <c r="AA4" s="221"/>
      <c r="AB4" s="221"/>
      <c r="AC4" s="221"/>
      <c r="AD4" s="221"/>
      <c r="AE4" s="221"/>
      <c r="AF4" s="221"/>
      <c r="AG4" s="221"/>
      <c r="AH4" s="221"/>
      <c r="AI4" s="221"/>
      <c r="AJ4" s="221"/>
      <c r="AK4" s="221"/>
      <c r="AL4" s="221"/>
      <c r="AM4" s="221"/>
      <c r="AN4" s="221"/>
      <c r="AO4" s="221"/>
      <c r="AP4" s="221"/>
      <c r="AQ4" s="221"/>
      <c r="AR4" s="221"/>
      <c r="AS4" s="221"/>
      <c r="AT4" s="221"/>
      <c r="AU4" s="221"/>
      <c r="AV4" s="221"/>
      <c r="AW4" s="221"/>
      <c r="AX4" s="221"/>
      <c r="AY4" s="221"/>
      <c r="AZ4" s="221"/>
      <c r="BA4" s="221"/>
      <c r="BB4" s="221"/>
      <c r="BC4" s="221"/>
      <c r="BD4" s="221"/>
      <c r="BE4" s="221"/>
      <c r="BF4" s="221"/>
      <c r="BG4" s="221"/>
      <c r="BH4" s="221"/>
      <c r="BI4" s="221"/>
      <c r="BJ4" s="221"/>
      <c r="BK4" s="221"/>
      <c r="BL4" s="221"/>
      <c r="BM4" s="221"/>
      <c r="BN4" s="221"/>
      <c r="BO4" s="221"/>
      <c r="BP4" s="221"/>
      <c r="BQ4" s="221"/>
      <c r="BR4" s="221"/>
      <c r="BS4" s="221"/>
      <c r="BT4" s="221"/>
      <c r="BU4" s="221"/>
      <c r="BV4" s="221"/>
      <c r="BW4" s="221"/>
      <c r="BX4" s="221"/>
      <c r="BY4" s="221"/>
      <c r="BZ4" s="221"/>
      <c r="CA4" s="221"/>
      <c r="CB4" s="221"/>
      <c r="CC4" s="221"/>
      <c r="CD4" s="221"/>
      <c r="CE4" s="221"/>
      <c r="CF4" s="221"/>
      <c r="CG4" s="221"/>
      <c r="CH4" s="221"/>
      <c r="CI4" s="221"/>
      <c r="CJ4" s="221"/>
      <c r="CK4" s="221"/>
      <c r="CL4" s="221"/>
      <c r="CM4" s="221"/>
      <c r="CN4" s="221"/>
      <c r="CO4" s="221"/>
      <c r="CP4" s="221"/>
      <c r="CQ4" s="221"/>
      <c r="CR4" s="221"/>
      <c r="CS4" s="221"/>
    </row>
    <row r="5" spans="1:97" ht="30" x14ac:dyDescent="0.25">
      <c r="B5" s="134"/>
      <c r="C5" s="9"/>
      <c r="D5" s="9"/>
      <c r="E5" s="9"/>
      <c r="F5" s="9"/>
      <c r="G5" s="127"/>
      <c r="H5" s="35"/>
      <c r="J5" s="147" t="str">
        <f>"Year selected ("&amp; charging_year_selected &amp;")"</f>
        <v>Year selected (2023/24)</v>
      </c>
      <c r="L5" s="35" t="str">
        <f t="array" ref="L5:S6">TRANSPOSE('ARP_User control'!G28:H35)</f>
        <v>2020/21</v>
      </c>
      <c r="M5" s="35" t="str">
        <v>2021/22</v>
      </c>
      <c r="N5" s="35" t="str">
        <v>2022/23</v>
      </c>
      <c r="O5" s="35" t="str">
        <v>2023/24</v>
      </c>
      <c r="P5" s="35" t="str">
        <v>2024/25</v>
      </c>
      <c r="Q5" s="35" t="str">
        <v>2025/26</v>
      </c>
      <c r="R5" s="35" t="str">
        <v>2026/27</v>
      </c>
      <c r="S5" s="35" t="str">
        <v>2027/28</v>
      </c>
      <c r="U5" s="35"/>
    </row>
    <row r="6" spans="1:97" x14ac:dyDescent="0.25">
      <c r="B6" s="134" t="s">
        <v>451</v>
      </c>
      <c r="C6" s="9"/>
      <c r="D6" s="9"/>
      <c r="E6" s="9"/>
      <c r="F6" s="9"/>
      <c r="G6" s="9" t="s">
        <v>91</v>
      </c>
      <c r="H6" s="11" t="s">
        <v>92</v>
      </c>
      <c r="J6" s="149" t="str">
        <f>'ARP_User control'!$H$36</f>
        <v>Current</v>
      </c>
      <c r="L6" s="35" t="str">
        <v>Historic</v>
      </c>
      <c r="M6" s="35" t="str">
        <v>Historic</v>
      </c>
      <c r="N6" s="35" t="str">
        <v>Historic</v>
      </c>
      <c r="O6" s="35" t="str">
        <v>Current</v>
      </c>
      <c r="P6" s="35" t="str">
        <v>Forecast</v>
      </c>
      <c r="Q6" s="35" t="str">
        <v>Forecast</v>
      </c>
      <c r="R6" s="35" t="str">
        <v>Forecast</v>
      </c>
      <c r="S6" s="35" t="str">
        <v>Forecast</v>
      </c>
      <c r="U6" s="127" t="s">
        <v>93</v>
      </c>
    </row>
    <row r="8" spans="1:97" x14ac:dyDescent="0.25">
      <c r="B8" s="95" t="s">
        <v>90</v>
      </c>
      <c r="C8" s="95"/>
      <c r="D8" s="95"/>
      <c r="E8" s="95"/>
      <c r="F8" s="95"/>
      <c r="G8" s="128"/>
      <c r="H8" s="95"/>
      <c r="I8" s="95"/>
      <c r="J8" s="95"/>
      <c r="K8" s="95"/>
      <c r="L8" s="95"/>
      <c r="M8" s="95"/>
      <c r="N8" s="95"/>
      <c r="O8" s="95"/>
      <c r="P8" s="95"/>
      <c r="Q8" s="95"/>
      <c r="R8" s="95"/>
      <c r="S8" s="95"/>
      <c r="T8" s="95"/>
      <c r="U8" s="95"/>
    </row>
    <row r="9" spans="1:97" x14ac:dyDescent="0.25">
      <c r="G9" s="108"/>
    </row>
    <row r="10" spans="1:97" x14ac:dyDescent="0.25">
      <c r="C10" s="82" t="s">
        <v>691</v>
      </c>
      <c r="G10" s="108"/>
    </row>
    <row r="11" spans="1:97" s="293" customFormat="1" x14ac:dyDescent="0.25">
      <c r="C11" s="82" t="s">
        <v>689</v>
      </c>
      <c r="G11" s="108"/>
    </row>
    <row r="12" spans="1:97" s="293" customFormat="1" x14ac:dyDescent="0.25">
      <c r="C12" s="82" t="s">
        <v>781</v>
      </c>
      <c r="G12" s="108"/>
    </row>
    <row r="13" spans="1:97" x14ac:dyDescent="0.25">
      <c r="G13" s="108"/>
    </row>
    <row r="14" spans="1:97" x14ac:dyDescent="0.25">
      <c r="B14" s="95" t="s">
        <v>552</v>
      </c>
      <c r="C14" s="95"/>
      <c r="D14" s="95"/>
      <c r="E14" s="95"/>
      <c r="F14" s="95"/>
      <c r="G14" s="128"/>
      <c r="H14" s="95"/>
      <c r="I14" s="95"/>
      <c r="J14" s="95"/>
      <c r="K14" s="95"/>
      <c r="L14" s="95"/>
      <c r="M14" s="95"/>
      <c r="N14" s="95"/>
      <c r="O14" s="95"/>
      <c r="P14" s="95"/>
      <c r="Q14" s="95"/>
      <c r="R14" s="95"/>
      <c r="S14" s="95"/>
      <c r="T14" s="95"/>
      <c r="U14" s="95"/>
    </row>
    <row r="15" spans="1:97" x14ac:dyDescent="0.25">
      <c r="G15" s="108"/>
    </row>
    <row r="16" spans="1:97" s="195" customFormat="1" x14ac:dyDescent="0.25">
      <c r="C16" s="7" t="str">
        <f ca="1">INDEX('Version control'!$H$35:$H$61,MATCH($A$1,'Version control'!$F$35:$F$61,0),1)&amp;"-A: Split of hours by distribution timeband"</f>
        <v>Input 503-A: Split of hours by distribution timeband</v>
      </c>
      <c r="D16" s="7"/>
      <c r="E16" s="7"/>
      <c r="F16" s="7"/>
      <c r="G16" s="172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</row>
    <row r="17" spans="3:21" s="195" customFormat="1" x14ac:dyDescent="0.25">
      <c r="G17" s="108"/>
    </row>
    <row r="18" spans="3:21" x14ac:dyDescent="0.25">
      <c r="D18" s="96"/>
      <c r="E18" s="96" t="s">
        <v>206</v>
      </c>
      <c r="F18" s="96"/>
      <c r="G18" s="108"/>
      <c r="H18" s="130"/>
      <c r="I18" s="85" t="s">
        <v>359</v>
      </c>
      <c r="U18" s="85" t="s">
        <v>813</v>
      </c>
    </row>
    <row r="19" spans="3:21" x14ac:dyDescent="0.25">
      <c r="E19" s="195"/>
      <c r="F19" s="126" t="s">
        <v>87</v>
      </c>
      <c r="G19" s="129" t="s">
        <v>506</v>
      </c>
      <c r="H19" s="129"/>
      <c r="I19" s="129"/>
      <c r="J19" s="254">
        <f>CHOOSE(year_selection, L19,M19,N19,O19,P19,Q19,R19,S19)</f>
        <v>261</v>
      </c>
      <c r="K19" s="255"/>
      <c r="L19" s="332">
        <v>255</v>
      </c>
      <c r="M19" s="332">
        <v>258</v>
      </c>
      <c r="N19" s="332">
        <v>258</v>
      </c>
      <c r="O19" s="332">
        <v>261</v>
      </c>
      <c r="P19" s="332">
        <v>258</v>
      </c>
      <c r="Q19" s="332">
        <v>255</v>
      </c>
      <c r="R19" s="332">
        <v>255</v>
      </c>
      <c r="S19" s="332">
        <v>261</v>
      </c>
      <c r="T19" s="92"/>
      <c r="U19" s="92"/>
    </row>
    <row r="20" spans="3:21" x14ac:dyDescent="0.25">
      <c r="E20" s="195"/>
      <c r="F20" s="124" t="s">
        <v>88</v>
      </c>
      <c r="G20" s="130" t="s">
        <v>506</v>
      </c>
      <c r="H20" s="130"/>
      <c r="I20" s="130"/>
      <c r="J20" s="256">
        <f>CHOOSE(year_selection, L20,M20,N20,O20,P20,Q20,R20,S20)</f>
        <v>4911</v>
      </c>
      <c r="K20" s="257"/>
      <c r="L20" s="333">
        <v>4908</v>
      </c>
      <c r="M20" s="333">
        <v>4905</v>
      </c>
      <c r="N20" s="333">
        <v>4905</v>
      </c>
      <c r="O20" s="333">
        <v>4911</v>
      </c>
      <c r="P20" s="333">
        <v>4905</v>
      </c>
      <c r="Q20" s="333">
        <v>4908</v>
      </c>
      <c r="R20" s="333">
        <v>4908</v>
      </c>
      <c r="S20" s="333">
        <v>4917</v>
      </c>
      <c r="T20" s="92"/>
      <c r="U20" s="92"/>
    </row>
    <row r="21" spans="3:21" x14ac:dyDescent="0.25">
      <c r="E21" s="195"/>
      <c r="F21" s="125" t="s">
        <v>86</v>
      </c>
      <c r="G21" s="131" t="s">
        <v>506</v>
      </c>
      <c r="H21" s="131"/>
      <c r="I21" s="131"/>
      <c r="J21" s="258">
        <f>CHOOSE(year_selection, L21,M21,N21,O21,P21,Q21,R21,S21)</f>
        <v>3612</v>
      </c>
      <c r="K21" s="259"/>
      <c r="L21" s="334">
        <v>3597</v>
      </c>
      <c r="M21" s="334">
        <v>3597</v>
      </c>
      <c r="N21" s="334">
        <v>3597</v>
      </c>
      <c r="O21" s="334">
        <v>3612</v>
      </c>
      <c r="P21" s="334">
        <v>3597</v>
      </c>
      <c r="Q21" s="334">
        <v>3597</v>
      </c>
      <c r="R21" s="334">
        <v>3597</v>
      </c>
      <c r="S21" s="334">
        <v>3606</v>
      </c>
      <c r="T21" s="92"/>
      <c r="U21" s="92"/>
    </row>
    <row r="22" spans="3:21" x14ac:dyDescent="0.25">
      <c r="E22" s="195"/>
      <c r="F22" s="195"/>
      <c r="G22" s="108"/>
      <c r="H22" s="108"/>
      <c r="I22" s="108"/>
      <c r="J22" s="260"/>
      <c r="K22" s="261"/>
      <c r="L22" s="261"/>
      <c r="M22" s="261"/>
      <c r="N22" s="261"/>
      <c r="O22" s="261"/>
      <c r="P22" s="261"/>
      <c r="Q22" s="261"/>
      <c r="R22" s="261"/>
      <c r="S22" s="261"/>
    </row>
    <row r="23" spans="3:21" x14ac:dyDescent="0.25">
      <c r="D23" s="96"/>
      <c r="E23" s="96" t="s">
        <v>207</v>
      </c>
      <c r="F23" s="96"/>
      <c r="G23" s="108"/>
      <c r="H23" s="108"/>
      <c r="I23" s="85" t="s">
        <v>359</v>
      </c>
      <c r="J23" s="260"/>
      <c r="K23" s="261"/>
      <c r="L23" s="261"/>
      <c r="M23" s="261"/>
      <c r="N23" s="261"/>
      <c r="O23" s="261"/>
      <c r="P23" s="261"/>
      <c r="Q23" s="261"/>
      <c r="R23" s="261"/>
      <c r="S23" s="261"/>
      <c r="U23" s="85" t="s">
        <v>813</v>
      </c>
    </row>
    <row r="24" spans="3:21" x14ac:dyDescent="0.25">
      <c r="E24" s="195"/>
      <c r="F24" s="91" t="s">
        <v>84</v>
      </c>
      <c r="G24" s="129" t="s">
        <v>506</v>
      </c>
      <c r="H24" s="129"/>
      <c r="I24" s="129"/>
      <c r="J24" s="254">
        <f>CHOOSE(year_selection, L24,M24,N24,O24,P24,Q24,R24,S24)</f>
        <v>780</v>
      </c>
      <c r="K24" s="255"/>
      <c r="L24" s="332">
        <v>783</v>
      </c>
      <c r="M24" s="332">
        <v>783</v>
      </c>
      <c r="N24" s="332">
        <v>783</v>
      </c>
      <c r="O24" s="332">
        <v>780</v>
      </c>
      <c r="P24" s="332">
        <v>783</v>
      </c>
      <c r="Q24" s="332">
        <v>783</v>
      </c>
      <c r="R24" s="332">
        <v>783</v>
      </c>
      <c r="S24" s="332">
        <v>786</v>
      </c>
    </row>
    <row r="25" spans="3:21" x14ac:dyDescent="0.25">
      <c r="E25" s="195"/>
      <c r="F25" s="196" t="s">
        <v>85</v>
      </c>
      <c r="G25" s="130" t="s">
        <v>506</v>
      </c>
      <c r="H25" s="130"/>
      <c r="I25" s="130"/>
      <c r="J25" s="256">
        <f>CHOOSE(year_selection, L25,M25,N25,O25,P25,Q25,R25,S25)</f>
        <v>4392</v>
      </c>
      <c r="K25" s="257"/>
      <c r="L25" s="333">
        <v>4380</v>
      </c>
      <c r="M25" s="333">
        <v>4380</v>
      </c>
      <c r="N25" s="333">
        <v>4380</v>
      </c>
      <c r="O25" s="333">
        <v>4392</v>
      </c>
      <c r="P25" s="333">
        <v>4380</v>
      </c>
      <c r="Q25" s="333">
        <v>4380</v>
      </c>
      <c r="R25" s="333">
        <v>4380</v>
      </c>
      <c r="S25" s="333">
        <v>4392</v>
      </c>
    </row>
    <row r="26" spans="3:21" x14ac:dyDescent="0.25">
      <c r="E26" s="195"/>
      <c r="F26" s="93" t="s">
        <v>86</v>
      </c>
      <c r="G26" s="131" t="s">
        <v>506</v>
      </c>
      <c r="H26" s="131"/>
      <c r="I26" s="131"/>
      <c r="J26" s="258">
        <f>CHOOSE(year_selection, L26,M26,N26,O26,P26,Q26,R26,S26)</f>
        <v>3612</v>
      </c>
      <c r="K26" s="259"/>
      <c r="L26" s="334">
        <v>3597</v>
      </c>
      <c r="M26" s="334">
        <v>3597</v>
      </c>
      <c r="N26" s="334">
        <v>3597</v>
      </c>
      <c r="O26" s="334">
        <v>3612</v>
      </c>
      <c r="P26" s="334">
        <v>3597</v>
      </c>
      <c r="Q26" s="334">
        <v>3597</v>
      </c>
      <c r="R26" s="334">
        <v>3597</v>
      </c>
      <c r="S26" s="334">
        <v>3606</v>
      </c>
    </row>
    <row r="27" spans="3:21" x14ac:dyDescent="0.25">
      <c r="E27" s="195"/>
      <c r="F27" s="195"/>
      <c r="G27" s="108"/>
      <c r="H27" s="108"/>
      <c r="I27" s="108"/>
      <c r="J27" s="151"/>
      <c r="K27" s="108"/>
      <c r="L27" s="108"/>
      <c r="M27" s="108"/>
      <c r="N27" s="108"/>
      <c r="O27" s="108"/>
      <c r="P27" s="108"/>
      <c r="Q27" s="108"/>
      <c r="R27" s="108"/>
      <c r="S27" s="108"/>
    </row>
    <row r="28" spans="3:21" s="195" customFormat="1" x14ac:dyDescent="0.25">
      <c r="C28" s="7" t="str">
        <f ca="1">INDEX('Version control'!$H$35:$H$61,MATCH($A$1,'Version control'!$F$35:$F$61,0),1)&amp;"-B: Embedded network (LDNO) discount percentages"</f>
        <v>Input 503-B: Embedded network (LDNO) discount percentages</v>
      </c>
      <c r="D28" s="7"/>
      <c r="E28" s="7"/>
      <c r="F28" s="7"/>
      <c r="G28" s="172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</row>
    <row r="29" spans="3:21" s="195" customFormat="1" x14ac:dyDescent="0.25">
      <c r="G29" s="108"/>
      <c r="L29" s="293"/>
      <c r="M29" s="293"/>
      <c r="N29" s="293"/>
      <c r="P29" s="293"/>
      <c r="Q29" s="293"/>
      <c r="R29" s="293"/>
      <c r="S29" s="293"/>
    </row>
    <row r="30" spans="3:21" s="293" customFormat="1" x14ac:dyDescent="0.25">
      <c r="D30" s="82" t="s">
        <v>197</v>
      </c>
      <c r="G30" s="108"/>
    </row>
    <row r="31" spans="3:21" s="293" customFormat="1" x14ac:dyDescent="0.25">
      <c r="G31" s="108"/>
    </row>
    <row r="32" spans="3:21" x14ac:dyDescent="0.25">
      <c r="D32" s="96"/>
      <c r="E32" s="96" t="s">
        <v>198</v>
      </c>
      <c r="F32" s="96"/>
      <c r="G32" s="108"/>
      <c r="H32" s="108"/>
      <c r="I32" s="85" t="s">
        <v>359</v>
      </c>
      <c r="J32" s="151"/>
      <c r="K32" s="108"/>
      <c r="L32" s="108"/>
      <c r="M32" s="108"/>
      <c r="N32" s="108"/>
      <c r="O32" s="108"/>
      <c r="P32" s="108"/>
      <c r="Q32" s="108"/>
      <c r="R32" s="108"/>
      <c r="S32" s="108"/>
      <c r="U32" s="85" t="s">
        <v>694</v>
      </c>
    </row>
    <row r="33" spans="3:38" x14ac:dyDescent="0.25">
      <c r="E33" s="195"/>
      <c r="F33" s="126" t="s">
        <v>66</v>
      </c>
      <c r="G33" s="40" t="s">
        <v>94</v>
      </c>
      <c r="H33" s="40"/>
      <c r="I33" s="40"/>
      <c r="J33" s="175">
        <f>CHOOSE(year_selection, L33,M33,N33,O33,P33,Q33,R33,S33)</f>
        <v>0.35419813587175775</v>
      </c>
      <c r="K33" s="40"/>
      <c r="L33" s="323">
        <v>0.34755258472512618</v>
      </c>
      <c r="M33" s="323">
        <v>0.35022185180171533</v>
      </c>
      <c r="N33" s="323">
        <v>0.3524064779801398</v>
      </c>
      <c r="O33" s="323">
        <v>0.35419813587175775</v>
      </c>
      <c r="P33" s="323">
        <v>0.3524064779801398</v>
      </c>
      <c r="Q33" s="323">
        <v>0.3524064779801398</v>
      </c>
      <c r="R33" s="323">
        <v>0.3524064779801398</v>
      </c>
      <c r="S33" s="323">
        <v>0.3524064779801398</v>
      </c>
      <c r="U33" s="195"/>
    </row>
    <row r="34" spans="3:38" x14ac:dyDescent="0.25">
      <c r="E34" s="195"/>
      <c r="F34" s="124" t="s">
        <v>67</v>
      </c>
      <c r="G34" s="39" t="s">
        <v>94</v>
      </c>
      <c r="H34" s="39"/>
      <c r="I34" s="39"/>
      <c r="J34" s="17">
        <f>CHOOSE(year_selection, L34,M34,N34,O34,P34,Q34,R34,S34)</f>
        <v>0.53678178408311983</v>
      </c>
      <c r="K34" s="39"/>
      <c r="L34" s="324">
        <v>0.56592745965042113</v>
      </c>
      <c r="M34" s="324">
        <v>0.5414947275014399</v>
      </c>
      <c r="N34" s="324">
        <v>0.53547179798952582</v>
      </c>
      <c r="O34" s="324">
        <v>0.53678178408311983</v>
      </c>
      <c r="P34" s="324">
        <v>0.53547179798952582</v>
      </c>
      <c r="Q34" s="324">
        <v>0.53547179798952582</v>
      </c>
      <c r="R34" s="324">
        <v>0.53547179798952582</v>
      </c>
      <c r="S34" s="324">
        <v>0.53547179798952582</v>
      </c>
      <c r="W34" s="85" t="s">
        <v>72</v>
      </c>
      <c r="X34" s="85" t="s">
        <v>73</v>
      </c>
      <c r="Y34" s="85" t="s">
        <v>52</v>
      </c>
      <c r="Z34" s="85" t="s">
        <v>53</v>
      </c>
      <c r="AA34" s="85" t="s">
        <v>54</v>
      </c>
      <c r="AB34" s="85" t="s">
        <v>55</v>
      </c>
      <c r="AC34" s="85" t="s">
        <v>56</v>
      </c>
      <c r="AD34" s="85" t="s">
        <v>57</v>
      </c>
      <c r="AE34" s="85" t="s">
        <v>58</v>
      </c>
      <c r="AF34" s="85" t="s">
        <v>59</v>
      </c>
      <c r="AG34" s="85" t="s">
        <v>60</v>
      </c>
      <c r="AH34" s="85" t="s">
        <v>61</v>
      </c>
      <c r="AI34" s="85" t="s">
        <v>62</v>
      </c>
      <c r="AJ34" s="85" t="s">
        <v>63</v>
      </c>
      <c r="AK34" s="85" t="s">
        <v>64</v>
      </c>
      <c r="AL34" s="85" t="s">
        <v>65</v>
      </c>
    </row>
    <row r="35" spans="3:38" x14ac:dyDescent="0.25">
      <c r="E35" s="195"/>
      <c r="F35" s="124" t="s">
        <v>68</v>
      </c>
      <c r="G35" s="39" t="s">
        <v>94</v>
      </c>
      <c r="H35" s="39"/>
      <c r="I35" s="39"/>
      <c r="J35" s="17">
        <f>CHOOSE(year_selection, L35,M35,N35,O35,P35,Q35,R35,S35)</f>
        <v>0.26008027391458188</v>
      </c>
      <c r="K35" s="39"/>
      <c r="L35" s="324">
        <v>0.30780783362179165</v>
      </c>
      <c r="M35" s="324">
        <v>0.26789549843336719</v>
      </c>
      <c r="N35" s="324">
        <v>0.25784758766328103</v>
      </c>
      <c r="O35" s="324">
        <v>0.26008027391458188</v>
      </c>
      <c r="P35" s="324">
        <v>0.25784758766328103</v>
      </c>
      <c r="Q35" s="324">
        <v>0.25784758766328103</v>
      </c>
      <c r="R35" s="324">
        <v>0.25784758766328103</v>
      </c>
      <c r="S35" s="324">
        <v>0.25784758766328103</v>
      </c>
    </row>
    <row r="36" spans="3:38" x14ac:dyDescent="0.25">
      <c r="E36" s="195"/>
      <c r="F36" s="125" t="s">
        <v>69</v>
      </c>
      <c r="G36" s="36" t="s">
        <v>94</v>
      </c>
      <c r="H36" s="36"/>
      <c r="I36" s="36"/>
      <c r="J36" s="18">
        <f>CHOOSE(year_selection, L36,M36,N36,O36,P36,Q36,R36,S36)</f>
        <v>0.15233473843264977</v>
      </c>
      <c r="K36" s="36"/>
      <c r="L36" s="325">
        <v>0.20760110839034102</v>
      </c>
      <c r="M36" s="325">
        <v>0.16143252355342977</v>
      </c>
      <c r="N36" s="325">
        <v>0.1497062803543466</v>
      </c>
      <c r="O36" s="325">
        <v>0.15233473843264977</v>
      </c>
      <c r="P36" s="325">
        <v>0.1497062803543466</v>
      </c>
      <c r="Q36" s="325">
        <v>0.1497062803543466</v>
      </c>
      <c r="R36" s="325">
        <v>0.1497062803543466</v>
      </c>
      <c r="S36" s="325">
        <v>0.1497062803543466</v>
      </c>
    </row>
    <row r="37" spans="3:38" x14ac:dyDescent="0.25">
      <c r="E37" s="195"/>
      <c r="F37" s="195"/>
      <c r="G37" s="108"/>
      <c r="H37" s="108"/>
      <c r="I37" s="108"/>
      <c r="J37" s="151"/>
      <c r="K37" s="108"/>
      <c r="L37" s="108"/>
      <c r="M37" s="108"/>
      <c r="N37" s="108"/>
      <c r="O37" s="108"/>
      <c r="P37" s="108"/>
      <c r="Q37" s="108"/>
      <c r="R37" s="108"/>
      <c r="S37" s="108"/>
    </row>
    <row r="38" spans="3:38" s="195" customFormat="1" x14ac:dyDescent="0.25">
      <c r="C38" s="7" t="str">
        <f ca="1">INDEX('Version control'!$H$35:$H$61,MATCH($A$1,'Version control'!$F$35:$F$61,0),1)&amp;"-C: CDCM target revenue"</f>
        <v>Input 503-C: CDCM target revenue</v>
      </c>
      <c r="D38" s="7"/>
      <c r="E38" s="7"/>
      <c r="F38" s="7"/>
      <c r="G38" s="172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</row>
    <row r="39" spans="3:38" s="195" customFormat="1" x14ac:dyDescent="0.25">
      <c r="G39" s="108"/>
      <c r="L39" s="293"/>
      <c r="M39" s="293"/>
      <c r="N39" s="293"/>
      <c r="P39" s="293"/>
      <c r="Q39" s="293"/>
      <c r="R39" s="293"/>
      <c r="S39" s="293"/>
    </row>
    <row r="40" spans="3:38" s="195" customFormat="1" x14ac:dyDescent="0.25">
      <c r="D40" s="82" t="s">
        <v>782</v>
      </c>
      <c r="F40" s="82"/>
      <c r="G40" s="108"/>
      <c r="H40" s="108"/>
      <c r="I40" s="85" t="s">
        <v>359</v>
      </c>
      <c r="J40" s="152"/>
      <c r="L40" s="293"/>
      <c r="M40" s="293"/>
      <c r="N40" s="293"/>
      <c r="P40" s="293"/>
      <c r="Q40" s="293"/>
      <c r="R40" s="293"/>
      <c r="S40" s="293"/>
      <c r="T40" s="85"/>
      <c r="U40" s="195" t="s">
        <v>1256</v>
      </c>
    </row>
    <row r="41" spans="3:38" s="195" customFormat="1" x14ac:dyDescent="0.25">
      <c r="D41" s="82" t="s">
        <v>1250</v>
      </c>
      <c r="F41" s="82"/>
      <c r="G41" s="108"/>
      <c r="H41" s="108"/>
      <c r="I41" s="108"/>
      <c r="J41" s="151"/>
      <c r="K41" s="108"/>
      <c r="L41" s="108"/>
      <c r="M41" s="108"/>
      <c r="N41" s="108"/>
      <c r="O41" s="108"/>
      <c r="P41" s="108"/>
      <c r="Q41" s="108"/>
      <c r="R41" s="108"/>
      <c r="S41" s="108"/>
    </row>
    <row r="42" spans="3:38" s="293" customFormat="1" x14ac:dyDescent="0.25">
      <c r="D42" s="82"/>
      <c r="E42" s="82"/>
      <c r="F42" s="82"/>
      <c r="G42" s="108"/>
      <c r="H42" s="108"/>
      <c r="I42" s="108"/>
      <c r="J42" s="151"/>
      <c r="K42" s="108"/>
      <c r="L42" s="108"/>
      <c r="M42" s="108"/>
      <c r="N42" s="108"/>
      <c r="O42" s="108"/>
      <c r="P42" s="108"/>
      <c r="Q42" s="108"/>
      <c r="R42" s="108"/>
      <c r="S42" s="108"/>
    </row>
    <row r="43" spans="3:38" x14ac:dyDescent="0.25">
      <c r="E43" s="196" t="s">
        <v>0</v>
      </c>
      <c r="F43" s="196"/>
      <c r="G43" s="92" t="s">
        <v>107</v>
      </c>
      <c r="H43" s="92"/>
      <c r="I43" s="92"/>
      <c r="J43" s="256">
        <f t="shared" ref="J43:J48" si="0">CHOOSE(year_selection, L43,M43,N43,O43,P43,Q43,R43,S43)</f>
        <v>587955333.83009136</v>
      </c>
      <c r="K43" s="262"/>
      <c r="L43" s="333">
        <v>473700000</v>
      </c>
      <c r="M43" s="333">
        <v>473700000</v>
      </c>
      <c r="N43" s="333">
        <v>473700000</v>
      </c>
      <c r="O43" s="333">
        <v>587955333.83009136</v>
      </c>
      <c r="P43" s="333">
        <f>589.69*1000000</f>
        <v>589690000</v>
      </c>
      <c r="Q43" s="333">
        <f>591.49*1000000</f>
        <v>591490000</v>
      </c>
      <c r="R43" s="333">
        <f t="shared" ref="R43:S43" si="1">591.49*1000000</f>
        <v>591490000</v>
      </c>
      <c r="S43" s="333">
        <f t="shared" si="1"/>
        <v>591490000</v>
      </c>
    </row>
    <row r="44" spans="3:38" x14ac:dyDescent="0.25">
      <c r="E44" s="196" t="s">
        <v>1</v>
      </c>
      <c r="F44" s="196"/>
      <c r="G44" s="92" t="s">
        <v>107</v>
      </c>
      <c r="H44" s="92"/>
      <c r="I44" s="92"/>
      <c r="J44" s="256">
        <f t="shared" si="0"/>
        <v>-35120848.863590263</v>
      </c>
      <c r="K44" s="262"/>
      <c r="L44" s="333">
        <v>-26058610.4148243</v>
      </c>
      <c r="M44" s="333">
        <v>-19163170.1737765</v>
      </c>
      <c r="N44" s="333">
        <v>-24662758.672601901</v>
      </c>
      <c r="O44" s="333">
        <v>-35120848.863590263</v>
      </c>
      <c r="P44" s="333">
        <v>0</v>
      </c>
      <c r="Q44" s="333">
        <v>0</v>
      </c>
      <c r="R44" s="333">
        <v>0</v>
      </c>
      <c r="S44" s="333">
        <v>0</v>
      </c>
    </row>
    <row r="45" spans="3:38" x14ac:dyDescent="0.25">
      <c r="E45" s="196" t="s">
        <v>2</v>
      </c>
      <c r="F45" s="196"/>
      <c r="G45" s="92" t="s">
        <v>107</v>
      </c>
      <c r="H45" s="92"/>
      <c r="I45" s="92"/>
      <c r="J45" s="256">
        <f t="shared" si="0"/>
        <v>7482174.7678057449</v>
      </c>
      <c r="K45" s="262"/>
      <c r="L45" s="333">
        <v>-480809.52877861797</v>
      </c>
      <c r="M45" s="333">
        <v>-4185534.9108195803</v>
      </c>
      <c r="N45" s="333">
        <v>-5823680.8846784402</v>
      </c>
      <c r="O45" s="333">
        <v>7482174.7678057449</v>
      </c>
      <c r="P45" s="333">
        <v>0</v>
      </c>
      <c r="Q45" s="333">
        <v>0</v>
      </c>
      <c r="R45" s="333">
        <v>0</v>
      </c>
      <c r="S45" s="333">
        <v>0</v>
      </c>
    </row>
    <row r="46" spans="3:38" x14ac:dyDescent="0.25">
      <c r="E46" s="93" t="s">
        <v>3</v>
      </c>
      <c r="F46" s="93"/>
      <c r="G46" s="93" t="s">
        <v>427</v>
      </c>
      <c r="H46" s="93"/>
      <c r="I46" s="93"/>
      <c r="J46" s="258">
        <f t="shared" si="0"/>
        <v>1.12664425349423</v>
      </c>
      <c r="K46" s="263"/>
      <c r="L46" s="334">
        <v>1.2170000000000001</v>
      </c>
      <c r="M46" s="334">
        <v>1.238</v>
      </c>
      <c r="N46" s="334">
        <v>1.321</v>
      </c>
      <c r="O46" s="334">
        <v>1.12664425349423</v>
      </c>
      <c r="P46" s="334">
        <v>1.1497692390967074</v>
      </c>
      <c r="Q46" s="334">
        <v>1.172779156713958</v>
      </c>
      <c r="R46" s="334">
        <v>1.1962347398482378</v>
      </c>
      <c r="S46" s="334">
        <v>1.2201594346452034</v>
      </c>
    </row>
    <row r="47" spans="3:38" x14ac:dyDescent="0.25">
      <c r="E47" s="196" t="s">
        <v>4</v>
      </c>
      <c r="F47" s="196"/>
      <c r="G47" s="92" t="s">
        <v>107</v>
      </c>
      <c r="H47" s="92"/>
      <c r="I47" s="92"/>
      <c r="J47" s="256">
        <f t="shared" si="0"/>
        <v>560316659.73430681</v>
      </c>
      <c r="K47" s="262"/>
      <c r="L47" s="264">
        <f t="shared" ref="L47" si="2">SUM(L43:L45)</f>
        <v>447160580.05639708</v>
      </c>
      <c r="M47" s="264">
        <f t="shared" ref="M47:S47" si="3">SUM(M43:M45)</f>
        <v>450351294.9154039</v>
      </c>
      <c r="N47" s="264">
        <f t="shared" si="3"/>
        <v>443213560.4427197</v>
      </c>
      <c r="O47" s="264">
        <f t="shared" si="3"/>
        <v>560316659.73430681</v>
      </c>
      <c r="P47" s="264">
        <f t="shared" si="3"/>
        <v>589690000</v>
      </c>
      <c r="Q47" s="264">
        <f t="shared" si="3"/>
        <v>591490000</v>
      </c>
      <c r="R47" s="264">
        <f t="shared" si="3"/>
        <v>591490000</v>
      </c>
      <c r="S47" s="264">
        <f t="shared" si="3"/>
        <v>591490000</v>
      </c>
    </row>
    <row r="48" spans="3:38" x14ac:dyDescent="0.25">
      <c r="E48" s="81" t="s">
        <v>437</v>
      </c>
      <c r="F48" s="81"/>
      <c r="G48" s="92" t="s">
        <v>107</v>
      </c>
      <c r="H48" s="92"/>
      <c r="I48" s="92"/>
      <c r="J48" s="256">
        <f t="shared" si="0"/>
        <v>70960885.092431784</v>
      </c>
      <c r="K48" s="262"/>
      <c r="L48" s="264">
        <f t="shared" ref="L48:S48" si="4">L47 * (L46 - 1)</f>
        <v>97033845.872238204</v>
      </c>
      <c r="M48" s="264">
        <f t="shared" si="4"/>
        <v>107183608.18986613</v>
      </c>
      <c r="N48" s="264">
        <f t="shared" si="4"/>
        <v>142271552.90211299</v>
      </c>
      <c r="O48" s="264">
        <f t="shared" si="4"/>
        <v>70960885.092431784</v>
      </c>
      <c r="P48" s="264">
        <f t="shared" si="4"/>
        <v>88317422.602937371</v>
      </c>
      <c r="Q48" s="264">
        <f t="shared" si="4"/>
        <v>102197143.40473905</v>
      </c>
      <c r="R48" s="264">
        <f t="shared" si="4"/>
        <v>116070886.27283418</v>
      </c>
      <c r="S48" s="264">
        <f t="shared" si="4"/>
        <v>130222103.99829134</v>
      </c>
    </row>
    <row r="49" spans="1:19" x14ac:dyDescent="0.25">
      <c r="E49" s="196"/>
      <c r="F49" s="196"/>
      <c r="G49" s="92"/>
      <c r="H49" s="92"/>
      <c r="I49" s="92"/>
      <c r="J49" s="265"/>
      <c r="K49" s="262"/>
      <c r="L49" s="262"/>
      <c r="M49" s="262"/>
      <c r="N49" s="262"/>
      <c r="O49" s="262"/>
      <c r="P49" s="262"/>
      <c r="Q49" s="262"/>
      <c r="R49" s="262"/>
      <c r="S49" s="262"/>
    </row>
    <row r="50" spans="1:19" x14ac:dyDescent="0.25">
      <c r="E50" s="196" t="s">
        <v>5</v>
      </c>
      <c r="F50" s="196"/>
      <c r="G50" s="92" t="s">
        <v>107</v>
      </c>
      <c r="H50" s="92"/>
      <c r="I50" s="92"/>
      <c r="J50" s="256">
        <f t="shared" ref="J50:J60" si="5">CHOOSE(year_selection, L50,M50,N50,O50,P50,Q50,R50,S50)</f>
        <v>590093.11653628666</v>
      </c>
      <c r="K50" s="262"/>
      <c r="L50" s="333">
        <v>413450.51385658298</v>
      </c>
      <c r="M50" s="333">
        <v>620333.542678372</v>
      </c>
      <c r="N50" s="333">
        <v>648332.87453771301</v>
      </c>
      <c r="O50" s="333">
        <v>590093.11653628666</v>
      </c>
      <c r="P50" s="333">
        <v>590093.11653628666</v>
      </c>
      <c r="Q50" s="333">
        <v>0</v>
      </c>
      <c r="R50" s="333">
        <v>0</v>
      </c>
      <c r="S50" s="333">
        <v>0</v>
      </c>
    </row>
    <row r="51" spans="1:19" x14ac:dyDescent="0.25">
      <c r="E51" s="196" t="s">
        <v>6</v>
      </c>
      <c r="F51" s="196"/>
      <c r="G51" s="92" t="s">
        <v>107</v>
      </c>
      <c r="H51" s="92"/>
      <c r="I51" s="92"/>
      <c r="J51" s="256">
        <f t="shared" si="5"/>
        <v>-11657735.722477706</v>
      </c>
      <c r="K51" s="262"/>
      <c r="L51" s="333">
        <v>-6488963.8006834295</v>
      </c>
      <c r="M51" s="333">
        <v>-8865333.9323929809</v>
      </c>
      <c r="N51" s="333">
        <v>-9264756.7791774794</v>
      </c>
      <c r="O51" s="333">
        <v>-11657735.722477706</v>
      </c>
      <c r="P51" s="333">
        <v>-11657735.722477706</v>
      </c>
      <c r="Q51" s="333">
        <v>0</v>
      </c>
      <c r="R51" s="333">
        <v>0</v>
      </c>
      <c r="S51" s="333">
        <v>0</v>
      </c>
    </row>
    <row r="52" spans="1:19" x14ac:dyDescent="0.25">
      <c r="E52" s="196" t="s">
        <v>7</v>
      </c>
      <c r="F52" s="196"/>
      <c r="G52" s="92" t="s">
        <v>107</v>
      </c>
      <c r="H52" s="92"/>
      <c r="I52" s="92"/>
      <c r="J52" s="256">
        <f t="shared" si="5"/>
        <v>-3826735.6116276723</v>
      </c>
      <c r="K52" s="262"/>
      <c r="L52" s="333">
        <v>-43699.164951029299</v>
      </c>
      <c r="M52" s="333">
        <v>935249.54310145904</v>
      </c>
      <c r="N52" s="333">
        <v>5795250.9188637305</v>
      </c>
      <c r="O52" s="333">
        <v>-3826735.6116276723</v>
      </c>
      <c r="P52" s="333">
        <v>-3826735.6116276723</v>
      </c>
      <c r="Q52" s="333">
        <v>0</v>
      </c>
      <c r="R52" s="333">
        <v>0</v>
      </c>
      <c r="S52" s="333">
        <v>0</v>
      </c>
    </row>
    <row r="53" spans="1:19" x14ac:dyDescent="0.25">
      <c r="E53" s="196" t="s">
        <v>8</v>
      </c>
      <c r="F53" s="196"/>
      <c r="G53" s="92" t="s">
        <v>107</v>
      </c>
      <c r="H53" s="92"/>
      <c r="I53" s="92"/>
      <c r="J53" s="256">
        <f t="shared" si="5"/>
        <v>4814345.8075422384</v>
      </c>
      <c r="K53" s="262"/>
      <c r="L53" s="333">
        <v>2202337.3939786702</v>
      </c>
      <c r="M53" s="333">
        <v>2700869.1559801102</v>
      </c>
      <c r="N53" s="333">
        <v>3678951.4434952401</v>
      </c>
      <c r="O53" s="333">
        <v>4814345.8075422384</v>
      </c>
      <c r="P53" s="333">
        <v>4814345.8075422384</v>
      </c>
      <c r="Q53" s="333">
        <v>0</v>
      </c>
      <c r="R53" s="333">
        <v>0</v>
      </c>
      <c r="S53" s="333">
        <v>0</v>
      </c>
    </row>
    <row r="54" spans="1:19" x14ac:dyDescent="0.25">
      <c r="E54" s="196" t="s">
        <v>9</v>
      </c>
      <c r="F54" s="196"/>
      <c r="G54" s="92" t="s">
        <v>107</v>
      </c>
      <c r="H54" s="92"/>
      <c r="I54" s="92"/>
      <c r="J54" s="256">
        <f t="shared" si="5"/>
        <v>446167.60032032902</v>
      </c>
      <c r="K54" s="262"/>
      <c r="L54" s="333">
        <v>604566.59439937596</v>
      </c>
      <c r="M54" s="333">
        <v>-1035349.72360059</v>
      </c>
      <c r="N54" s="333">
        <v>394533.05393683404</v>
      </c>
      <c r="O54" s="333">
        <v>446167.60032032902</v>
      </c>
      <c r="P54" s="333">
        <v>446167.60032032902</v>
      </c>
      <c r="Q54" s="333">
        <v>0</v>
      </c>
      <c r="R54" s="333">
        <v>0</v>
      </c>
      <c r="S54" s="333">
        <v>0</v>
      </c>
    </row>
    <row r="55" spans="1:19" x14ac:dyDescent="0.25">
      <c r="E55" s="196" t="s">
        <v>10</v>
      </c>
      <c r="F55" s="196"/>
      <c r="G55" s="92" t="s">
        <v>107</v>
      </c>
      <c r="H55" s="92"/>
      <c r="I55" s="92"/>
      <c r="J55" s="256">
        <f t="shared" si="5"/>
        <v>-146035.21225992002</v>
      </c>
      <c r="K55" s="262"/>
      <c r="L55" s="333">
        <v>-130140.79580514501</v>
      </c>
      <c r="M55" s="333">
        <v>-132128.60509925999</v>
      </c>
      <c r="N55" s="333">
        <v>-140703.26773041001</v>
      </c>
      <c r="O55" s="333">
        <v>-146035.21225992002</v>
      </c>
      <c r="P55" s="333">
        <v>-146035.21225992002</v>
      </c>
      <c r="Q55" s="333">
        <v>0</v>
      </c>
      <c r="R55" s="333">
        <v>0</v>
      </c>
      <c r="S55" s="333">
        <v>0</v>
      </c>
    </row>
    <row r="56" spans="1:19" s="293" customFormat="1" x14ac:dyDescent="0.25">
      <c r="E56" s="293" t="s">
        <v>958</v>
      </c>
      <c r="G56" s="293" t="s">
        <v>107</v>
      </c>
      <c r="H56" s="196"/>
      <c r="I56" s="196"/>
      <c r="J56" s="256">
        <f t="shared" si="5"/>
        <v>1119102.4670971127</v>
      </c>
      <c r="K56" s="262"/>
      <c r="L56" s="333">
        <v>0</v>
      </c>
      <c r="M56" s="333">
        <v>70884.098750427511</v>
      </c>
      <c r="N56" s="333">
        <v>658062.08141432598</v>
      </c>
      <c r="O56" s="333">
        <v>1119102.4670971127</v>
      </c>
      <c r="P56" s="333">
        <v>0</v>
      </c>
      <c r="Q56" s="333">
        <v>0</v>
      </c>
      <c r="R56" s="333">
        <v>0</v>
      </c>
      <c r="S56" s="333">
        <v>0</v>
      </c>
    </row>
    <row r="57" spans="1:19" s="293" customFormat="1" x14ac:dyDescent="0.25">
      <c r="E57" s="293" t="s">
        <v>959</v>
      </c>
      <c r="G57" s="293" t="s">
        <v>107</v>
      </c>
      <c r="H57" s="196"/>
      <c r="I57" s="196"/>
      <c r="J57" s="256">
        <f t="shared" si="5"/>
        <v>1989788.1281364006</v>
      </c>
      <c r="K57" s="262"/>
      <c r="L57" s="333">
        <v>0</v>
      </c>
      <c r="M57" s="333">
        <v>1981204.5762492202</v>
      </c>
      <c r="N57" s="333">
        <v>647265.99223403307</v>
      </c>
      <c r="O57" s="333">
        <v>1989788.1281364006</v>
      </c>
      <c r="P57" s="333">
        <v>0</v>
      </c>
      <c r="Q57" s="333">
        <v>0</v>
      </c>
      <c r="R57" s="333">
        <v>0</v>
      </c>
      <c r="S57" s="333">
        <v>0</v>
      </c>
    </row>
    <row r="58" spans="1:19" s="533" customFormat="1" x14ac:dyDescent="0.25">
      <c r="A58" s="293"/>
      <c r="E58" s="5" t="s">
        <v>1248</v>
      </c>
      <c r="F58" s="5"/>
      <c r="G58" s="5" t="s">
        <v>107</v>
      </c>
      <c r="H58" s="534"/>
      <c r="I58" s="534"/>
      <c r="J58" s="535">
        <f t="shared" si="5"/>
        <v>0</v>
      </c>
      <c r="K58" s="536"/>
      <c r="L58" s="333">
        <v>0</v>
      </c>
      <c r="M58" s="333">
        <v>171305.63972983</v>
      </c>
      <c r="N58" s="333">
        <v>-188553.977021992</v>
      </c>
      <c r="O58" s="333">
        <v>0</v>
      </c>
      <c r="P58" s="333">
        <v>0</v>
      </c>
      <c r="Q58" s="333">
        <v>0</v>
      </c>
      <c r="R58" s="333">
        <v>0</v>
      </c>
      <c r="S58" s="333">
        <v>0</v>
      </c>
    </row>
    <row r="59" spans="1:19" x14ac:dyDescent="0.25">
      <c r="E59" s="93" t="s">
        <v>11</v>
      </c>
      <c r="F59" s="93"/>
      <c r="G59" s="93" t="s">
        <v>107</v>
      </c>
      <c r="H59" s="93"/>
      <c r="I59" s="93"/>
      <c r="J59" s="258">
        <f t="shared" si="5"/>
        <v>0</v>
      </c>
      <c r="K59" s="263"/>
      <c r="L59" s="334">
        <v>0</v>
      </c>
      <c r="M59" s="334">
        <v>0</v>
      </c>
      <c r="N59" s="334">
        <v>0</v>
      </c>
      <c r="O59" s="334">
        <v>0</v>
      </c>
      <c r="P59" s="334">
        <v>0</v>
      </c>
      <c r="Q59" s="334">
        <v>0</v>
      </c>
      <c r="R59" s="334">
        <v>0</v>
      </c>
      <c r="S59" s="334">
        <v>0</v>
      </c>
    </row>
    <row r="60" spans="1:19" x14ac:dyDescent="0.25">
      <c r="E60" s="196" t="s">
        <v>12</v>
      </c>
      <c r="F60" s="196"/>
      <c r="G60" s="92" t="s">
        <v>107</v>
      </c>
      <c r="H60" s="92"/>
      <c r="I60" s="92"/>
      <c r="J60" s="256">
        <f t="shared" si="5"/>
        <v>-6671009.4267329294</v>
      </c>
      <c r="K60" s="262"/>
      <c r="L60" s="304">
        <f t="shared" ref="L60:N60" si="6">SUM(L50:L59)</f>
        <v>-3442449.2592049744</v>
      </c>
      <c r="M60" s="304">
        <f t="shared" si="6"/>
        <v>-3552965.7046034117</v>
      </c>
      <c r="N60" s="304">
        <f t="shared" si="6"/>
        <v>2228382.3405519957</v>
      </c>
      <c r="O60" s="304">
        <f t="shared" ref="O60:S60" si="7">SUM(O50:O59)</f>
        <v>-6671009.4267329294</v>
      </c>
      <c r="P60" s="304">
        <f t="shared" si="7"/>
        <v>-9779900.0219664425</v>
      </c>
      <c r="Q60" s="304">
        <f t="shared" si="7"/>
        <v>0</v>
      </c>
      <c r="R60" s="304">
        <f t="shared" si="7"/>
        <v>0</v>
      </c>
      <c r="S60" s="304">
        <f t="shared" si="7"/>
        <v>0</v>
      </c>
    </row>
    <row r="61" spans="1:19" x14ac:dyDescent="0.25">
      <c r="E61" s="196"/>
      <c r="F61" s="196"/>
      <c r="G61" s="92"/>
      <c r="H61" s="92"/>
      <c r="I61" s="92"/>
      <c r="J61" s="265"/>
      <c r="K61" s="262"/>
      <c r="L61" s="262"/>
      <c r="M61" s="262"/>
      <c r="N61" s="262"/>
      <c r="O61" s="262"/>
      <c r="P61" s="262"/>
      <c r="Q61" s="262"/>
      <c r="R61" s="262"/>
      <c r="S61" s="262"/>
    </row>
    <row r="62" spans="1:19" x14ac:dyDescent="0.25">
      <c r="E62" s="196" t="s">
        <v>13</v>
      </c>
      <c r="F62" s="196"/>
      <c r="G62" s="92" t="s">
        <v>107</v>
      </c>
      <c r="H62" s="92"/>
      <c r="I62" s="92"/>
      <c r="J62" s="256">
        <f t="shared" ref="J62:J73" si="8">CHOOSE(year_selection, L62,M62,N62,O62,P62,Q62,R62,S62)</f>
        <v>2246242.9786451422</v>
      </c>
      <c r="K62" s="262"/>
      <c r="L62" s="333">
        <v>2338292.3276558598</v>
      </c>
      <c r="M62" s="333">
        <v>4016124.5970365298</v>
      </c>
      <c r="N62" s="333">
        <v>3559456.2641948001</v>
      </c>
      <c r="O62" s="333">
        <v>2246242.9786451422</v>
      </c>
      <c r="P62" s="333">
        <v>2246242.9786451422</v>
      </c>
      <c r="Q62" s="333">
        <v>0</v>
      </c>
      <c r="R62" s="333">
        <v>0</v>
      </c>
      <c r="S62" s="333">
        <v>0</v>
      </c>
    </row>
    <row r="63" spans="1:19" x14ac:dyDescent="0.25">
      <c r="E63" s="196" t="s">
        <v>14</v>
      </c>
      <c r="F63" s="196"/>
      <c r="G63" s="92" t="s">
        <v>107</v>
      </c>
      <c r="H63" s="92"/>
      <c r="I63" s="92"/>
      <c r="J63" s="256">
        <f t="shared" si="8"/>
        <v>6019850.1239122804</v>
      </c>
      <c r="K63" s="262"/>
      <c r="L63" s="333">
        <v>2598130.7226772499</v>
      </c>
      <c r="M63" s="333">
        <v>7017295.6728679501</v>
      </c>
      <c r="N63" s="333">
        <v>7783193.1274226597</v>
      </c>
      <c r="O63" s="333">
        <v>6019850.1239122804</v>
      </c>
      <c r="P63" s="333">
        <v>6019850.1239122804</v>
      </c>
      <c r="Q63" s="333">
        <v>0</v>
      </c>
      <c r="R63" s="333">
        <v>0</v>
      </c>
      <c r="S63" s="333">
        <v>0</v>
      </c>
    </row>
    <row r="64" spans="1:19" x14ac:dyDescent="0.25">
      <c r="E64" s="196" t="s">
        <v>15</v>
      </c>
      <c r="F64" s="196"/>
      <c r="G64" s="92" t="s">
        <v>107</v>
      </c>
      <c r="H64" s="92"/>
      <c r="I64" s="92"/>
      <c r="J64" s="256">
        <f t="shared" si="8"/>
        <v>0</v>
      </c>
      <c r="K64" s="262"/>
      <c r="L64" s="333">
        <v>0</v>
      </c>
      <c r="M64" s="333">
        <v>0</v>
      </c>
      <c r="N64" s="333">
        <v>0</v>
      </c>
      <c r="O64" s="333">
        <v>0</v>
      </c>
      <c r="P64" s="333">
        <v>0</v>
      </c>
      <c r="Q64" s="333">
        <v>0</v>
      </c>
      <c r="R64" s="333">
        <v>0</v>
      </c>
      <c r="S64" s="333">
        <v>0</v>
      </c>
    </row>
    <row r="65" spans="5:19" x14ac:dyDescent="0.25">
      <c r="E65" s="196" t="s">
        <v>16</v>
      </c>
      <c r="F65" s="196"/>
      <c r="G65" s="92" t="s">
        <v>107</v>
      </c>
      <c r="H65" s="92"/>
      <c r="I65" s="92"/>
      <c r="J65" s="256">
        <f t="shared" si="8"/>
        <v>487712.13041430479</v>
      </c>
      <c r="K65" s="262"/>
      <c r="L65" s="333">
        <v>1820558.5711658301</v>
      </c>
      <c r="M65" s="333">
        <v>1785373.52574781</v>
      </c>
      <c r="N65" s="333">
        <v>904921.38606115303</v>
      </c>
      <c r="O65" s="333">
        <v>487712.13041430479</v>
      </c>
      <c r="P65" s="333">
        <v>487712.13041430479</v>
      </c>
      <c r="Q65" s="333">
        <v>0</v>
      </c>
      <c r="R65" s="333">
        <v>0</v>
      </c>
      <c r="S65" s="333">
        <v>0</v>
      </c>
    </row>
    <row r="66" spans="5:19" x14ac:dyDescent="0.25">
      <c r="E66" s="196" t="s">
        <v>17</v>
      </c>
      <c r="F66" s="196"/>
      <c r="G66" s="92" t="s">
        <v>107</v>
      </c>
      <c r="H66" s="92"/>
      <c r="I66" s="92"/>
      <c r="J66" s="256">
        <f t="shared" si="8"/>
        <v>0</v>
      </c>
      <c r="K66" s="262"/>
      <c r="L66" s="333">
        <v>0</v>
      </c>
      <c r="M66" s="333">
        <v>0</v>
      </c>
      <c r="N66" s="333">
        <v>0</v>
      </c>
      <c r="O66" s="333">
        <v>0</v>
      </c>
      <c r="P66" s="333">
        <v>0</v>
      </c>
      <c r="Q66" s="333">
        <v>0</v>
      </c>
      <c r="R66" s="333">
        <v>0</v>
      </c>
      <c r="S66" s="333">
        <v>0</v>
      </c>
    </row>
    <row r="67" spans="5:19" x14ac:dyDescent="0.25">
      <c r="E67" s="196" t="s">
        <v>18</v>
      </c>
      <c r="F67" s="196"/>
      <c r="G67" s="92" t="s">
        <v>107</v>
      </c>
      <c r="H67" s="92"/>
      <c r="I67" s="92"/>
      <c r="J67" s="256">
        <f t="shared" si="8"/>
        <v>0</v>
      </c>
      <c r="K67" s="262"/>
      <c r="L67" s="333">
        <v>1796160.27620381</v>
      </c>
      <c r="M67" s="333">
        <v>2047499.9999999998</v>
      </c>
      <c r="N67" s="333">
        <v>2047499.9999999998</v>
      </c>
      <c r="O67" s="333">
        <v>0</v>
      </c>
      <c r="P67" s="333">
        <v>0</v>
      </c>
      <c r="Q67" s="333">
        <v>0</v>
      </c>
      <c r="R67" s="333">
        <v>0</v>
      </c>
      <c r="S67" s="333">
        <v>0</v>
      </c>
    </row>
    <row r="68" spans="5:19" x14ac:dyDescent="0.25">
      <c r="E68" s="196" t="s">
        <v>19</v>
      </c>
      <c r="F68" s="196"/>
      <c r="G68" s="92" t="s">
        <v>107</v>
      </c>
      <c r="H68" s="92"/>
      <c r="I68" s="92"/>
      <c r="J68" s="256">
        <f t="shared" si="8"/>
        <v>0</v>
      </c>
      <c r="K68" s="262"/>
      <c r="L68" s="333">
        <v>0</v>
      </c>
      <c r="M68" s="333">
        <v>0</v>
      </c>
      <c r="N68" s="333">
        <v>0</v>
      </c>
      <c r="O68" s="333">
        <v>0</v>
      </c>
      <c r="P68" s="333">
        <v>0</v>
      </c>
      <c r="Q68" s="333">
        <v>0</v>
      </c>
      <c r="R68" s="333">
        <v>0</v>
      </c>
      <c r="S68" s="333">
        <v>0</v>
      </c>
    </row>
    <row r="69" spans="5:19" x14ac:dyDescent="0.25">
      <c r="E69" s="196" t="s">
        <v>20</v>
      </c>
      <c r="F69" s="196"/>
      <c r="G69" s="92" t="s">
        <v>107</v>
      </c>
      <c r="H69" s="92"/>
      <c r="I69" s="92"/>
      <c r="J69" s="256">
        <f t="shared" si="8"/>
        <v>0</v>
      </c>
      <c r="K69" s="262"/>
      <c r="L69" s="333">
        <v>-322475.74</v>
      </c>
      <c r="M69" s="333">
        <v>71677.721999999994</v>
      </c>
      <c r="N69" s="333">
        <v>0</v>
      </c>
      <c r="O69" s="333">
        <v>0</v>
      </c>
      <c r="P69" s="333">
        <v>0</v>
      </c>
      <c r="Q69" s="333">
        <v>0</v>
      </c>
      <c r="R69" s="333">
        <v>0</v>
      </c>
      <c r="S69" s="333">
        <v>0</v>
      </c>
    </row>
    <row r="70" spans="5:19" x14ac:dyDescent="0.25">
      <c r="E70" s="196" t="s">
        <v>21</v>
      </c>
      <c r="F70" s="196"/>
      <c r="G70" s="92" t="s">
        <v>107</v>
      </c>
      <c r="H70" s="92"/>
      <c r="I70" s="92"/>
      <c r="J70" s="256">
        <f t="shared" si="8"/>
        <v>0</v>
      </c>
      <c r="K70" s="262"/>
      <c r="L70" s="333">
        <v>0</v>
      </c>
      <c r="M70" s="333">
        <v>0</v>
      </c>
      <c r="N70" s="333">
        <v>0</v>
      </c>
      <c r="O70" s="333">
        <v>0</v>
      </c>
      <c r="P70" s="333">
        <v>0</v>
      </c>
      <c r="Q70" s="333">
        <v>0</v>
      </c>
      <c r="R70" s="333">
        <v>0</v>
      </c>
      <c r="S70" s="333">
        <v>0</v>
      </c>
    </row>
    <row r="71" spans="5:19" x14ac:dyDescent="0.25">
      <c r="E71" s="196" t="s">
        <v>22</v>
      </c>
      <c r="F71" s="196"/>
      <c r="G71" s="92" t="s">
        <v>107</v>
      </c>
      <c r="H71" s="92"/>
      <c r="I71" s="92"/>
      <c r="J71" s="256">
        <f t="shared" si="8"/>
        <v>0</v>
      </c>
      <c r="K71" s="262"/>
      <c r="L71" s="333">
        <v>0</v>
      </c>
      <c r="M71" s="333">
        <v>0</v>
      </c>
      <c r="N71" s="333">
        <v>0</v>
      </c>
      <c r="O71" s="333">
        <v>0</v>
      </c>
      <c r="P71" s="333">
        <v>0</v>
      </c>
      <c r="Q71" s="333">
        <v>0</v>
      </c>
      <c r="R71" s="333">
        <v>0</v>
      </c>
      <c r="S71" s="333">
        <v>0</v>
      </c>
    </row>
    <row r="72" spans="5:19" x14ac:dyDescent="0.25">
      <c r="E72" s="93" t="s">
        <v>23</v>
      </c>
      <c r="F72" s="93"/>
      <c r="G72" s="93" t="s">
        <v>107</v>
      </c>
      <c r="H72" s="93"/>
      <c r="I72" s="93"/>
      <c r="J72" s="258">
        <f t="shared" si="8"/>
        <v>0</v>
      </c>
      <c r="K72" s="263"/>
      <c r="L72" s="334">
        <v>0</v>
      </c>
      <c r="M72" s="334">
        <v>0</v>
      </c>
      <c r="N72" s="334">
        <v>0</v>
      </c>
      <c r="O72" s="334">
        <v>0</v>
      </c>
      <c r="P72" s="334">
        <v>0</v>
      </c>
      <c r="Q72" s="334">
        <v>0</v>
      </c>
      <c r="R72" s="334">
        <v>0</v>
      </c>
      <c r="S72" s="334">
        <v>0</v>
      </c>
    </row>
    <row r="73" spans="5:19" x14ac:dyDescent="0.25">
      <c r="E73" s="196" t="s">
        <v>24</v>
      </c>
      <c r="F73" s="196"/>
      <c r="G73" s="92" t="s">
        <v>107</v>
      </c>
      <c r="H73" s="92"/>
      <c r="I73" s="92"/>
      <c r="J73" s="256">
        <f t="shared" si="8"/>
        <v>8753805.2329717278</v>
      </c>
      <c r="K73" s="262"/>
      <c r="L73" s="304">
        <f t="shared" ref="L73:N73" si="9">SUM(L62:L72)</f>
        <v>8230666.1577027496</v>
      </c>
      <c r="M73" s="304">
        <f t="shared" si="9"/>
        <v>14937971.517652288</v>
      </c>
      <c r="N73" s="304">
        <f t="shared" si="9"/>
        <v>14295070.777678613</v>
      </c>
      <c r="O73" s="304">
        <f t="shared" ref="O73:S73" si="10">SUM(O62:O72)</f>
        <v>8753805.2329717278</v>
      </c>
      <c r="P73" s="304">
        <f t="shared" si="10"/>
        <v>8753805.2329717278</v>
      </c>
      <c r="Q73" s="304">
        <f t="shared" si="10"/>
        <v>0</v>
      </c>
      <c r="R73" s="304">
        <f t="shared" si="10"/>
        <v>0</v>
      </c>
      <c r="S73" s="304">
        <f t="shared" si="10"/>
        <v>0</v>
      </c>
    </row>
    <row r="74" spans="5:19" x14ac:dyDescent="0.25">
      <c r="E74" s="196"/>
      <c r="F74" s="196"/>
      <c r="G74" s="92"/>
      <c r="H74" s="92"/>
      <c r="I74" s="92"/>
      <c r="J74" s="265"/>
      <c r="K74" s="262"/>
      <c r="L74" s="262"/>
      <c r="M74" s="262"/>
      <c r="N74" s="262"/>
      <c r="O74" s="262"/>
      <c r="P74" s="262"/>
      <c r="Q74" s="262"/>
      <c r="R74" s="262"/>
      <c r="S74" s="262"/>
    </row>
    <row r="75" spans="5:19" x14ac:dyDescent="0.25">
      <c r="E75" s="93" t="s">
        <v>25</v>
      </c>
      <c r="F75" s="93"/>
      <c r="G75" s="93" t="s">
        <v>107</v>
      </c>
      <c r="H75" s="93"/>
      <c r="I75" s="93"/>
      <c r="J75" s="258">
        <f>CHOOSE(year_selection, L75,M75,N75,O75,P75,Q75,R75,S75)</f>
        <v>5480897.6816196451</v>
      </c>
      <c r="K75" s="263"/>
      <c r="L75" s="334">
        <f>-5.54133463632758*1000000</f>
        <v>-5541334.6363275796</v>
      </c>
      <c r="M75" s="334">
        <f>0.122356783148187*1000000</f>
        <v>122356.78314818699</v>
      </c>
      <c r="N75" s="334">
        <f>45.4108941123625*1000000</f>
        <v>45410894.112362497</v>
      </c>
      <c r="O75" s="334">
        <v>5480897.6816196451</v>
      </c>
      <c r="P75" s="334">
        <v>0</v>
      </c>
      <c r="Q75" s="334">
        <v>0</v>
      </c>
      <c r="R75" s="334">
        <v>0</v>
      </c>
      <c r="S75" s="334">
        <v>0</v>
      </c>
    </row>
    <row r="76" spans="5:19" x14ac:dyDescent="0.25">
      <c r="E76" s="196" t="s">
        <v>26</v>
      </c>
      <c r="F76" s="196"/>
      <c r="G76" s="92" t="s">
        <v>107</v>
      </c>
      <c r="H76" s="92"/>
      <c r="I76" s="92"/>
      <c r="J76" s="256">
        <f>CHOOSE(year_selection, L76,M76,N76,O76,P76,Q76,R76,S76)</f>
        <v>638841238.31459701</v>
      </c>
      <c r="K76" s="262"/>
      <c r="L76" s="264">
        <f t="shared" ref="L76:S76" si="11">L75 + L73 + L60 + L48 + L47</f>
        <v>543441308.19080544</v>
      </c>
      <c r="M76" s="264">
        <f t="shared" si="11"/>
        <v>569042265.70146704</v>
      </c>
      <c r="N76" s="264">
        <f t="shared" si="11"/>
        <v>647419460.57542586</v>
      </c>
      <c r="O76" s="264">
        <f t="shared" si="11"/>
        <v>638841238.31459701</v>
      </c>
      <c r="P76" s="264">
        <f t="shared" si="11"/>
        <v>676981327.81394267</v>
      </c>
      <c r="Q76" s="264">
        <f t="shared" si="11"/>
        <v>693687143.40473902</v>
      </c>
      <c r="R76" s="264">
        <f t="shared" si="11"/>
        <v>707560886.27283418</v>
      </c>
      <c r="S76" s="264">
        <f t="shared" si="11"/>
        <v>721712103.99829137</v>
      </c>
    </row>
    <row r="77" spans="5:19" x14ac:dyDescent="0.25">
      <c r="E77" s="196"/>
      <c r="F77" s="196"/>
      <c r="G77" s="92"/>
      <c r="H77" s="92"/>
      <c r="I77" s="92"/>
      <c r="J77" s="265"/>
      <c r="K77" s="262"/>
      <c r="L77" s="262"/>
      <c r="M77" s="262"/>
      <c r="N77" s="262"/>
      <c r="O77" s="262"/>
      <c r="P77" s="262"/>
      <c r="Q77" s="262"/>
      <c r="R77" s="262"/>
      <c r="S77" s="262"/>
    </row>
    <row r="78" spans="5:19" x14ac:dyDescent="0.25">
      <c r="E78" s="196" t="s">
        <v>27</v>
      </c>
      <c r="F78" s="196"/>
      <c r="G78" s="92" t="s">
        <v>107</v>
      </c>
      <c r="H78" s="92"/>
      <c r="I78" s="92"/>
      <c r="J78" s="256">
        <f t="shared" ref="J78:J84" si="12">CHOOSE(year_selection, L78,M78,N78,O78,P78,Q78,R78,S78)</f>
        <v>0</v>
      </c>
      <c r="K78" s="262"/>
      <c r="L78" s="333"/>
      <c r="M78" s="333"/>
      <c r="N78" s="333"/>
      <c r="O78" s="333"/>
      <c r="P78" s="333"/>
      <c r="Q78" s="333"/>
      <c r="R78" s="333"/>
      <c r="S78" s="333"/>
    </row>
    <row r="79" spans="5:19" x14ac:dyDescent="0.25">
      <c r="E79" s="196" t="s">
        <v>28</v>
      </c>
      <c r="F79" s="196"/>
      <c r="G79" s="92" t="s">
        <v>107</v>
      </c>
      <c r="H79" s="92"/>
      <c r="I79" s="92"/>
      <c r="J79" s="256">
        <f t="shared" si="12"/>
        <v>0</v>
      </c>
      <c r="K79" s="262"/>
      <c r="L79" s="333"/>
      <c r="M79" s="333"/>
      <c r="N79" s="333"/>
      <c r="O79" s="333"/>
      <c r="P79" s="333"/>
      <c r="Q79" s="333"/>
      <c r="R79" s="333"/>
      <c r="S79" s="333"/>
    </row>
    <row r="80" spans="5:19" x14ac:dyDescent="0.25">
      <c r="E80" s="196" t="s">
        <v>29</v>
      </c>
      <c r="F80" s="196"/>
      <c r="G80" s="92" t="s">
        <v>107</v>
      </c>
      <c r="H80" s="92"/>
      <c r="I80" s="92"/>
      <c r="J80" s="256">
        <f t="shared" si="12"/>
        <v>0</v>
      </c>
      <c r="K80" s="262"/>
      <c r="L80" s="333"/>
      <c r="M80" s="333"/>
      <c r="N80" s="333"/>
      <c r="O80" s="333"/>
      <c r="P80" s="333"/>
      <c r="Q80" s="333"/>
      <c r="R80" s="333"/>
      <c r="S80" s="333"/>
    </row>
    <row r="81" spans="5:19" x14ac:dyDescent="0.25">
      <c r="E81" s="196" t="s">
        <v>30</v>
      </c>
      <c r="F81" s="196"/>
      <c r="G81" s="92" t="s">
        <v>107</v>
      </c>
      <c r="H81" s="92"/>
      <c r="I81" s="92"/>
      <c r="J81" s="256">
        <f t="shared" si="12"/>
        <v>0</v>
      </c>
      <c r="K81" s="262"/>
      <c r="L81" s="333"/>
      <c r="M81" s="333"/>
      <c r="N81" s="333"/>
      <c r="O81" s="333"/>
      <c r="P81" s="333"/>
      <c r="Q81" s="333"/>
      <c r="R81" s="333"/>
      <c r="S81" s="333"/>
    </row>
    <row r="82" spans="5:19" x14ac:dyDescent="0.25">
      <c r="E82" s="93" t="s">
        <v>31</v>
      </c>
      <c r="F82" s="93"/>
      <c r="G82" s="93" t="s">
        <v>107</v>
      </c>
      <c r="H82" s="93"/>
      <c r="I82" s="93"/>
      <c r="J82" s="258">
        <f t="shared" si="12"/>
        <v>0</v>
      </c>
      <c r="K82" s="263"/>
      <c r="L82" s="334"/>
      <c r="M82" s="334"/>
      <c r="N82" s="334"/>
      <c r="O82" s="334"/>
      <c r="P82" s="334"/>
      <c r="Q82" s="334"/>
      <c r="R82" s="334"/>
      <c r="S82" s="334"/>
    </row>
    <row r="83" spans="5:19" x14ac:dyDescent="0.25">
      <c r="E83" s="196" t="s">
        <v>32</v>
      </c>
      <c r="F83" s="196"/>
      <c r="G83" s="196" t="s">
        <v>107</v>
      </c>
      <c r="H83" s="196"/>
      <c r="I83" s="92"/>
      <c r="J83" s="256">
        <f t="shared" si="12"/>
        <v>0</v>
      </c>
      <c r="K83" s="262"/>
      <c r="L83" s="304">
        <f t="shared" ref="L83:N83" si="13">SUM(L78:L82)</f>
        <v>0</v>
      </c>
      <c r="M83" s="304">
        <f t="shared" si="13"/>
        <v>0</v>
      </c>
      <c r="N83" s="304">
        <f t="shared" si="13"/>
        <v>0</v>
      </c>
      <c r="O83" s="304">
        <f t="shared" ref="O83:S83" si="14">SUM(O78:O82)</f>
        <v>0</v>
      </c>
      <c r="P83" s="304">
        <f t="shared" si="14"/>
        <v>0</v>
      </c>
      <c r="Q83" s="304">
        <f t="shared" si="14"/>
        <v>0</v>
      </c>
      <c r="R83" s="304">
        <f t="shared" si="14"/>
        <v>0</v>
      </c>
      <c r="S83" s="304">
        <f t="shared" si="14"/>
        <v>0</v>
      </c>
    </row>
    <row r="84" spans="5:19" x14ac:dyDescent="0.25">
      <c r="E84" s="91" t="s">
        <v>33</v>
      </c>
      <c r="F84" s="91"/>
      <c r="G84" s="91" t="s">
        <v>107</v>
      </c>
      <c r="H84" s="91"/>
      <c r="I84" s="91"/>
      <c r="J84" s="254">
        <f t="shared" si="12"/>
        <v>638841238.31459701</v>
      </c>
      <c r="K84" s="266"/>
      <c r="L84" s="303">
        <f t="shared" ref="L84:S84" si="15">L76+L83</f>
        <v>543441308.19080544</v>
      </c>
      <c r="M84" s="303">
        <f t="shared" si="15"/>
        <v>569042265.70146704</v>
      </c>
      <c r="N84" s="303">
        <f t="shared" si="15"/>
        <v>647419460.57542586</v>
      </c>
      <c r="O84" s="303">
        <f t="shared" si="15"/>
        <v>638841238.31459701</v>
      </c>
      <c r="P84" s="303">
        <f t="shared" si="15"/>
        <v>676981327.81394267</v>
      </c>
      <c r="Q84" s="303">
        <f t="shared" si="15"/>
        <v>693687143.40473902</v>
      </c>
      <c r="R84" s="303">
        <f t="shared" si="15"/>
        <v>707560886.27283418</v>
      </c>
      <c r="S84" s="303">
        <f t="shared" si="15"/>
        <v>721712103.99829137</v>
      </c>
    </row>
    <row r="85" spans="5:19" x14ac:dyDescent="0.25">
      <c r="E85" s="196"/>
      <c r="F85" s="196"/>
      <c r="G85" s="92"/>
      <c r="H85" s="92"/>
      <c r="I85" s="92"/>
      <c r="J85" s="265"/>
      <c r="K85" s="262"/>
      <c r="L85" s="262"/>
      <c r="M85" s="262"/>
      <c r="N85" s="262"/>
      <c r="O85" s="262"/>
      <c r="P85" s="262"/>
      <c r="Q85" s="262"/>
      <c r="R85" s="262"/>
      <c r="S85" s="262"/>
    </row>
    <row r="86" spans="5:19" x14ac:dyDescent="0.25">
      <c r="E86" s="196" t="s">
        <v>34</v>
      </c>
      <c r="F86" s="196"/>
      <c r="G86" s="92" t="s">
        <v>107</v>
      </c>
      <c r="H86" s="92"/>
      <c r="I86" s="92"/>
      <c r="J86" s="256">
        <f t="shared" ref="J86:J91" si="16">CHOOSE(year_selection, L86,M86,N86,O86,P86,Q86,R86,S86)</f>
        <v>26614446.827823885</v>
      </c>
      <c r="K86" s="262"/>
      <c r="L86" s="333">
        <f>21.3179073799774*1000000</f>
        <v>21317907.379977398</v>
      </c>
      <c r="M86" s="333">
        <f>24.4909990936111*1000000</f>
        <v>24490999.093611103</v>
      </c>
      <c r="N86" s="333">
        <f>26.7995690890852*1000000</f>
        <v>26799569.089085199</v>
      </c>
      <c r="O86" s="333">
        <v>26614446.827823885</v>
      </c>
      <c r="P86" s="333">
        <f>P76*(O86/O76)</f>
        <v>28203382.111129604</v>
      </c>
      <c r="Q86" s="333">
        <f t="shared" ref="Q86:S86" si="17">Q76*(P86/P76)</f>
        <v>28899354.77865757</v>
      </c>
      <c r="R86" s="333">
        <f t="shared" si="17"/>
        <v>29477341.874230739</v>
      </c>
      <c r="S86" s="333">
        <f t="shared" si="17"/>
        <v>30066888.711715374</v>
      </c>
    </row>
    <row r="87" spans="5:19" x14ac:dyDescent="0.25">
      <c r="E87" s="196" t="s">
        <v>35</v>
      </c>
      <c r="F87" s="196"/>
      <c r="G87" s="92" t="s">
        <v>107</v>
      </c>
      <c r="H87" s="92"/>
      <c r="I87" s="92"/>
      <c r="J87" s="256">
        <f t="shared" si="16"/>
        <v>0</v>
      </c>
      <c r="K87" s="262"/>
      <c r="L87" s="333"/>
      <c r="M87" s="333"/>
      <c r="N87" s="333"/>
      <c r="O87" s="333"/>
      <c r="P87" s="333"/>
      <c r="Q87" s="333"/>
      <c r="R87" s="333"/>
      <c r="S87" s="333"/>
    </row>
    <row r="88" spans="5:19" x14ac:dyDescent="0.25">
      <c r="E88" s="196" t="s">
        <v>36</v>
      </c>
      <c r="F88" s="196"/>
      <c r="G88" s="92" t="s">
        <v>107</v>
      </c>
      <c r="H88" s="92"/>
      <c r="I88" s="92"/>
      <c r="J88" s="256">
        <f t="shared" si="16"/>
        <v>0</v>
      </c>
      <c r="K88" s="262"/>
      <c r="L88" s="333"/>
      <c r="M88" s="333"/>
      <c r="N88" s="333"/>
      <c r="O88" s="333"/>
      <c r="P88" s="333"/>
      <c r="Q88" s="333"/>
      <c r="R88" s="333"/>
      <c r="S88" s="333"/>
    </row>
    <row r="89" spans="5:19" x14ac:dyDescent="0.25">
      <c r="E89" s="93" t="s">
        <v>37</v>
      </c>
      <c r="F89" s="93"/>
      <c r="G89" s="93" t="s">
        <v>107</v>
      </c>
      <c r="H89" s="93"/>
      <c r="I89" s="93"/>
      <c r="J89" s="258">
        <f t="shared" si="16"/>
        <v>0</v>
      </c>
      <c r="K89" s="263"/>
      <c r="L89" s="334"/>
      <c r="M89" s="334"/>
      <c r="N89" s="334"/>
      <c r="O89" s="334"/>
      <c r="P89" s="334"/>
      <c r="Q89" s="334"/>
      <c r="R89" s="334"/>
      <c r="S89" s="334"/>
    </row>
    <row r="90" spans="5:19" x14ac:dyDescent="0.25">
      <c r="E90" s="93" t="s">
        <v>38</v>
      </c>
      <c r="F90" s="93"/>
      <c r="G90" s="93" t="s">
        <v>107</v>
      </c>
      <c r="H90" s="93"/>
      <c r="I90" s="93"/>
      <c r="J90" s="264">
        <f t="shared" si="16"/>
        <v>26614446.827823885</v>
      </c>
      <c r="K90" s="263"/>
      <c r="L90" s="268">
        <f t="shared" ref="L90:N90" si="18">SUM(L86:L89)</f>
        <v>21317907.379977398</v>
      </c>
      <c r="M90" s="268">
        <f t="shared" si="18"/>
        <v>24490999.093611103</v>
      </c>
      <c r="N90" s="268">
        <f t="shared" si="18"/>
        <v>26799569.089085199</v>
      </c>
      <c r="O90" s="268">
        <f t="shared" ref="O90:S90" si="19">SUM(O86:O89)</f>
        <v>26614446.827823885</v>
      </c>
      <c r="P90" s="268">
        <f t="shared" si="19"/>
        <v>28203382.111129604</v>
      </c>
      <c r="Q90" s="268">
        <f t="shared" si="19"/>
        <v>28899354.77865757</v>
      </c>
      <c r="R90" s="268">
        <f t="shared" si="19"/>
        <v>29477341.874230739</v>
      </c>
      <c r="S90" s="268">
        <f t="shared" si="19"/>
        <v>30066888.711715374</v>
      </c>
    </row>
    <row r="91" spans="5:19" x14ac:dyDescent="0.25">
      <c r="E91" s="196" t="s">
        <v>39</v>
      </c>
      <c r="F91" s="196"/>
      <c r="G91" s="196" t="s">
        <v>107</v>
      </c>
      <c r="H91" s="196"/>
      <c r="I91" s="196"/>
      <c r="J91" s="267">
        <f t="shared" si="16"/>
        <v>612226791.48677313</v>
      </c>
      <c r="K91" s="262"/>
      <c r="L91" s="302">
        <f t="shared" ref="L91:S91" si="20">L84-L90</f>
        <v>522123400.81082803</v>
      </c>
      <c r="M91" s="302">
        <f t="shared" si="20"/>
        <v>544551266.60785592</v>
      </c>
      <c r="N91" s="302">
        <f t="shared" si="20"/>
        <v>620619891.48634064</v>
      </c>
      <c r="O91" s="302">
        <f t="shared" si="20"/>
        <v>612226791.48677313</v>
      </c>
      <c r="P91" s="302">
        <f t="shared" si="20"/>
        <v>648777945.70281303</v>
      </c>
      <c r="Q91" s="302">
        <f t="shared" si="20"/>
        <v>664787788.62608147</v>
      </c>
      <c r="R91" s="302">
        <f t="shared" si="20"/>
        <v>678083544.39860344</v>
      </c>
      <c r="S91" s="302">
        <f t="shared" si="20"/>
        <v>691645215.28657603</v>
      </c>
    </row>
    <row r="92" spans="5:19" s="195" customFormat="1" x14ac:dyDescent="0.25">
      <c r="E92" s="91" t="s">
        <v>621</v>
      </c>
      <c r="F92" s="91"/>
      <c r="G92" s="91" t="s">
        <v>107</v>
      </c>
      <c r="H92" s="91"/>
      <c r="I92" s="91"/>
      <c r="J92" s="267">
        <f t="shared" ref="J92" si="21">CHOOSE(year_selection, L92,M92,N92,O92,P92,Q92,R92,S92)</f>
        <v>612226791.48677313</v>
      </c>
      <c r="K92" s="266"/>
      <c r="L92" s="303">
        <f t="shared" ref="L92:S92" si="22">L91</f>
        <v>522123400.81082803</v>
      </c>
      <c r="M92" s="303">
        <f t="shared" si="22"/>
        <v>544551266.60785592</v>
      </c>
      <c r="N92" s="303">
        <f t="shared" si="22"/>
        <v>620619891.48634064</v>
      </c>
      <c r="O92" s="303">
        <f t="shared" si="22"/>
        <v>612226791.48677313</v>
      </c>
      <c r="P92" s="303">
        <f t="shared" si="22"/>
        <v>648777945.70281303</v>
      </c>
      <c r="Q92" s="303">
        <f t="shared" si="22"/>
        <v>664787788.62608147</v>
      </c>
      <c r="R92" s="303">
        <f t="shared" si="22"/>
        <v>678083544.39860344</v>
      </c>
      <c r="S92" s="303">
        <f t="shared" si="22"/>
        <v>691645215.28657603</v>
      </c>
    </row>
    <row r="93" spans="5:19" s="195" customFormat="1" x14ac:dyDescent="0.25">
      <c r="E93" s="196"/>
      <c r="F93" s="196"/>
      <c r="G93" s="196"/>
      <c r="H93" s="196"/>
      <c r="I93" s="196"/>
      <c r="J93" s="264"/>
      <c r="K93" s="262"/>
      <c r="L93" s="262"/>
      <c r="M93" s="262"/>
      <c r="N93" s="262"/>
      <c r="O93" s="262"/>
      <c r="P93" s="262"/>
      <c r="Q93" s="262"/>
      <c r="R93" s="262"/>
      <c r="S93" s="262"/>
    </row>
    <row r="94" spans="5:19" s="195" customFormat="1" x14ac:dyDescent="0.25">
      <c r="E94" s="196" t="s">
        <v>617</v>
      </c>
      <c r="F94" s="196"/>
      <c r="G94" s="196" t="s">
        <v>107</v>
      </c>
      <c r="H94" s="196"/>
      <c r="I94" s="196"/>
      <c r="J94" s="264">
        <f>CHOOSE(year_selection, L94,M94,N94,O94,P94,Q94,R94,S94)</f>
        <v>638841238.31459701</v>
      </c>
      <c r="K94" s="262"/>
      <c r="L94" s="333">
        <f>498.79019738*1000000</f>
        <v>498790197.38</v>
      </c>
      <c r="M94" s="333">
        <f>569.613045*1000000</f>
        <v>569613045</v>
      </c>
      <c r="N94" s="333">
        <f>641.444964475813*1000000</f>
        <v>641444964.47581303</v>
      </c>
      <c r="O94" s="333">
        <f>O84</f>
        <v>638841238.31459701</v>
      </c>
      <c r="P94" s="333">
        <f>P84</f>
        <v>676981327.81394267</v>
      </c>
      <c r="Q94" s="333">
        <f>Q84</f>
        <v>693687143.40473902</v>
      </c>
      <c r="R94" s="333">
        <f>R84</f>
        <v>707560886.27283418</v>
      </c>
      <c r="S94" s="333">
        <f>S84</f>
        <v>721712103.99829137</v>
      </c>
    </row>
    <row r="95" spans="5:19" s="195" customFormat="1" x14ac:dyDescent="0.25">
      <c r="E95" s="91" t="s">
        <v>620</v>
      </c>
      <c r="F95" s="91"/>
      <c r="G95" s="91" t="s">
        <v>107</v>
      </c>
      <c r="H95" s="91"/>
      <c r="I95" s="91"/>
      <c r="J95" s="267">
        <f>CHOOSE(year_selection, L95,M95,N95,O95,P95,Q95,R95,S95)</f>
        <v>0</v>
      </c>
      <c r="K95" s="266"/>
      <c r="L95" s="300">
        <f t="shared" ref="L95:S95" si="23">L94 - L83 - L76 + L87</f>
        <v>-44651110.81080544</v>
      </c>
      <c r="M95" s="300">
        <f t="shared" si="23"/>
        <v>570779.2985329628</v>
      </c>
      <c r="N95" s="300">
        <f t="shared" si="23"/>
        <v>-5974496.0996128321</v>
      </c>
      <c r="O95" s="300">
        <f t="shared" si="23"/>
        <v>0</v>
      </c>
      <c r="P95" s="300">
        <f t="shared" si="23"/>
        <v>0</v>
      </c>
      <c r="Q95" s="300">
        <f t="shared" si="23"/>
        <v>0</v>
      </c>
      <c r="R95" s="300">
        <f t="shared" si="23"/>
        <v>0</v>
      </c>
      <c r="S95" s="300">
        <f t="shared" si="23"/>
        <v>0</v>
      </c>
    </row>
    <row r="96" spans="5:19" s="195" customFormat="1" x14ac:dyDescent="0.25">
      <c r="E96" s="91" t="s">
        <v>619</v>
      </c>
      <c r="F96" s="91"/>
      <c r="G96" s="91" t="s">
        <v>94</v>
      </c>
      <c r="H96" s="91"/>
      <c r="I96" s="91"/>
      <c r="J96" s="212">
        <f>CHOOSE(year_selection, L96,M96,N96,O96,P96,Q96,R96,S96)</f>
        <v>-1.3249867795454451E-2</v>
      </c>
      <c r="K96" s="150"/>
      <c r="L96" s="212">
        <f t="shared" ref="L96:S96" si="24">IF( K76 &lt;&gt; 0, L76 / K76 - 1, 0)</f>
        <v>0</v>
      </c>
      <c r="M96" s="212">
        <f t="shared" si="24"/>
        <v>4.7108964896118932E-2</v>
      </c>
      <c r="N96" s="212">
        <f t="shared" si="24"/>
        <v>0.1377352783757495</v>
      </c>
      <c r="O96" s="212">
        <f t="shared" si="24"/>
        <v>-1.3249867795454451E-2</v>
      </c>
      <c r="P96" s="212">
        <f t="shared" si="24"/>
        <v>5.9701984173669675E-2</v>
      </c>
      <c r="Q96" s="212">
        <f t="shared" si="24"/>
        <v>2.4676922249453392E-2</v>
      </c>
      <c r="R96" s="212">
        <f t="shared" si="24"/>
        <v>2.0000000000000462E-2</v>
      </c>
      <c r="S96" s="212">
        <f t="shared" si="24"/>
        <v>2.0000000000000684E-2</v>
      </c>
    </row>
    <row r="97" spans="3:21" s="195" customFormat="1" x14ac:dyDescent="0.25">
      <c r="E97" s="91" t="s">
        <v>618</v>
      </c>
      <c r="F97" s="91"/>
      <c r="G97" s="91" t="s">
        <v>94</v>
      </c>
      <c r="H97" s="91"/>
      <c r="I97" s="91"/>
      <c r="J97" s="212">
        <f>CHOOSE(year_selection, L97,M97,N97,O97,P97,Q97,R97,S97)</f>
        <v>-4.0591575355864995E-3</v>
      </c>
      <c r="K97" s="150"/>
      <c r="L97" s="212">
        <f t="shared" ref="L97:S97" si="25">IF( K94 &lt;&gt; 0, L94 / K94 - 1, 0)</f>
        <v>0</v>
      </c>
      <c r="M97" s="212">
        <f t="shared" si="25"/>
        <v>0.14198925318102051</v>
      </c>
      <c r="N97" s="212">
        <f t="shared" si="25"/>
        <v>0.12610652109593623</v>
      </c>
      <c r="O97" s="212">
        <f t="shared" si="25"/>
        <v>-4.0591575355864995E-3</v>
      </c>
      <c r="P97" s="212">
        <f t="shared" si="25"/>
        <v>5.9701984173669675E-2</v>
      </c>
      <c r="Q97" s="212">
        <f t="shared" si="25"/>
        <v>2.4676922249453392E-2</v>
      </c>
      <c r="R97" s="212">
        <f t="shared" si="25"/>
        <v>2.0000000000000462E-2</v>
      </c>
      <c r="S97" s="212">
        <f t="shared" si="25"/>
        <v>2.0000000000000684E-2</v>
      </c>
    </row>
    <row r="98" spans="3:21" x14ac:dyDescent="0.25">
      <c r="E98" s="195"/>
      <c r="F98" s="195"/>
      <c r="J98" s="152"/>
      <c r="K98" s="195"/>
      <c r="L98" s="293"/>
      <c r="M98" s="293"/>
      <c r="N98" s="293"/>
      <c r="O98" s="195"/>
      <c r="P98" s="293"/>
      <c r="Q98" s="293"/>
      <c r="R98" s="293"/>
      <c r="S98" s="293"/>
    </row>
    <row r="99" spans="3:21" s="195" customFormat="1" x14ac:dyDescent="0.25">
      <c r="C99" s="7" t="str">
        <f ca="1">INDEX('Version control'!$H$35:$H$61,MATCH($A$1,'Version control'!$F$35:$F$61,0),1)&amp;"-D: Financial and general assumptions"</f>
        <v>Input 503-D: Financial and general assumptions</v>
      </c>
      <c r="D99" s="7"/>
      <c r="E99" s="7"/>
      <c r="F99" s="7"/>
      <c r="G99" s="172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</row>
    <row r="100" spans="3:21" s="195" customFormat="1" x14ac:dyDescent="0.25">
      <c r="G100" s="108"/>
      <c r="L100" s="293"/>
      <c r="M100" s="293"/>
      <c r="N100" s="293"/>
      <c r="P100" s="293"/>
      <c r="Q100" s="293"/>
      <c r="R100" s="293"/>
      <c r="S100" s="293"/>
    </row>
    <row r="101" spans="3:21" x14ac:dyDescent="0.25">
      <c r="E101" s="76" t="s">
        <v>315</v>
      </c>
      <c r="G101" s="196" t="s">
        <v>94</v>
      </c>
      <c r="H101" s="196"/>
      <c r="I101" s="196" t="s">
        <v>359</v>
      </c>
      <c r="J101" s="301">
        <f>CHOOSE(year_selection, L101,M101,N101,O101,P101,Q101,R101,S101)</f>
        <v>3.7400000000000003E-2</v>
      </c>
      <c r="K101" s="196"/>
      <c r="L101" s="335">
        <v>3.7900000000000003E-2</v>
      </c>
      <c r="M101" s="335">
        <v>3.6900000000000002E-2</v>
      </c>
      <c r="N101" s="335">
        <v>3.6499999999999998E-2</v>
      </c>
      <c r="O101" s="335">
        <v>3.7400000000000003E-2</v>
      </c>
      <c r="P101" s="335">
        <v>3.7400000000000003E-2</v>
      </c>
      <c r="Q101" s="335">
        <v>3.7400000000000003E-2</v>
      </c>
      <c r="R101" s="335">
        <v>3.7400000000000003E-2</v>
      </c>
      <c r="S101" s="335">
        <v>3.7400000000000003E-2</v>
      </c>
      <c r="U101" s="85" t="s">
        <v>696</v>
      </c>
    </row>
    <row r="102" spans="3:21" x14ac:dyDescent="0.25">
      <c r="E102" s="76" t="s">
        <v>41</v>
      </c>
      <c r="G102" s="76" t="s">
        <v>504</v>
      </c>
      <c r="H102" s="76"/>
      <c r="I102" s="76"/>
      <c r="J102" s="153">
        <f>CHOOSE(year_selection, L102,M102,N102,O102,P102,Q102,R102,S102)</f>
        <v>366</v>
      </c>
      <c r="K102" s="76"/>
      <c r="L102" s="315">
        <v>365</v>
      </c>
      <c r="M102" s="315">
        <v>365</v>
      </c>
      <c r="N102" s="315">
        <v>365</v>
      </c>
      <c r="O102" s="315">
        <v>366</v>
      </c>
      <c r="P102" s="315">
        <v>365</v>
      </c>
      <c r="Q102" s="315">
        <v>365</v>
      </c>
      <c r="R102" s="315">
        <v>365</v>
      </c>
      <c r="S102" s="315">
        <v>366</v>
      </c>
    </row>
    <row r="103" spans="3:21" x14ac:dyDescent="0.25">
      <c r="E103" s="195"/>
      <c r="F103" s="195"/>
      <c r="J103" s="152"/>
      <c r="K103" s="195"/>
      <c r="L103" s="293"/>
      <c r="M103" s="293"/>
      <c r="N103" s="293"/>
      <c r="O103" s="195"/>
      <c r="P103" s="293"/>
      <c r="Q103" s="293"/>
      <c r="R103" s="293"/>
      <c r="S103" s="293"/>
    </row>
    <row r="104" spans="3:21" s="195" customFormat="1" x14ac:dyDescent="0.25">
      <c r="C104" s="7" t="str">
        <f ca="1">INDEX('Version control'!$H$35:$H$61,MATCH($A$1,'Version control'!$F$35:$F$61,0),1)&amp;"-E: Transmission exit charges"</f>
        <v>Input 503-E: Transmission exit charges</v>
      </c>
      <c r="D104" s="7"/>
      <c r="E104" s="7"/>
      <c r="F104" s="7"/>
      <c r="G104" s="172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</row>
    <row r="105" spans="3:21" s="195" customFormat="1" x14ac:dyDescent="0.25">
      <c r="G105" s="108"/>
      <c r="L105" s="293"/>
      <c r="M105" s="293"/>
      <c r="N105" s="293"/>
      <c r="P105" s="293"/>
      <c r="Q105" s="293"/>
      <c r="R105" s="293"/>
      <c r="S105" s="293"/>
    </row>
    <row r="106" spans="3:21" x14ac:dyDescent="0.25">
      <c r="E106" s="76" t="s">
        <v>117</v>
      </c>
      <c r="G106" s="92" t="s">
        <v>505</v>
      </c>
      <c r="H106" s="92"/>
      <c r="I106" s="85" t="s">
        <v>359</v>
      </c>
      <c r="J106" s="256">
        <f>CHOOSE(year_selection, L106,M106,N106,O106,P106,Q106,R106,S106)</f>
        <v>13771912.358777869</v>
      </c>
      <c r="K106" s="262"/>
      <c r="L106" s="333">
        <v>16472107.115543775</v>
      </c>
      <c r="M106" s="333">
        <v>18806349.273689281</v>
      </c>
      <c r="N106" s="333">
        <v>20765794.428490959</v>
      </c>
      <c r="O106" s="333">
        <v>13771912.358777869</v>
      </c>
      <c r="P106" s="333">
        <v>13771912.358777869</v>
      </c>
      <c r="Q106" s="333">
        <v>13771912.358777869</v>
      </c>
      <c r="R106" s="333">
        <v>13771912.358777869</v>
      </c>
      <c r="S106" s="333">
        <v>13771912.358777869</v>
      </c>
      <c r="U106" s="85" t="s">
        <v>697</v>
      </c>
    </row>
    <row r="107" spans="3:21" x14ac:dyDescent="0.25">
      <c r="E107" s="195"/>
      <c r="F107" s="195"/>
      <c r="J107" s="256"/>
      <c r="K107" s="252"/>
      <c r="L107" s="252"/>
      <c r="M107" s="252"/>
      <c r="N107" s="252"/>
      <c r="O107" s="252"/>
      <c r="P107" s="252"/>
      <c r="Q107" s="252"/>
      <c r="R107" s="252"/>
      <c r="S107" s="252"/>
    </row>
    <row r="108" spans="3:21" s="195" customFormat="1" x14ac:dyDescent="0.25">
      <c r="C108" s="7" t="str">
        <f ca="1">INDEX('Version control'!$H$35:$H$61,MATCH($A$1,'Version control'!$F$35:$F$61,0),1)&amp;"-F: Other expenditure"</f>
        <v>Input 503-F: Other expenditure</v>
      </c>
      <c r="D108" s="7"/>
      <c r="E108" s="7"/>
      <c r="F108" s="7"/>
      <c r="G108" s="172"/>
      <c r="H108" s="7"/>
      <c r="I108" s="7"/>
      <c r="J108" s="242"/>
      <c r="K108" s="242"/>
      <c r="L108" s="242"/>
      <c r="M108" s="242"/>
      <c r="N108" s="242"/>
      <c r="O108" s="242"/>
      <c r="P108" s="242"/>
      <c r="Q108" s="242"/>
      <c r="R108" s="242"/>
      <c r="S108" s="242"/>
      <c r="T108" s="7"/>
      <c r="U108" s="7"/>
    </row>
    <row r="109" spans="3:21" s="195" customFormat="1" x14ac:dyDescent="0.25">
      <c r="G109" s="108"/>
      <c r="J109" s="252"/>
      <c r="K109" s="252"/>
      <c r="L109" s="252"/>
      <c r="M109" s="252"/>
      <c r="N109" s="252"/>
      <c r="O109" s="252"/>
      <c r="P109" s="252"/>
      <c r="Q109" s="252"/>
      <c r="R109" s="252"/>
      <c r="S109" s="252"/>
    </row>
    <row r="110" spans="3:21" x14ac:dyDescent="0.25">
      <c r="D110" s="96"/>
      <c r="E110" s="96" t="s">
        <v>79</v>
      </c>
      <c r="F110" s="96"/>
      <c r="I110" s="85" t="s">
        <v>359</v>
      </c>
      <c r="J110" s="256"/>
      <c r="K110" s="252"/>
      <c r="L110" s="252"/>
      <c r="M110" s="252"/>
      <c r="N110" s="252"/>
      <c r="O110" s="252"/>
      <c r="P110" s="252"/>
      <c r="Q110" s="252"/>
      <c r="R110" s="252"/>
      <c r="S110" s="252"/>
      <c r="U110" s="85" t="s">
        <v>698</v>
      </c>
    </row>
    <row r="111" spans="3:21" x14ac:dyDescent="0.25">
      <c r="E111" s="195"/>
      <c r="F111" s="16" t="s">
        <v>128</v>
      </c>
      <c r="G111" s="91" t="s">
        <v>505</v>
      </c>
      <c r="H111" s="91"/>
      <c r="I111" s="91"/>
      <c r="J111" s="254">
        <f>CHOOSE(year_selection, L111,M111,N111,O111,P111,Q111,R111,S111)</f>
        <v>96623088.80325973</v>
      </c>
      <c r="K111" s="266"/>
      <c r="L111" s="332">
        <v>58771679.058511339</v>
      </c>
      <c r="M111" s="332">
        <v>72394238.816366971</v>
      </c>
      <c r="N111" s="332">
        <v>70476926.24577722</v>
      </c>
      <c r="O111" s="332">
        <v>96623088.80325973</v>
      </c>
      <c r="P111" s="332">
        <v>96623088.80325973</v>
      </c>
      <c r="Q111" s="332">
        <v>96623088.80325973</v>
      </c>
      <c r="R111" s="332">
        <v>96623088.80325973</v>
      </c>
      <c r="S111" s="332">
        <v>96623088.80325973</v>
      </c>
    </row>
    <row r="112" spans="3:21" x14ac:dyDescent="0.25">
      <c r="E112" s="195"/>
      <c r="F112" s="76" t="s">
        <v>129</v>
      </c>
      <c r="G112" s="92" t="s">
        <v>505</v>
      </c>
      <c r="H112" s="92"/>
      <c r="I112" s="92"/>
      <c r="J112" s="256">
        <f>CHOOSE(year_selection, L112,M112,N112,O112,P112,Q112,R112,S112)</f>
        <v>165654132.61041</v>
      </c>
      <c r="K112" s="262"/>
      <c r="L112" s="333">
        <v>116853936.84700131</v>
      </c>
      <c r="M112" s="333">
        <v>116357547.27985439</v>
      </c>
      <c r="N112" s="333">
        <v>120040266.30167775</v>
      </c>
      <c r="O112" s="333">
        <v>165654132.61041</v>
      </c>
      <c r="P112" s="333">
        <v>165654132.61041</v>
      </c>
      <c r="Q112" s="333">
        <v>165654132.61041</v>
      </c>
      <c r="R112" s="333">
        <v>165654132.61041</v>
      </c>
      <c r="S112" s="333">
        <v>165654132.61041</v>
      </c>
    </row>
    <row r="113" spans="2:22" x14ac:dyDescent="0.25">
      <c r="E113" s="195"/>
      <c r="F113" s="15" t="s">
        <v>130</v>
      </c>
      <c r="G113" s="93" t="s">
        <v>505</v>
      </c>
      <c r="H113" s="93"/>
      <c r="I113" s="93"/>
      <c r="J113" s="258">
        <f>CHOOSE(year_selection, L113,M113,N113,O113,P113,Q113,R113,S113)</f>
        <v>45337571.603443354</v>
      </c>
      <c r="K113" s="263"/>
      <c r="L113" s="334">
        <v>41998950.399999999</v>
      </c>
      <c r="M113" s="334">
        <v>43342957.588480003</v>
      </c>
      <c r="N113" s="334">
        <v>43137206.45387999</v>
      </c>
      <c r="O113" s="334">
        <v>45337571.603443354</v>
      </c>
      <c r="P113" s="334">
        <v>45337571.603443354</v>
      </c>
      <c r="Q113" s="334">
        <v>45337571.603443354</v>
      </c>
      <c r="R113" s="334">
        <v>45337571.603443354</v>
      </c>
      <c r="S113" s="334">
        <v>45337571.603443354</v>
      </c>
    </row>
    <row r="114" spans="2:22" x14ac:dyDescent="0.25">
      <c r="E114" s="195"/>
      <c r="F114" s="195"/>
      <c r="H114" s="130"/>
      <c r="J114" s="153"/>
    </row>
    <row r="115" spans="2:22" x14ac:dyDescent="0.25">
      <c r="B115" s="95" t="s">
        <v>109</v>
      </c>
      <c r="C115" s="95"/>
      <c r="D115" s="95"/>
      <c r="E115" s="95"/>
      <c r="F115" s="95"/>
      <c r="G115" s="95"/>
      <c r="H115" s="95"/>
      <c r="I115" s="95"/>
      <c r="J115" s="95"/>
      <c r="K115" s="95"/>
      <c r="L115" s="95"/>
      <c r="M115" s="95"/>
      <c r="N115" s="95"/>
      <c r="O115" s="95"/>
      <c r="P115" s="95"/>
      <c r="Q115" s="95"/>
      <c r="R115" s="95"/>
      <c r="S115" s="95"/>
      <c r="T115" s="95"/>
      <c r="U115" s="95"/>
    </row>
    <row r="116" spans="2:22" x14ac:dyDescent="0.25">
      <c r="E116" s="195"/>
      <c r="F116" s="195"/>
    </row>
    <row r="117" spans="2:22" s="293" customFormat="1" x14ac:dyDescent="0.25">
      <c r="C117" s="82" t="s">
        <v>756</v>
      </c>
      <c r="D117" s="96"/>
    </row>
    <row r="118" spans="2:22" s="293" customFormat="1" x14ac:dyDescent="0.25">
      <c r="D118" s="96"/>
      <c r="E118" s="96"/>
    </row>
    <row r="119" spans="2:22" x14ac:dyDescent="0.25">
      <c r="E119" s="195" t="s">
        <v>415</v>
      </c>
      <c r="F119" s="195"/>
      <c r="G119" s="60" t="s">
        <v>588</v>
      </c>
      <c r="H119" s="178">
        <f t="array" ref="H119">SUM(IF(ISERROR(H15:S114), 1))</f>
        <v>0</v>
      </c>
    </row>
    <row r="120" spans="2:22" x14ac:dyDescent="0.25">
      <c r="E120" s="195"/>
      <c r="F120" s="195"/>
    </row>
    <row r="121" spans="2:22" x14ac:dyDescent="0.25">
      <c r="E121" s="96" t="s">
        <v>783</v>
      </c>
      <c r="F121" s="195"/>
    </row>
    <row r="122" spans="2:22" x14ac:dyDescent="0.25">
      <c r="E122" s="195"/>
      <c r="F122" s="91" t="s">
        <v>440</v>
      </c>
      <c r="G122" s="58" t="s">
        <v>588</v>
      </c>
      <c r="H122" s="177">
        <f>SUM(L122:S122)</f>
        <v>0</v>
      </c>
      <c r="I122" s="91"/>
      <c r="J122" s="91"/>
      <c r="K122" s="91"/>
      <c r="L122" s="106"/>
      <c r="M122" s="177">
        <f t="shared" ref="M122:S122" si="26">IF(SUM(M19:M21) = M$102 * hours_in_day, 0, 1)</f>
        <v>0</v>
      </c>
      <c r="N122" s="177">
        <f t="shared" si="26"/>
        <v>0</v>
      </c>
      <c r="O122" s="177">
        <f t="shared" si="26"/>
        <v>0</v>
      </c>
      <c r="P122" s="177">
        <f t="shared" si="26"/>
        <v>0</v>
      </c>
      <c r="Q122" s="177">
        <f t="shared" si="26"/>
        <v>0</v>
      </c>
      <c r="R122" s="177">
        <f t="shared" si="26"/>
        <v>0</v>
      </c>
      <c r="S122" s="177">
        <f t="shared" si="26"/>
        <v>0</v>
      </c>
    </row>
    <row r="123" spans="2:22" x14ac:dyDescent="0.25">
      <c r="E123" s="195"/>
      <c r="F123" s="93" t="s">
        <v>441</v>
      </c>
      <c r="G123" s="61" t="s">
        <v>588</v>
      </c>
      <c r="H123" s="179">
        <f>SUM(L123:S123)</f>
        <v>0</v>
      </c>
      <c r="I123" s="93"/>
      <c r="J123" s="93"/>
      <c r="K123" s="93"/>
      <c r="L123" s="102"/>
      <c r="M123" s="179">
        <f t="shared" ref="M123:S123" si="27">IF(SUM(M24:M26) = M$102 * hours_in_day, 0, 1)</f>
        <v>0</v>
      </c>
      <c r="N123" s="179">
        <f t="shared" si="27"/>
        <v>0</v>
      </c>
      <c r="O123" s="179">
        <f t="shared" si="27"/>
        <v>0</v>
      </c>
      <c r="P123" s="179">
        <f t="shared" si="27"/>
        <v>0</v>
      </c>
      <c r="Q123" s="179">
        <f t="shared" si="27"/>
        <v>0</v>
      </c>
      <c r="R123" s="179">
        <f t="shared" si="27"/>
        <v>0</v>
      </c>
      <c r="S123" s="179">
        <f t="shared" si="27"/>
        <v>0</v>
      </c>
    </row>
    <row r="125" spans="2:22" x14ac:dyDescent="0.25">
      <c r="E125" s="195" t="s">
        <v>374</v>
      </c>
      <c r="F125" s="195"/>
      <c r="G125" s="60" t="s">
        <v>588</v>
      </c>
      <c r="H125" s="310">
        <f>SUM(H119, H122:H123)</f>
        <v>0</v>
      </c>
    </row>
    <row r="126" spans="2:22" x14ac:dyDescent="0.25">
      <c r="E126" s="195"/>
      <c r="F126" s="195"/>
    </row>
    <row r="127" spans="2:22" x14ac:dyDescent="0.25">
      <c r="B127" s="95" t="s">
        <v>110</v>
      </c>
      <c r="C127" s="95"/>
      <c r="D127" s="95"/>
      <c r="E127" s="95"/>
      <c r="F127" s="95"/>
      <c r="G127" s="95"/>
      <c r="H127" s="95"/>
      <c r="I127" s="95"/>
      <c r="J127" s="95"/>
      <c r="K127" s="95"/>
      <c r="L127" s="95"/>
      <c r="M127" s="95"/>
      <c r="N127" s="95"/>
      <c r="O127" s="95"/>
      <c r="P127" s="95"/>
      <c r="Q127" s="95"/>
      <c r="R127" s="95"/>
      <c r="S127" s="95"/>
      <c r="T127" s="95"/>
      <c r="U127" s="95"/>
      <c r="V127" s="310"/>
    </row>
  </sheetData>
  <sheetProtection sheet="1" objects="1" formatCells="0" formatColumns="0" formatRows="0" sort="0" autoFilter="0"/>
  <conditionalFormatting sqref="H119">
    <cfRule type="cellIs" dxfId="232" priority="7" operator="greaterThan">
      <formula>0</formula>
    </cfRule>
  </conditionalFormatting>
  <conditionalFormatting sqref="H122:H123">
    <cfRule type="cellIs" dxfId="231" priority="6" operator="greaterThan">
      <formula>0</formula>
    </cfRule>
  </conditionalFormatting>
  <conditionalFormatting sqref="L122:S123">
    <cfRule type="cellIs" dxfId="230" priority="5" operator="greaterThan">
      <formula>0</formula>
    </cfRule>
  </conditionalFormatting>
  <conditionalFormatting sqref="A4:XFD4">
    <cfRule type="expression" dxfId="229" priority="3">
      <formula>LEFT($A$4,1) &lt;&gt; "0"</formula>
    </cfRule>
  </conditionalFormatting>
  <conditionalFormatting sqref="V127">
    <cfRule type="cellIs" dxfId="228" priority="2" operator="greaterThan">
      <formula>0</formula>
    </cfRule>
  </conditionalFormatting>
  <conditionalFormatting sqref="H125">
    <cfRule type="cellIs" dxfId="227" priority="1" operator="greaterThan">
      <formula>0</formula>
    </cfRule>
  </conditionalFormatting>
  <hyperlinks>
    <hyperlink ref="B6:E6" location="'Model map'!A1" display="Click here to return to model map" xr:uid="{00000000-0004-0000-0C00-000000000000}"/>
  </hyperlinks>
  <pageMargins left="0.7" right="0.7" top="0.75" bottom="0.75" header="0.3" footer="0.3"/>
  <pageSetup paperSize="9" fitToHeight="0" orientation="portrait" r:id="rId1"/>
  <headerFooter>
    <oddHeader>&amp;L&amp;A&amp;C&amp;R&amp;P of &amp;N</oddHeader>
    <oddFooter>&amp;F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3DF36F-8939-4CBD-8F60-9CEC2BCA511D}">
  <sheetPr codeName="Sheet25">
    <tabColor theme="5" tint="0.59999389629810485"/>
  </sheetPr>
  <dimension ref="A1:AR199"/>
  <sheetViews>
    <sheetView showGridLines="0" zoomScale="80" zoomScaleNormal="80" workbookViewId="0">
      <pane xSplit="9" ySplit="5" topLeftCell="J6" activePane="bottomRight" state="frozen"/>
      <selection pane="topRight"/>
      <selection pane="bottomLeft"/>
      <selection pane="bottomRight"/>
    </sheetView>
  </sheetViews>
  <sheetFormatPr defaultColWidth="0" defaultRowHeight="15" x14ac:dyDescent="0.25"/>
  <cols>
    <col min="1" max="5" width="2.5703125" style="293" customWidth="1"/>
    <col min="6" max="6" width="59.5703125" style="293" customWidth="1"/>
    <col min="7" max="8" width="20.5703125" style="293" customWidth="1"/>
    <col min="9" max="9" width="2.42578125" style="293" customWidth="1"/>
    <col min="10" max="41" width="17" style="293" customWidth="1"/>
    <col min="42" max="42" width="2.42578125" style="293" customWidth="1"/>
    <col min="43" max="43" width="50.5703125" style="293" customWidth="1"/>
    <col min="44" max="44" width="2.42578125" style="293" customWidth="1"/>
    <col min="45" max="16384" width="9.42578125" style="293" hidden="1"/>
  </cols>
  <sheetData>
    <row r="1" spans="1:43" s="10" customFormat="1" x14ac:dyDescent="0.25">
      <c r="A1" s="10" t="str">
        <f ca="1">MID(CELL("filename",A1),FIND("]",CELL("filename",A1))+1,255)</f>
        <v>Fixed inputs</v>
      </c>
    </row>
    <row r="2" spans="1:43" s="10" customFormat="1" x14ac:dyDescent="0.25">
      <c r="A2" s="10" t="str">
        <f>Cover!D21&amp;" - "&amp;Cover!D23</f>
        <v>Southern Electric Power Distribution plc - Final</v>
      </c>
    </row>
    <row r="3" spans="1:43" s="46" customFormat="1" x14ac:dyDescent="0.25">
      <c r="A3" s="46" t="str">
        <f>Cover!D2&amp;" - "&amp;Cover!D8&amp;" v"&amp;Cover!D10&amp;" - "&amp;Cover!D19</f>
        <v>ARP model - Release for charge setting v7 - 2023/24</v>
      </c>
    </row>
    <row r="4" spans="1:43" x14ac:dyDescent="0.25">
      <c r="A4" s="366" t="str">
        <f>H197 &amp; IF(H197 = 1, " issue", " issues") &amp;" identified in checks on this sheet"</f>
        <v>0 issues identified in checks on this sheet</v>
      </c>
      <c r="B4" s="108"/>
      <c r="C4" s="108"/>
      <c r="D4" s="108"/>
      <c r="E4" s="108"/>
      <c r="F4" s="108"/>
      <c r="G4" s="108"/>
      <c r="H4" s="111"/>
      <c r="I4" s="111"/>
    </row>
    <row r="5" spans="1:43" ht="60" x14ac:dyDescent="0.25">
      <c r="B5" s="367" t="s">
        <v>451</v>
      </c>
      <c r="C5" s="368"/>
      <c r="D5" s="368"/>
      <c r="E5" s="368"/>
      <c r="F5" s="368"/>
      <c r="G5" s="1" t="s">
        <v>91</v>
      </c>
      <c r="H5" s="2" t="s">
        <v>92</v>
      </c>
      <c r="I5" s="111"/>
      <c r="J5" s="2" t="s">
        <v>926</v>
      </c>
      <c r="K5" s="2" t="s">
        <v>927</v>
      </c>
      <c r="L5" s="2" t="s">
        <v>928</v>
      </c>
      <c r="M5" s="2" t="s">
        <v>929</v>
      </c>
      <c r="N5" s="2" t="s">
        <v>930</v>
      </c>
      <c r="O5" s="2" t="s">
        <v>931</v>
      </c>
      <c r="P5" s="2" t="s">
        <v>932</v>
      </c>
      <c r="Q5" s="2" t="s">
        <v>933</v>
      </c>
      <c r="R5" s="2" t="s">
        <v>934</v>
      </c>
      <c r="S5" s="2" t="s">
        <v>935</v>
      </c>
      <c r="T5" s="2" t="s">
        <v>936</v>
      </c>
      <c r="U5" s="2" t="s">
        <v>937</v>
      </c>
      <c r="V5" s="2" t="s">
        <v>938</v>
      </c>
      <c r="W5" s="2" t="s">
        <v>939</v>
      </c>
      <c r="X5" s="2" t="s">
        <v>940</v>
      </c>
      <c r="Y5" s="2" t="s">
        <v>941</v>
      </c>
      <c r="AQ5" s="1" t="s">
        <v>93</v>
      </c>
    </row>
    <row r="7" spans="1:43" x14ac:dyDescent="0.25">
      <c r="B7" s="95" t="s">
        <v>90</v>
      </c>
      <c r="C7" s="95"/>
      <c r="D7" s="95"/>
      <c r="E7" s="95"/>
      <c r="F7" s="95"/>
      <c r="G7" s="95"/>
      <c r="H7" s="95"/>
      <c r="I7" s="95"/>
      <c r="J7" s="95"/>
      <c r="K7" s="95"/>
      <c r="L7" s="95"/>
      <c r="M7" s="95"/>
      <c r="N7" s="95"/>
      <c r="O7" s="95"/>
      <c r="P7" s="95"/>
      <c r="Q7" s="95"/>
      <c r="R7" s="95"/>
      <c r="S7" s="95"/>
      <c r="T7" s="95"/>
      <c r="U7" s="95"/>
      <c r="V7" s="95"/>
      <c r="W7" s="95"/>
      <c r="X7" s="95"/>
      <c r="Y7" s="95"/>
      <c r="Z7" s="95"/>
      <c r="AA7" s="95"/>
      <c r="AB7" s="95"/>
      <c r="AC7" s="95"/>
      <c r="AD7" s="95"/>
      <c r="AE7" s="95"/>
      <c r="AF7" s="95"/>
      <c r="AG7" s="95"/>
      <c r="AH7" s="95"/>
      <c r="AI7" s="95"/>
      <c r="AJ7" s="95"/>
      <c r="AK7" s="95"/>
      <c r="AL7" s="95"/>
      <c r="AM7" s="95"/>
      <c r="AN7" s="95"/>
      <c r="AO7" s="95"/>
      <c r="AP7" s="95"/>
      <c r="AQ7" s="95"/>
    </row>
    <row r="9" spans="1:43" x14ac:dyDescent="0.25">
      <c r="C9" s="82" t="s">
        <v>211</v>
      </c>
    </row>
    <row r="11" spans="1:43" x14ac:dyDescent="0.25">
      <c r="B11" s="95" t="s">
        <v>428</v>
      </c>
      <c r="C11" s="95"/>
      <c r="D11" s="95"/>
      <c r="E11" s="95"/>
      <c r="F11" s="95"/>
      <c r="G11" s="95"/>
      <c r="H11" s="95"/>
      <c r="I11" s="95"/>
      <c r="J11" s="95"/>
      <c r="K11" s="95"/>
      <c r="L11" s="95"/>
      <c r="M11" s="95"/>
      <c r="N11" s="95"/>
      <c r="O11" s="95"/>
      <c r="P11" s="95"/>
      <c r="Q11" s="95"/>
      <c r="R11" s="95"/>
      <c r="S11" s="95"/>
      <c r="T11" s="95"/>
      <c r="U11" s="95"/>
      <c r="V11" s="95"/>
      <c r="W11" s="95"/>
      <c r="X11" s="95"/>
      <c r="Y11" s="95"/>
      <c r="Z11" s="95"/>
      <c r="AA11" s="95"/>
      <c r="AB11" s="95"/>
      <c r="AC11" s="95"/>
      <c r="AD11" s="95"/>
      <c r="AE11" s="95"/>
      <c r="AF11" s="95"/>
      <c r="AG11" s="95"/>
      <c r="AH11" s="95"/>
      <c r="AI11" s="95"/>
      <c r="AJ11" s="95"/>
      <c r="AK11" s="95"/>
      <c r="AL11" s="95"/>
      <c r="AM11" s="95"/>
      <c r="AN11" s="95"/>
      <c r="AO11" s="95"/>
      <c r="AP11" s="95"/>
      <c r="AQ11" s="95"/>
    </row>
    <row r="13" spans="1:43" x14ac:dyDescent="0.25">
      <c r="C13" s="7" t="str">
        <f ca="1">INDEX('Version control'!$H$35:$H$61,MATCH($A$1,'Version control'!$F$35:$F$61,0),1)&amp;"-A: Conversions and time"</f>
        <v>Input 504-A: Conversions and time</v>
      </c>
      <c r="D13" s="7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</row>
    <row r="15" spans="1:43" x14ac:dyDescent="0.25">
      <c r="E15" s="14" t="s">
        <v>133</v>
      </c>
      <c r="G15" s="293" t="s">
        <v>210</v>
      </c>
      <c r="H15" s="339">
        <v>24</v>
      </c>
    </row>
    <row r="16" spans="1:43" x14ac:dyDescent="0.25">
      <c r="E16" s="14" t="s">
        <v>281</v>
      </c>
      <c r="G16" s="293" t="s">
        <v>426</v>
      </c>
      <c r="H16" s="339">
        <v>10</v>
      </c>
    </row>
    <row r="17" spans="3:43" x14ac:dyDescent="0.25">
      <c r="E17" s="14" t="s">
        <v>137</v>
      </c>
      <c r="G17" s="293" t="s">
        <v>426</v>
      </c>
      <c r="H17" s="339">
        <v>100</v>
      </c>
    </row>
    <row r="18" spans="3:43" x14ac:dyDescent="0.25">
      <c r="E18" s="14" t="s">
        <v>138</v>
      </c>
      <c r="G18" s="293" t="s">
        <v>426</v>
      </c>
      <c r="H18" s="339">
        <v>1000</v>
      </c>
    </row>
    <row r="20" spans="3:43" x14ac:dyDescent="0.25">
      <c r="C20" s="7" t="str">
        <f ca="1">INDEX('Version control'!$H$35:$H$61,MATCH($A$1,'Version control'!$F$35:$F$61,0),1)&amp;"-B: Input 101-B: Rounding"</f>
        <v>Input 504-B: Input 101-B: Rounding</v>
      </c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</row>
    <row r="22" spans="3:43" x14ac:dyDescent="0.25">
      <c r="D22" s="82" t="s">
        <v>700</v>
      </c>
    </row>
    <row r="23" spans="3:43" x14ac:dyDescent="0.25">
      <c r="E23" s="96"/>
    </row>
    <row r="24" spans="3:43" x14ac:dyDescent="0.25">
      <c r="E24" s="96" t="s">
        <v>259</v>
      </c>
      <c r="F24" s="82"/>
      <c r="I24" s="293" t="s">
        <v>359</v>
      </c>
      <c r="AQ24" s="293" t="s">
        <v>699</v>
      </c>
    </row>
    <row r="25" spans="3:43" x14ac:dyDescent="0.25">
      <c r="F25" s="91" t="s">
        <v>134</v>
      </c>
      <c r="G25" s="91" t="s">
        <v>426</v>
      </c>
      <c r="H25" s="336">
        <v>3</v>
      </c>
    </row>
    <row r="26" spans="3:43" x14ac:dyDescent="0.25">
      <c r="F26" s="293" t="s">
        <v>135</v>
      </c>
      <c r="G26" s="293" t="s">
        <v>426</v>
      </c>
      <c r="H26" s="339">
        <v>3</v>
      </c>
    </row>
    <row r="27" spans="3:43" x14ac:dyDescent="0.25">
      <c r="F27" s="293" t="s">
        <v>136</v>
      </c>
      <c r="G27" s="293" t="s">
        <v>426</v>
      </c>
      <c r="H27" s="339">
        <v>3</v>
      </c>
    </row>
    <row r="28" spans="3:43" x14ac:dyDescent="0.25">
      <c r="F28" s="293" t="s">
        <v>254</v>
      </c>
      <c r="G28" s="293" t="s">
        <v>426</v>
      </c>
      <c r="H28" s="339">
        <v>2</v>
      </c>
    </row>
    <row r="29" spans="3:43" x14ac:dyDescent="0.25">
      <c r="F29" s="293" t="s">
        <v>255</v>
      </c>
      <c r="G29" s="293" t="s">
        <v>426</v>
      </c>
      <c r="H29" s="339">
        <v>2</v>
      </c>
    </row>
    <row r="30" spans="3:43" x14ac:dyDescent="0.25">
      <c r="F30" s="293" t="s">
        <v>256</v>
      </c>
      <c r="G30" s="293" t="s">
        <v>426</v>
      </c>
      <c r="H30" s="339">
        <v>2</v>
      </c>
    </row>
    <row r="31" spans="3:43" x14ac:dyDescent="0.25">
      <c r="F31" s="93" t="s">
        <v>257</v>
      </c>
      <c r="G31" s="93" t="s">
        <v>426</v>
      </c>
      <c r="H31" s="337">
        <v>3</v>
      </c>
    </row>
    <row r="33" spans="3:43" x14ac:dyDescent="0.25">
      <c r="C33" s="7" t="str">
        <f ca="1">INDEX('Version control'!$H$35:$H$61,MATCH($A$1,'Version control'!$F$35:$F$61,0),1)&amp;"-C: Financial and general assumptions"</f>
        <v>Input 504-C: Financial and general assumptions</v>
      </c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</row>
    <row r="35" spans="3:43" x14ac:dyDescent="0.25">
      <c r="E35" s="14" t="s">
        <v>95</v>
      </c>
      <c r="G35" s="293" t="s">
        <v>96</v>
      </c>
      <c r="H35" s="339">
        <v>40</v>
      </c>
      <c r="I35" s="293" t="s">
        <v>359</v>
      </c>
      <c r="AQ35" s="88" t="s">
        <v>696</v>
      </c>
    </row>
    <row r="37" spans="3:43" x14ac:dyDescent="0.25">
      <c r="E37" s="14" t="s">
        <v>40</v>
      </c>
      <c r="G37" s="293" t="s">
        <v>94</v>
      </c>
      <c r="H37" s="339">
        <v>0.95</v>
      </c>
      <c r="I37" s="293" t="s">
        <v>359</v>
      </c>
      <c r="AQ37" s="293" t="s">
        <v>814</v>
      </c>
    </row>
    <row r="39" spans="3:43" x14ac:dyDescent="0.25">
      <c r="E39" s="14" t="s">
        <v>78</v>
      </c>
      <c r="G39" s="293" t="s">
        <v>94</v>
      </c>
      <c r="H39" s="369">
        <v>0.6</v>
      </c>
      <c r="I39" s="293" t="s">
        <v>359</v>
      </c>
      <c r="AQ39" s="88" t="s">
        <v>698</v>
      </c>
    </row>
    <row r="41" spans="3:43" x14ac:dyDescent="0.25">
      <c r="E41" s="14" t="s">
        <v>101</v>
      </c>
      <c r="G41" s="14" t="s">
        <v>102</v>
      </c>
      <c r="H41" s="339">
        <v>500</v>
      </c>
      <c r="I41" s="293" t="s">
        <v>359</v>
      </c>
      <c r="AQ41" s="90" t="s">
        <v>701</v>
      </c>
    </row>
    <row r="43" spans="3:43" x14ac:dyDescent="0.25">
      <c r="C43" s="7" t="str">
        <f ca="1">INDEX('Version control'!$H$35:$H$61,MATCH($A$1,'Version control'!$F$35:$F$61,0),1)&amp;"-D: Mappings"</f>
        <v>Input 504-D: Mappings</v>
      </c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  <c r="AA43" s="7"/>
      <c r="AB43" s="7"/>
      <c r="AC43" s="7"/>
      <c r="AD43" s="7"/>
      <c r="AE43" s="7"/>
      <c r="AF43" s="7"/>
      <c r="AG43" s="7"/>
      <c r="AH43" s="7"/>
      <c r="AI43" s="7"/>
      <c r="AJ43" s="7"/>
      <c r="AK43" s="7"/>
      <c r="AL43" s="7"/>
      <c r="AM43" s="7"/>
      <c r="AN43" s="7"/>
      <c r="AO43" s="7"/>
      <c r="AP43" s="7"/>
      <c r="AQ43" s="7"/>
    </row>
    <row r="45" spans="3:43" x14ac:dyDescent="0.25">
      <c r="E45" s="96" t="s">
        <v>442</v>
      </c>
    </row>
    <row r="46" spans="3:43" x14ac:dyDescent="0.25">
      <c r="F46" s="16" t="s">
        <v>66</v>
      </c>
      <c r="G46" s="91" t="s">
        <v>132</v>
      </c>
      <c r="H46" s="91"/>
      <c r="I46" s="91"/>
      <c r="J46" s="336">
        <v>1</v>
      </c>
      <c r="K46" s="336">
        <v>1</v>
      </c>
      <c r="L46" s="336">
        <v>1</v>
      </c>
      <c r="M46" s="336">
        <v>1</v>
      </c>
      <c r="N46" s="336">
        <v>1</v>
      </c>
      <c r="O46" s="336">
        <v>0</v>
      </c>
      <c r="P46" s="336">
        <v>0</v>
      </c>
      <c r="Q46" s="336">
        <v>1</v>
      </c>
      <c r="R46" s="106"/>
      <c r="S46" s="106"/>
      <c r="T46" s="106"/>
      <c r="U46" s="106"/>
      <c r="V46" s="106"/>
      <c r="W46" s="106"/>
      <c r="X46" s="106"/>
      <c r="Y46" s="106"/>
    </row>
    <row r="47" spans="3:43" x14ac:dyDescent="0.25">
      <c r="F47" s="14" t="s">
        <v>67</v>
      </c>
      <c r="G47" s="293" t="s">
        <v>132</v>
      </c>
      <c r="J47" s="339">
        <v>1</v>
      </c>
      <c r="K47" s="339">
        <v>1</v>
      </c>
      <c r="L47" s="339">
        <v>1</v>
      </c>
      <c r="M47" s="339">
        <v>1</v>
      </c>
      <c r="N47" s="339">
        <v>1</v>
      </c>
      <c r="O47" s="339">
        <v>0</v>
      </c>
      <c r="P47" s="339">
        <v>0</v>
      </c>
      <c r="Q47" s="339">
        <v>1</v>
      </c>
      <c r="R47" s="79"/>
      <c r="S47" s="79"/>
      <c r="T47" s="79"/>
      <c r="U47" s="79"/>
      <c r="V47" s="79"/>
      <c r="W47" s="79"/>
      <c r="X47" s="79"/>
      <c r="Y47" s="79"/>
    </row>
    <row r="48" spans="3:43" x14ac:dyDescent="0.25">
      <c r="F48" s="14" t="s">
        <v>68</v>
      </c>
      <c r="G48" s="293" t="s">
        <v>132</v>
      </c>
      <c r="J48" s="339">
        <v>0</v>
      </c>
      <c r="K48" s="339">
        <v>0</v>
      </c>
      <c r="L48" s="339">
        <v>0</v>
      </c>
      <c r="M48" s="339">
        <v>0</v>
      </c>
      <c r="N48" s="339">
        <v>0</v>
      </c>
      <c r="O48" s="339">
        <v>1</v>
      </c>
      <c r="P48" s="339">
        <v>0</v>
      </c>
      <c r="Q48" s="339">
        <v>0</v>
      </c>
      <c r="R48" s="79"/>
      <c r="S48" s="79"/>
      <c r="T48" s="79"/>
      <c r="U48" s="79"/>
      <c r="V48" s="79"/>
      <c r="W48" s="79"/>
      <c r="X48" s="79"/>
      <c r="Y48" s="79"/>
    </row>
    <row r="49" spans="5:43" x14ac:dyDescent="0.25">
      <c r="F49" s="15" t="s">
        <v>69</v>
      </c>
      <c r="G49" s="93" t="s">
        <v>132</v>
      </c>
      <c r="H49" s="93"/>
      <c r="I49" s="93"/>
      <c r="J49" s="337">
        <v>0</v>
      </c>
      <c r="K49" s="337">
        <v>0</v>
      </c>
      <c r="L49" s="337">
        <v>0</v>
      </c>
      <c r="M49" s="337">
        <v>0</v>
      </c>
      <c r="N49" s="337">
        <v>0</v>
      </c>
      <c r="O49" s="337">
        <v>0</v>
      </c>
      <c r="P49" s="337">
        <v>1</v>
      </c>
      <c r="Q49" s="337">
        <v>0</v>
      </c>
      <c r="R49" s="102"/>
      <c r="S49" s="102"/>
      <c r="T49" s="102"/>
      <c r="U49" s="102"/>
      <c r="V49" s="102"/>
      <c r="W49" s="102"/>
      <c r="X49" s="102"/>
      <c r="Y49" s="102"/>
    </row>
    <row r="51" spans="5:43" x14ac:dyDescent="0.25">
      <c r="E51" s="96" t="s">
        <v>153</v>
      </c>
      <c r="I51" s="293" t="s">
        <v>359</v>
      </c>
      <c r="AQ51" s="88" t="s">
        <v>702</v>
      </c>
    </row>
    <row r="52" spans="5:43" x14ac:dyDescent="0.25">
      <c r="E52" s="82" t="s">
        <v>191</v>
      </c>
    </row>
    <row r="53" spans="5:43" x14ac:dyDescent="0.25">
      <c r="F53" s="16" t="s">
        <v>83</v>
      </c>
      <c r="G53" s="91" t="s">
        <v>132</v>
      </c>
      <c r="H53" s="94"/>
      <c r="I53" s="94"/>
      <c r="J53" s="336">
        <v>0</v>
      </c>
      <c r="K53" s="336">
        <v>0</v>
      </c>
      <c r="L53" s="336">
        <v>0</v>
      </c>
      <c r="M53" s="336">
        <v>0</v>
      </c>
      <c r="N53" s="336">
        <v>0</v>
      </c>
      <c r="O53" s="336">
        <v>0</v>
      </c>
      <c r="P53" s="336">
        <v>0</v>
      </c>
      <c r="Q53" s="336">
        <v>0</v>
      </c>
      <c r="R53" s="336">
        <v>0</v>
      </c>
      <c r="S53" s="336">
        <v>0</v>
      </c>
      <c r="T53" s="336">
        <v>0</v>
      </c>
      <c r="U53" s="336">
        <v>0</v>
      </c>
      <c r="V53" s="336">
        <v>0</v>
      </c>
      <c r="W53" s="336">
        <v>0</v>
      </c>
      <c r="X53" s="336">
        <v>0</v>
      </c>
      <c r="Y53" s="336">
        <v>0</v>
      </c>
    </row>
    <row r="54" spans="5:43" x14ac:dyDescent="0.25">
      <c r="F54" s="14" t="s">
        <v>82</v>
      </c>
      <c r="G54" s="293" t="s">
        <v>132</v>
      </c>
      <c r="J54" s="339">
        <v>0</v>
      </c>
      <c r="K54" s="339">
        <v>0</v>
      </c>
      <c r="L54" s="339">
        <v>0</v>
      </c>
      <c r="M54" s="339">
        <v>0</v>
      </c>
      <c r="N54" s="339">
        <v>0</v>
      </c>
      <c r="O54" s="339">
        <v>0</v>
      </c>
      <c r="P54" s="339">
        <v>1</v>
      </c>
      <c r="Q54" s="339">
        <v>0</v>
      </c>
      <c r="R54" s="339">
        <v>0</v>
      </c>
      <c r="S54" s="339">
        <v>0</v>
      </c>
      <c r="T54" s="339">
        <v>0</v>
      </c>
      <c r="U54" s="339">
        <v>0</v>
      </c>
      <c r="V54" s="339">
        <v>0</v>
      </c>
      <c r="W54" s="339">
        <v>0</v>
      </c>
      <c r="X54" s="339">
        <v>1</v>
      </c>
      <c r="Y54" s="339">
        <v>1</v>
      </c>
    </row>
    <row r="55" spans="5:43" x14ac:dyDescent="0.25">
      <c r="F55" s="14" t="s">
        <v>81</v>
      </c>
      <c r="G55" s="293" t="s">
        <v>132</v>
      </c>
      <c r="J55" s="339">
        <v>0</v>
      </c>
      <c r="K55" s="339">
        <v>0</v>
      </c>
      <c r="L55" s="339">
        <v>0</v>
      </c>
      <c r="M55" s="339">
        <v>0</v>
      </c>
      <c r="N55" s="339">
        <v>0</v>
      </c>
      <c r="O55" s="339">
        <v>1</v>
      </c>
      <c r="P55" s="339">
        <v>0</v>
      </c>
      <c r="Q55" s="339">
        <v>0</v>
      </c>
      <c r="R55" s="339">
        <v>0</v>
      </c>
      <c r="S55" s="339">
        <v>1</v>
      </c>
      <c r="T55" s="339">
        <v>0</v>
      </c>
      <c r="U55" s="339">
        <v>0</v>
      </c>
      <c r="V55" s="339">
        <v>1</v>
      </c>
      <c r="W55" s="339">
        <v>1</v>
      </c>
      <c r="X55" s="339">
        <v>0</v>
      </c>
      <c r="Y55" s="339">
        <v>0</v>
      </c>
    </row>
    <row r="56" spans="5:43" x14ac:dyDescent="0.25">
      <c r="F56" s="15" t="s">
        <v>80</v>
      </c>
      <c r="G56" s="93" t="s">
        <v>132</v>
      </c>
      <c r="H56" s="93"/>
      <c r="I56" s="93"/>
      <c r="J56" s="337">
        <v>1</v>
      </c>
      <c r="K56" s="337">
        <v>1</v>
      </c>
      <c r="L56" s="337">
        <v>1</v>
      </c>
      <c r="M56" s="337">
        <v>1</v>
      </c>
      <c r="N56" s="337">
        <v>1</v>
      </c>
      <c r="O56" s="337">
        <v>0</v>
      </c>
      <c r="P56" s="337">
        <v>0</v>
      </c>
      <c r="Q56" s="337">
        <v>1</v>
      </c>
      <c r="R56" s="337">
        <v>1</v>
      </c>
      <c r="S56" s="337">
        <v>0</v>
      </c>
      <c r="T56" s="337">
        <v>1</v>
      </c>
      <c r="U56" s="337">
        <v>1</v>
      </c>
      <c r="V56" s="337">
        <v>0</v>
      </c>
      <c r="W56" s="337">
        <v>0</v>
      </c>
      <c r="X56" s="337">
        <v>0</v>
      </c>
      <c r="Y56" s="337">
        <v>0</v>
      </c>
    </row>
    <row r="57" spans="5:43" x14ac:dyDescent="0.25">
      <c r="H57" s="88"/>
      <c r="I57" s="88"/>
    </row>
    <row r="58" spans="5:43" x14ac:dyDescent="0.25">
      <c r="E58" s="96" t="s">
        <v>331</v>
      </c>
    </row>
    <row r="59" spans="5:43" x14ac:dyDescent="0.25">
      <c r="E59" s="82" t="s">
        <v>332</v>
      </c>
    </row>
    <row r="60" spans="5:43" x14ac:dyDescent="0.25">
      <c r="F60" s="91" t="s">
        <v>267</v>
      </c>
      <c r="G60" s="91" t="s">
        <v>141</v>
      </c>
      <c r="H60" s="91"/>
      <c r="I60" s="91"/>
      <c r="J60" s="336">
        <v>1</v>
      </c>
      <c r="K60" s="336">
        <v>1</v>
      </c>
      <c r="L60" s="336">
        <v>1</v>
      </c>
      <c r="M60" s="336">
        <v>1</v>
      </c>
      <c r="N60" s="336">
        <v>1</v>
      </c>
      <c r="O60" s="336">
        <v>1</v>
      </c>
      <c r="P60" s="336">
        <v>1</v>
      </c>
      <c r="Q60" s="336">
        <v>1</v>
      </c>
      <c r="R60" s="336">
        <v>-1</v>
      </c>
      <c r="S60" s="336">
        <v>-1</v>
      </c>
      <c r="T60" s="336">
        <v>-1</v>
      </c>
      <c r="U60" s="336">
        <v>-1</v>
      </c>
      <c r="V60" s="336">
        <v>-1</v>
      </c>
      <c r="W60" s="336">
        <v>-1</v>
      </c>
      <c r="X60" s="336">
        <v>-1</v>
      </c>
      <c r="Y60" s="336">
        <v>-1</v>
      </c>
    </row>
    <row r="61" spans="5:43" x14ac:dyDescent="0.25">
      <c r="F61" s="293" t="s">
        <v>43</v>
      </c>
      <c r="G61" s="293" t="s">
        <v>141</v>
      </c>
      <c r="J61" s="339">
        <v>1</v>
      </c>
      <c r="K61" s="339">
        <v>1</v>
      </c>
      <c r="L61" s="339">
        <v>1</v>
      </c>
      <c r="M61" s="339">
        <v>1</v>
      </c>
      <c r="N61" s="339">
        <v>1</v>
      </c>
      <c r="O61" s="339">
        <v>1</v>
      </c>
      <c r="P61" s="339">
        <v>1</v>
      </c>
      <c r="Q61" s="339">
        <v>1</v>
      </c>
      <c r="R61" s="339">
        <v>-1</v>
      </c>
      <c r="S61" s="339">
        <v>-1</v>
      </c>
      <c r="T61" s="339">
        <v>-1</v>
      </c>
      <c r="U61" s="339">
        <v>-1</v>
      </c>
      <c r="V61" s="339">
        <v>-1</v>
      </c>
      <c r="W61" s="339">
        <v>-1</v>
      </c>
      <c r="X61" s="339">
        <v>-1</v>
      </c>
      <c r="Y61" s="339">
        <v>-1</v>
      </c>
    </row>
    <row r="62" spans="5:43" x14ac:dyDescent="0.25">
      <c r="F62" s="293" t="s">
        <v>44</v>
      </c>
      <c r="G62" s="293" t="s">
        <v>141</v>
      </c>
      <c r="J62" s="339">
        <v>1</v>
      </c>
      <c r="K62" s="339">
        <v>1</v>
      </c>
      <c r="L62" s="339">
        <v>1</v>
      </c>
      <c r="M62" s="339">
        <v>1</v>
      </c>
      <c r="N62" s="339">
        <v>1</v>
      </c>
      <c r="O62" s="339">
        <v>1</v>
      </c>
      <c r="P62" s="339">
        <v>1</v>
      </c>
      <c r="Q62" s="339">
        <v>1</v>
      </c>
      <c r="R62" s="339">
        <v>-1</v>
      </c>
      <c r="S62" s="339">
        <v>-1</v>
      </c>
      <c r="T62" s="339">
        <v>-1</v>
      </c>
      <c r="U62" s="339">
        <v>-1</v>
      </c>
      <c r="V62" s="339">
        <v>-1</v>
      </c>
      <c r="W62" s="339">
        <v>-1</v>
      </c>
      <c r="X62" s="339">
        <v>-1</v>
      </c>
      <c r="Y62" s="339">
        <v>-1</v>
      </c>
    </row>
    <row r="63" spans="5:43" x14ac:dyDescent="0.25">
      <c r="F63" s="293" t="s">
        <v>45</v>
      </c>
      <c r="G63" s="293" t="s">
        <v>141</v>
      </c>
      <c r="J63" s="339">
        <v>1</v>
      </c>
      <c r="K63" s="339">
        <v>1</v>
      </c>
      <c r="L63" s="339">
        <v>1</v>
      </c>
      <c r="M63" s="339">
        <v>1</v>
      </c>
      <c r="N63" s="339">
        <v>1</v>
      </c>
      <c r="O63" s="339">
        <v>1</v>
      </c>
      <c r="P63" s="339">
        <v>1</v>
      </c>
      <c r="Q63" s="339">
        <v>1</v>
      </c>
      <c r="R63" s="339">
        <v>-1</v>
      </c>
      <c r="S63" s="339">
        <v>-1</v>
      </c>
      <c r="T63" s="339">
        <v>-1</v>
      </c>
      <c r="U63" s="339">
        <v>-1</v>
      </c>
      <c r="V63" s="339">
        <v>-1</v>
      </c>
      <c r="W63" s="339">
        <v>-1</v>
      </c>
      <c r="X63" s="339">
        <v>-1</v>
      </c>
      <c r="Y63" s="339">
        <v>-1</v>
      </c>
    </row>
    <row r="64" spans="5:43" x14ac:dyDescent="0.25">
      <c r="F64" s="293" t="s">
        <v>46</v>
      </c>
      <c r="G64" s="293" t="s">
        <v>141</v>
      </c>
      <c r="J64" s="339">
        <v>1</v>
      </c>
      <c r="K64" s="339">
        <v>1</v>
      </c>
      <c r="L64" s="339">
        <v>1</v>
      </c>
      <c r="M64" s="339">
        <v>1</v>
      </c>
      <c r="N64" s="339">
        <v>1</v>
      </c>
      <c r="O64" s="339">
        <v>1</v>
      </c>
      <c r="P64" s="339">
        <v>1</v>
      </c>
      <c r="Q64" s="339">
        <v>1</v>
      </c>
      <c r="R64" s="339">
        <v>-1</v>
      </c>
      <c r="S64" s="339">
        <v>-1</v>
      </c>
      <c r="T64" s="339">
        <v>-1</v>
      </c>
      <c r="U64" s="339">
        <v>-1</v>
      </c>
      <c r="V64" s="339">
        <v>-1</v>
      </c>
      <c r="W64" s="339">
        <v>-1</v>
      </c>
      <c r="X64" s="339">
        <v>-1</v>
      </c>
      <c r="Y64" s="339">
        <v>-1</v>
      </c>
    </row>
    <row r="65" spans="5:43" x14ac:dyDescent="0.25">
      <c r="F65" s="293" t="s">
        <v>47</v>
      </c>
      <c r="G65" s="293" t="s">
        <v>141</v>
      </c>
      <c r="J65" s="339">
        <v>1</v>
      </c>
      <c r="K65" s="339">
        <v>1</v>
      </c>
      <c r="L65" s="339">
        <v>1</v>
      </c>
      <c r="M65" s="339">
        <v>1</v>
      </c>
      <c r="N65" s="339">
        <v>1</v>
      </c>
      <c r="O65" s="339">
        <v>1</v>
      </c>
      <c r="P65" s="339">
        <v>1</v>
      </c>
      <c r="Q65" s="339">
        <v>1</v>
      </c>
      <c r="R65" s="339">
        <v>-1</v>
      </c>
      <c r="S65" s="339">
        <v>-1</v>
      </c>
      <c r="T65" s="339">
        <v>-1</v>
      </c>
      <c r="U65" s="339">
        <v>-1</v>
      </c>
      <c r="V65" s="339">
        <v>-1</v>
      </c>
      <c r="W65" s="339">
        <v>-1</v>
      </c>
      <c r="X65" s="339">
        <v>-1</v>
      </c>
      <c r="Y65" s="339">
        <v>-1</v>
      </c>
    </row>
    <row r="66" spans="5:43" x14ac:dyDescent="0.25">
      <c r="F66" s="293" t="s">
        <v>51</v>
      </c>
      <c r="G66" s="293" t="s">
        <v>141</v>
      </c>
      <c r="J66" s="339">
        <v>1</v>
      </c>
      <c r="K66" s="339">
        <v>1</v>
      </c>
      <c r="L66" s="339">
        <v>1</v>
      </c>
      <c r="M66" s="339">
        <v>1</v>
      </c>
      <c r="N66" s="339">
        <v>1</v>
      </c>
      <c r="O66" s="339">
        <v>1</v>
      </c>
      <c r="P66" s="339">
        <v>1</v>
      </c>
      <c r="Q66" s="339">
        <v>1</v>
      </c>
      <c r="R66" s="339">
        <v>-1</v>
      </c>
      <c r="S66" s="339">
        <v>-1</v>
      </c>
      <c r="T66" s="339">
        <v>-1</v>
      </c>
      <c r="U66" s="339">
        <v>-1</v>
      </c>
      <c r="V66" s="339">
        <v>-1</v>
      </c>
      <c r="W66" s="339">
        <v>-1</v>
      </c>
      <c r="X66" s="339">
        <v>-1</v>
      </c>
      <c r="Y66" s="339">
        <v>-1</v>
      </c>
    </row>
    <row r="67" spans="5:43" x14ac:dyDescent="0.25">
      <c r="F67" s="293" t="s">
        <v>48</v>
      </c>
      <c r="G67" s="293" t="s">
        <v>141</v>
      </c>
      <c r="J67" s="339">
        <v>1</v>
      </c>
      <c r="K67" s="339">
        <v>1</v>
      </c>
      <c r="L67" s="339">
        <v>1</v>
      </c>
      <c r="M67" s="339">
        <v>1</v>
      </c>
      <c r="N67" s="339">
        <v>1</v>
      </c>
      <c r="O67" s="339">
        <v>1</v>
      </c>
      <c r="P67" s="339">
        <v>1</v>
      </c>
      <c r="Q67" s="339">
        <v>1</v>
      </c>
      <c r="R67" s="339">
        <v>-1</v>
      </c>
      <c r="S67" s="339">
        <v>-1</v>
      </c>
      <c r="T67" s="339">
        <v>-1</v>
      </c>
      <c r="U67" s="339">
        <v>-1</v>
      </c>
      <c r="V67" s="339">
        <v>-1</v>
      </c>
      <c r="W67" s="339">
        <v>-1</v>
      </c>
      <c r="X67" s="339">
        <v>-1</v>
      </c>
      <c r="Y67" s="339">
        <v>-1</v>
      </c>
    </row>
    <row r="68" spans="5:43" x14ac:dyDescent="0.25">
      <c r="F68" s="293" t="s">
        <v>49</v>
      </c>
      <c r="G68" s="293" t="s">
        <v>141</v>
      </c>
      <c r="J68" s="339">
        <v>1</v>
      </c>
      <c r="K68" s="339">
        <v>1</v>
      </c>
      <c r="L68" s="339">
        <v>1</v>
      </c>
      <c r="M68" s="339">
        <v>1</v>
      </c>
      <c r="N68" s="339">
        <v>1</v>
      </c>
      <c r="O68" s="339">
        <v>1</v>
      </c>
      <c r="P68" s="339">
        <v>0</v>
      </c>
      <c r="Q68" s="339">
        <v>1</v>
      </c>
      <c r="R68" s="339">
        <v>-1</v>
      </c>
      <c r="S68" s="339">
        <v>-1</v>
      </c>
      <c r="T68" s="339">
        <v>-1</v>
      </c>
      <c r="U68" s="339">
        <v>-1</v>
      </c>
      <c r="V68" s="339">
        <v>-1</v>
      </c>
      <c r="W68" s="339">
        <v>-1</v>
      </c>
      <c r="X68" s="339">
        <v>0</v>
      </c>
      <c r="Y68" s="339">
        <v>0</v>
      </c>
    </row>
    <row r="69" spans="5:43" x14ac:dyDescent="0.25">
      <c r="F69" s="93" t="s">
        <v>50</v>
      </c>
      <c r="G69" s="93" t="s">
        <v>141</v>
      </c>
      <c r="H69" s="93"/>
      <c r="I69" s="93"/>
      <c r="J69" s="337">
        <v>1</v>
      </c>
      <c r="K69" s="337">
        <v>1</v>
      </c>
      <c r="L69" s="337">
        <v>1</v>
      </c>
      <c r="M69" s="337">
        <v>1</v>
      </c>
      <c r="N69" s="337">
        <v>1</v>
      </c>
      <c r="O69" s="337">
        <v>0</v>
      </c>
      <c r="P69" s="337">
        <v>0</v>
      </c>
      <c r="Q69" s="337">
        <v>1</v>
      </c>
      <c r="R69" s="337">
        <v>-1</v>
      </c>
      <c r="S69" s="337">
        <v>0</v>
      </c>
      <c r="T69" s="337">
        <v>-1</v>
      </c>
      <c r="U69" s="337">
        <v>-1</v>
      </c>
      <c r="V69" s="337">
        <v>0</v>
      </c>
      <c r="W69" s="337">
        <v>0</v>
      </c>
      <c r="X69" s="337">
        <v>0</v>
      </c>
      <c r="Y69" s="337">
        <v>0</v>
      </c>
    </row>
    <row r="71" spans="5:43" x14ac:dyDescent="0.25">
      <c r="E71" s="96" t="s">
        <v>330</v>
      </c>
      <c r="I71" s="293" t="s">
        <v>359</v>
      </c>
      <c r="AQ71" s="88" t="s">
        <v>815</v>
      </c>
    </row>
    <row r="72" spans="5:43" x14ac:dyDescent="0.25">
      <c r="E72" s="82" t="s">
        <v>262</v>
      </c>
    </row>
    <row r="73" spans="5:43" x14ac:dyDescent="0.25">
      <c r="E73" s="82"/>
      <c r="F73" s="91" t="s">
        <v>267</v>
      </c>
      <c r="G73" s="91" t="s">
        <v>141</v>
      </c>
      <c r="H73" s="91"/>
      <c r="I73" s="91"/>
      <c r="J73" s="336">
        <v>1</v>
      </c>
      <c r="K73" s="336">
        <v>1</v>
      </c>
      <c r="L73" s="336">
        <v>1</v>
      </c>
      <c r="M73" s="336">
        <v>1</v>
      </c>
      <c r="N73" s="336">
        <v>1</v>
      </c>
      <c r="O73" s="336">
        <v>1</v>
      </c>
      <c r="P73" s="336">
        <v>1</v>
      </c>
      <c r="Q73" s="336">
        <v>1</v>
      </c>
      <c r="R73" s="336">
        <v>-1</v>
      </c>
      <c r="S73" s="336">
        <v>-1</v>
      </c>
      <c r="T73" s="336">
        <v>-1</v>
      </c>
      <c r="U73" s="336">
        <v>-1</v>
      </c>
      <c r="V73" s="336">
        <v>-1</v>
      </c>
      <c r="W73" s="336">
        <v>-1</v>
      </c>
      <c r="X73" s="336">
        <v>-1</v>
      </c>
      <c r="Y73" s="336">
        <v>-1</v>
      </c>
    </row>
    <row r="74" spans="5:43" x14ac:dyDescent="0.25">
      <c r="E74" s="82"/>
      <c r="F74" s="293" t="s">
        <v>43</v>
      </c>
      <c r="G74" s="293" t="s">
        <v>141</v>
      </c>
      <c r="J74" s="339">
        <v>1</v>
      </c>
      <c r="K74" s="339">
        <v>1</v>
      </c>
      <c r="L74" s="339">
        <v>1</v>
      </c>
      <c r="M74" s="339">
        <v>1</v>
      </c>
      <c r="N74" s="339">
        <v>1</v>
      </c>
      <c r="O74" s="339">
        <v>1</v>
      </c>
      <c r="P74" s="339">
        <v>1</v>
      </c>
      <c r="Q74" s="339">
        <v>1</v>
      </c>
      <c r="R74" s="339">
        <v>-1</v>
      </c>
      <c r="S74" s="339">
        <v>-1</v>
      </c>
      <c r="T74" s="339">
        <v>-1</v>
      </c>
      <c r="U74" s="339">
        <v>-1</v>
      </c>
      <c r="V74" s="339">
        <v>-1</v>
      </c>
      <c r="W74" s="339">
        <v>-1</v>
      </c>
      <c r="X74" s="339">
        <v>-1</v>
      </c>
      <c r="Y74" s="339">
        <v>-1</v>
      </c>
    </row>
    <row r="75" spans="5:43" x14ac:dyDescent="0.25">
      <c r="E75" s="82"/>
      <c r="F75" s="293" t="s">
        <v>44</v>
      </c>
      <c r="G75" s="293" t="s">
        <v>141</v>
      </c>
      <c r="J75" s="339">
        <v>1</v>
      </c>
      <c r="K75" s="339">
        <v>1</v>
      </c>
      <c r="L75" s="339">
        <v>1</v>
      </c>
      <c r="M75" s="339">
        <v>1</v>
      </c>
      <c r="N75" s="339">
        <v>1</v>
      </c>
      <c r="O75" s="339">
        <v>1</v>
      </c>
      <c r="P75" s="339">
        <v>1</v>
      </c>
      <c r="Q75" s="339">
        <v>1</v>
      </c>
      <c r="R75" s="339">
        <v>-1</v>
      </c>
      <c r="S75" s="339">
        <v>-1</v>
      </c>
      <c r="T75" s="339">
        <v>-1</v>
      </c>
      <c r="U75" s="339">
        <v>-1</v>
      </c>
      <c r="V75" s="339">
        <v>-1</v>
      </c>
      <c r="W75" s="339">
        <v>-1</v>
      </c>
      <c r="X75" s="339">
        <v>-1</v>
      </c>
      <c r="Y75" s="339">
        <v>-1</v>
      </c>
    </row>
    <row r="76" spans="5:43" x14ac:dyDescent="0.25">
      <c r="E76" s="82"/>
      <c r="F76" s="293" t="s">
        <v>45</v>
      </c>
      <c r="G76" s="293" t="s">
        <v>141</v>
      </c>
      <c r="J76" s="339">
        <v>1</v>
      </c>
      <c r="K76" s="339">
        <v>1</v>
      </c>
      <c r="L76" s="339">
        <v>1</v>
      </c>
      <c r="M76" s="339">
        <v>1</v>
      </c>
      <c r="N76" s="339">
        <v>1</v>
      </c>
      <c r="O76" s="339">
        <v>1</v>
      </c>
      <c r="P76" s="339">
        <v>1</v>
      </c>
      <c r="Q76" s="339">
        <v>1</v>
      </c>
      <c r="R76" s="339">
        <v>-1</v>
      </c>
      <c r="S76" s="339">
        <v>-1</v>
      </c>
      <c r="T76" s="339">
        <v>-1</v>
      </c>
      <c r="U76" s="339">
        <v>-1</v>
      </c>
      <c r="V76" s="339">
        <v>-1</v>
      </c>
      <c r="W76" s="339">
        <v>-1</v>
      </c>
      <c r="X76" s="339">
        <v>-1</v>
      </c>
      <c r="Y76" s="339">
        <v>-1</v>
      </c>
    </row>
    <row r="77" spans="5:43" x14ac:dyDescent="0.25">
      <c r="E77" s="82"/>
      <c r="F77" s="293" t="s">
        <v>46</v>
      </c>
      <c r="G77" s="293" t="s">
        <v>141</v>
      </c>
      <c r="J77" s="339">
        <v>1</v>
      </c>
      <c r="K77" s="339">
        <v>1</v>
      </c>
      <c r="L77" s="339">
        <v>1</v>
      </c>
      <c r="M77" s="339">
        <v>1</v>
      </c>
      <c r="N77" s="339">
        <v>1</v>
      </c>
      <c r="O77" s="339">
        <v>1</v>
      </c>
      <c r="P77" s="339">
        <v>1</v>
      </c>
      <c r="Q77" s="339">
        <v>1</v>
      </c>
      <c r="R77" s="339">
        <v>-1</v>
      </c>
      <c r="S77" s="339">
        <v>-1</v>
      </c>
      <c r="T77" s="339">
        <v>-1</v>
      </c>
      <c r="U77" s="339">
        <v>-1</v>
      </c>
      <c r="V77" s="339">
        <v>-1</v>
      </c>
      <c r="W77" s="339">
        <v>-1</v>
      </c>
      <c r="X77" s="339">
        <v>-1</v>
      </c>
      <c r="Y77" s="339">
        <v>-1</v>
      </c>
    </row>
    <row r="78" spans="5:43" x14ac:dyDescent="0.25">
      <c r="E78" s="82"/>
      <c r="F78" s="293" t="s">
        <v>47</v>
      </c>
      <c r="G78" s="293" t="s">
        <v>141</v>
      </c>
      <c r="J78" s="339">
        <v>1</v>
      </c>
      <c r="K78" s="339">
        <v>1</v>
      </c>
      <c r="L78" s="339">
        <v>1</v>
      </c>
      <c r="M78" s="339">
        <v>1</v>
      </c>
      <c r="N78" s="339">
        <v>1</v>
      </c>
      <c r="O78" s="339">
        <v>1</v>
      </c>
      <c r="P78" s="339">
        <v>1</v>
      </c>
      <c r="Q78" s="339">
        <v>1</v>
      </c>
      <c r="R78" s="339">
        <v>-1</v>
      </c>
      <c r="S78" s="339">
        <v>-1</v>
      </c>
      <c r="T78" s="339">
        <v>-1</v>
      </c>
      <c r="U78" s="339">
        <v>-1</v>
      </c>
      <c r="V78" s="339">
        <v>-1</v>
      </c>
      <c r="W78" s="339">
        <v>-1</v>
      </c>
      <c r="X78" s="339">
        <v>-1</v>
      </c>
      <c r="Y78" s="339">
        <v>-1</v>
      </c>
    </row>
    <row r="79" spans="5:43" x14ac:dyDescent="0.25">
      <c r="E79" s="82"/>
      <c r="F79" s="293" t="s">
        <v>51</v>
      </c>
      <c r="G79" s="293" t="s">
        <v>141</v>
      </c>
      <c r="J79" s="339">
        <v>1</v>
      </c>
      <c r="K79" s="339">
        <v>1</v>
      </c>
      <c r="L79" s="339">
        <v>1</v>
      </c>
      <c r="M79" s="339">
        <v>1</v>
      </c>
      <c r="N79" s="339">
        <v>1</v>
      </c>
      <c r="O79" s="339">
        <v>1</v>
      </c>
      <c r="P79" s="339">
        <v>1</v>
      </c>
      <c r="Q79" s="339">
        <v>1</v>
      </c>
      <c r="R79" s="339">
        <v>-1</v>
      </c>
      <c r="S79" s="339">
        <v>-1</v>
      </c>
      <c r="T79" s="339">
        <v>-1</v>
      </c>
      <c r="U79" s="339">
        <v>-1</v>
      </c>
      <c r="V79" s="339">
        <v>-1</v>
      </c>
      <c r="W79" s="339">
        <v>-1</v>
      </c>
      <c r="X79" s="339">
        <v>-1</v>
      </c>
      <c r="Y79" s="339">
        <v>-1</v>
      </c>
    </row>
    <row r="80" spans="5:43" x14ac:dyDescent="0.25">
      <c r="E80" s="82"/>
      <c r="F80" s="293" t="s">
        <v>48</v>
      </c>
      <c r="G80" s="293" t="s">
        <v>141</v>
      </c>
      <c r="J80" s="339">
        <v>1</v>
      </c>
      <c r="K80" s="339">
        <v>1</v>
      </c>
      <c r="L80" s="339">
        <v>1</v>
      </c>
      <c r="M80" s="339">
        <v>1</v>
      </c>
      <c r="N80" s="339">
        <v>1</v>
      </c>
      <c r="O80" s="339">
        <v>1</v>
      </c>
      <c r="P80" s="339">
        <v>1</v>
      </c>
      <c r="Q80" s="339">
        <v>1</v>
      </c>
      <c r="R80" s="339">
        <v>-1</v>
      </c>
      <c r="S80" s="339">
        <v>-1</v>
      </c>
      <c r="T80" s="339">
        <v>-1</v>
      </c>
      <c r="U80" s="339">
        <v>-1</v>
      </c>
      <c r="V80" s="339">
        <v>-1</v>
      </c>
      <c r="W80" s="339">
        <v>-1</v>
      </c>
      <c r="X80" s="339">
        <v>0</v>
      </c>
      <c r="Y80" s="339">
        <v>0</v>
      </c>
    </row>
    <row r="81" spans="3:43" x14ac:dyDescent="0.25">
      <c r="E81" s="82"/>
      <c r="F81" s="293" t="s">
        <v>49</v>
      </c>
      <c r="G81" s="293" t="s">
        <v>141</v>
      </c>
      <c r="J81" s="339">
        <v>1</v>
      </c>
      <c r="K81" s="339">
        <v>1</v>
      </c>
      <c r="L81" s="339">
        <v>1</v>
      </c>
      <c r="M81" s="339">
        <v>1</v>
      </c>
      <c r="N81" s="339">
        <v>1</v>
      </c>
      <c r="O81" s="339">
        <v>1</v>
      </c>
      <c r="P81" s="339">
        <v>0</v>
      </c>
      <c r="Q81" s="339">
        <v>1</v>
      </c>
      <c r="R81" s="339">
        <v>-1</v>
      </c>
      <c r="S81" s="339">
        <v>0</v>
      </c>
      <c r="T81" s="339">
        <v>-1</v>
      </c>
      <c r="U81" s="339">
        <v>-1</v>
      </c>
      <c r="V81" s="339">
        <v>0</v>
      </c>
      <c r="W81" s="339">
        <v>0</v>
      </c>
      <c r="X81" s="339">
        <v>0</v>
      </c>
      <c r="Y81" s="339">
        <v>0</v>
      </c>
    </row>
    <row r="82" spans="3:43" x14ac:dyDescent="0.25">
      <c r="E82" s="82"/>
      <c r="F82" s="93" t="s">
        <v>50</v>
      </c>
      <c r="G82" s="93" t="s">
        <v>141</v>
      </c>
      <c r="H82" s="93"/>
      <c r="I82" s="93"/>
      <c r="J82" s="337">
        <v>1</v>
      </c>
      <c r="K82" s="337">
        <v>1</v>
      </c>
      <c r="L82" s="337">
        <v>1</v>
      </c>
      <c r="M82" s="337">
        <v>1</v>
      </c>
      <c r="N82" s="337">
        <v>1</v>
      </c>
      <c r="O82" s="337">
        <v>0</v>
      </c>
      <c r="P82" s="337">
        <v>0</v>
      </c>
      <c r="Q82" s="337">
        <v>1</v>
      </c>
      <c r="R82" s="337">
        <v>0</v>
      </c>
      <c r="S82" s="337">
        <v>0</v>
      </c>
      <c r="T82" s="337">
        <v>0</v>
      </c>
      <c r="U82" s="337">
        <v>0</v>
      </c>
      <c r="V82" s="337">
        <v>0</v>
      </c>
      <c r="W82" s="337">
        <v>0</v>
      </c>
      <c r="X82" s="337">
        <v>0</v>
      </c>
      <c r="Y82" s="337">
        <v>0</v>
      </c>
    </row>
    <row r="84" spans="3:43" x14ac:dyDescent="0.25">
      <c r="C84" s="7" t="str">
        <f ca="1">INDEX('Version control'!$H$35:$H$61,MATCH($A$1,'Version control'!$F$35:$F$61,0),1)&amp;"-E: Standing charge factors"</f>
        <v>Input 504-E: Standing charge factors</v>
      </c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  <c r="AA84" s="7"/>
      <c r="AB84" s="7"/>
      <c r="AC84" s="7"/>
      <c r="AD84" s="7"/>
      <c r="AE84" s="7"/>
      <c r="AF84" s="7"/>
      <c r="AG84" s="7"/>
      <c r="AH84" s="7"/>
      <c r="AI84" s="7"/>
      <c r="AJ84" s="7"/>
      <c r="AK84" s="7"/>
      <c r="AL84" s="7"/>
      <c r="AM84" s="7"/>
      <c r="AN84" s="7"/>
      <c r="AO84" s="7"/>
      <c r="AP84" s="7"/>
      <c r="AQ84" s="7"/>
    </row>
    <row r="86" spans="3:43" x14ac:dyDescent="0.25">
      <c r="E86" s="96" t="s">
        <v>263</v>
      </c>
      <c r="F86" s="96"/>
      <c r="I86" s="293" t="s">
        <v>359</v>
      </c>
      <c r="AQ86" s="293" t="s">
        <v>703</v>
      </c>
    </row>
    <row r="87" spans="3:43" x14ac:dyDescent="0.25">
      <c r="E87" s="82" t="s">
        <v>923</v>
      </c>
      <c r="F87" s="82"/>
    </row>
    <row r="88" spans="3:43" x14ac:dyDescent="0.25">
      <c r="E88" s="82"/>
      <c r="F88" s="91" t="s">
        <v>267</v>
      </c>
      <c r="G88" s="91" t="s">
        <v>94</v>
      </c>
      <c r="H88" s="91"/>
      <c r="I88" s="91"/>
      <c r="J88" s="106"/>
      <c r="K88" s="106"/>
      <c r="L88" s="106"/>
      <c r="M88" s="106"/>
      <c r="N88" s="106"/>
      <c r="O88" s="106"/>
      <c r="P88" s="106"/>
      <c r="Q88" s="106"/>
      <c r="R88" s="106"/>
      <c r="S88" s="106"/>
      <c r="T88" s="106"/>
      <c r="U88" s="106"/>
      <c r="V88" s="106"/>
      <c r="W88" s="106"/>
      <c r="X88" s="106"/>
      <c r="Y88" s="106"/>
    </row>
    <row r="89" spans="3:43" x14ac:dyDescent="0.25">
      <c r="E89" s="82"/>
      <c r="F89" s="293" t="s">
        <v>43</v>
      </c>
      <c r="G89" s="293" t="s">
        <v>94</v>
      </c>
      <c r="J89" s="79"/>
      <c r="K89" s="79"/>
      <c r="L89" s="79"/>
      <c r="M89" s="79"/>
      <c r="N89" s="79"/>
      <c r="O89" s="79"/>
      <c r="P89" s="79"/>
      <c r="Q89" s="79"/>
      <c r="R89" s="79"/>
      <c r="S89" s="79"/>
      <c r="T89" s="79"/>
      <c r="U89" s="79"/>
      <c r="V89" s="79"/>
      <c r="W89" s="79"/>
      <c r="X89" s="79"/>
      <c r="Y89" s="79"/>
    </row>
    <row r="90" spans="3:43" x14ac:dyDescent="0.25">
      <c r="E90" s="82"/>
      <c r="F90" s="293" t="s">
        <v>44</v>
      </c>
      <c r="G90" s="293" t="s">
        <v>94</v>
      </c>
      <c r="J90" s="370"/>
      <c r="K90" s="370"/>
      <c r="L90" s="370"/>
      <c r="M90" s="370"/>
      <c r="N90" s="370"/>
      <c r="O90" s="370"/>
      <c r="P90" s="370"/>
      <c r="Q90" s="370"/>
      <c r="R90" s="79"/>
      <c r="S90" s="79"/>
      <c r="T90" s="79"/>
      <c r="U90" s="79"/>
      <c r="V90" s="79"/>
      <c r="W90" s="79"/>
      <c r="X90" s="79"/>
      <c r="Y90" s="79"/>
    </row>
    <row r="91" spans="3:43" x14ac:dyDescent="0.25">
      <c r="E91" s="82"/>
      <c r="F91" s="293" t="s">
        <v>45</v>
      </c>
      <c r="G91" s="293" t="s">
        <v>94</v>
      </c>
      <c r="J91" s="370"/>
      <c r="K91" s="370"/>
      <c r="L91" s="370"/>
      <c r="M91" s="370"/>
      <c r="N91" s="370"/>
      <c r="O91" s="370"/>
      <c r="P91" s="370"/>
      <c r="Q91" s="370"/>
      <c r="R91" s="79"/>
      <c r="S91" s="79"/>
      <c r="T91" s="79"/>
      <c r="U91" s="79"/>
      <c r="V91" s="79"/>
      <c r="W91" s="79"/>
      <c r="X91" s="79"/>
      <c r="Y91" s="79"/>
    </row>
    <row r="92" spans="3:43" x14ac:dyDescent="0.25">
      <c r="E92" s="82"/>
      <c r="F92" s="293" t="s">
        <v>46</v>
      </c>
      <c r="G92" s="293" t="s">
        <v>94</v>
      </c>
      <c r="J92" s="370"/>
      <c r="K92" s="370"/>
      <c r="L92" s="370"/>
      <c r="M92" s="370"/>
      <c r="N92" s="370"/>
      <c r="O92" s="370"/>
      <c r="P92" s="369">
        <v>0.2</v>
      </c>
      <c r="Q92" s="370"/>
      <c r="R92" s="79"/>
      <c r="S92" s="79"/>
      <c r="T92" s="79"/>
      <c r="U92" s="79"/>
      <c r="V92" s="79"/>
      <c r="W92" s="79"/>
      <c r="X92" s="79"/>
      <c r="Y92" s="79"/>
    </row>
    <row r="93" spans="3:43" x14ac:dyDescent="0.25">
      <c r="E93" s="82"/>
      <c r="F93" s="293" t="s">
        <v>47</v>
      </c>
      <c r="G93" s="293" t="s">
        <v>94</v>
      </c>
      <c r="J93" s="370"/>
      <c r="K93" s="370"/>
      <c r="L93" s="370"/>
      <c r="M93" s="370"/>
      <c r="N93" s="370"/>
      <c r="O93" s="370"/>
      <c r="P93" s="369">
        <v>1</v>
      </c>
      <c r="Q93" s="370"/>
      <c r="R93" s="79"/>
      <c r="S93" s="79"/>
      <c r="T93" s="79"/>
      <c r="U93" s="79"/>
      <c r="V93" s="79"/>
      <c r="W93" s="79"/>
      <c r="X93" s="79"/>
      <c r="Y93" s="79"/>
    </row>
    <row r="94" spans="3:43" x14ac:dyDescent="0.25">
      <c r="E94" s="82"/>
      <c r="F94" s="293" t="s">
        <v>51</v>
      </c>
      <c r="G94" s="293" t="s">
        <v>94</v>
      </c>
      <c r="J94" s="370"/>
      <c r="K94" s="370"/>
      <c r="L94" s="370"/>
      <c r="M94" s="370"/>
      <c r="N94" s="370"/>
      <c r="O94" s="370"/>
      <c r="P94" s="370"/>
      <c r="Q94" s="370"/>
      <c r="R94" s="79"/>
      <c r="S94" s="79"/>
      <c r="T94" s="79"/>
      <c r="U94" s="79"/>
      <c r="V94" s="79"/>
      <c r="W94" s="79"/>
      <c r="X94" s="79"/>
      <c r="Y94" s="79"/>
    </row>
    <row r="95" spans="3:43" x14ac:dyDescent="0.25">
      <c r="E95" s="82"/>
      <c r="F95" s="293" t="s">
        <v>48</v>
      </c>
      <c r="G95" s="293" t="s">
        <v>94</v>
      </c>
      <c r="J95" s="370"/>
      <c r="K95" s="370"/>
      <c r="L95" s="370"/>
      <c r="M95" s="370"/>
      <c r="N95" s="369">
        <v>0.2</v>
      </c>
      <c r="O95" s="369">
        <v>1</v>
      </c>
      <c r="P95" s="369">
        <v>1</v>
      </c>
      <c r="Q95" s="370"/>
      <c r="R95" s="79"/>
      <c r="S95" s="79"/>
      <c r="T95" s="79"/>
      <c r="U95" s="79"/>
      <c r="V95" s="79"/>
      <c r="W95" s="79"/>
      <c r="X95" s="79"/>
      <c r="Y95" s="79"/>
    </row>
    <row r="96" spans="3:43" x14ac:dyDescent="0.25">
      <c r="E96" s="82"/>
      <c r="F96" s="293" t="s">
        <v>49</v>
      </c>
      <c r="G96" s="293" t="s">
        <v>94</v>
      </c>
      <c r="J96" s="370"/>
      <c r="K96" s="370"/>
      <c r="L96" s="370"/>
      <c r="M96" s="370"/>
      <c r="N96" s="369">
        <v>1</v>
      </c>
      <c r="O96" s="369">
        <v>1</v>
      </c>
      <c r="P96" s="370"/>
      <c r="Q96" s="370"/>
      <c r="R96" s="79"/>
      <c r="S96" s="79"/>
      <c r="T96" s="79"/>
      <c r="U96" s="79"/>
      <c r="V96" s="79"/>
      <c r="W96" s="79"/>
      <c r="X96" s="79"/>
      <c r="Y96" s="79"/>
    </row>
    <row r="97" spans="3:43" x14ac:dyDescent="0.25">
      <c r="E97" s="82"/>
      <c r="F97" s="93" t="s">
        <v>50</v>
      </c>
      <c r="G97" s="93" t="s">
        <v>94</v>
      </c>
      <c r="H97" s="93"/>
      <c r="I97" s="93"/>
      <c r="J97" s="338">
        <v>1</v>
      </c>
      <c r="K97" s="338">
        <v>1</v>
      </c>
      <c r="L97" s="338">
        <v>1</v>
      </c>
      <c r="M97" s="338">
        <v>1</v>
      </c>
      <c r="N97" s="338">
        <v>1</v>
      </c>
      <c r="O97" s="38"/>
      <c r="P97" s="38"/>
      <c r="Q97" s="338">
        <v>0</v>
      </c>
      <c r="R97" s="102"/>
      <c r="S97" s="102"/>
      <c r="T97" s="102"/>
      <c r="U97" s="102"/>
      <c r="V97" s="102"/>
      <c r="W97" s="102"/>
      <c r="X97" s="102"/>
      <c r="Y97" s="102"/>
    </row>
    <row r="99" spans="3:43" x14ac:dyDescent="0.25">
      <c r="C99" s="7" t="str">
        <f ca="1">INDEX('Version control'!$H$35:$H$61,MATCH($A$1,'Version control'!$F$35:$F$61,0),1)&amp;"-F: Flags"</f>
        <v>Input 504-F: Flags</v>
      </c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  <c r="AA99" s="7"/>
      <c r="AB99" s="7"/>
      <c r="AC99" s="7"/>
      <c r="AD99" s="7"/>
      <c r="AE99" s="7"/>
      <c r="AF99" s="7"/>
      <c r="AG99" s="7"/>
      <c r="AH99" s="7"/>
      <c r="AI99" s="7"/>
      <c r="AJ99" s="7"/>
      <c r="AK99" s="7"/>
      <c r="AL99" s="7"/>
      <c r="AM99" s="7"/>
      <c r="AN99" s="7"/>
      <c r="AO99" s="7"/>
      <c r="AP99" s="7"/>
      <c r="AQ99" s="7"/>
    </row>
    <row r="101" spans="3:43" x14ac:dyDescent="0.25">
      <c r="D101" s="96" t="s">
        <v>173</v>
      </c>
      <c r="E101" s="96"/>
    </row>
    <row r="102" spans="3:43" x14ac:dyDescent="0.25">
      <c r="D102" s="82" t="s">
        <v>528</v>
      </c>
      <c r="E102" s="82"/>
    </row>
    <row r="103" spans="3:43" x14ac:dyDescent="0.25">
      <c r="D103" s="82" t="s">
        <v>529</v>
      </c>
      <c r="E103" s="82"/>
    </row>
    <row r="104" spans="3:43" x14ac:dyDescent="0.25">
      <c r="D104" s="82"/>
      <c r="E104" s="96" t="s">
        <v>120</v>
      </c>
    </row>
    <row r="105" spans="3:43" x14ac:dyDescent="0.25">
      <c r="D105" s="82"/>
      <c r="F105" s="14" t="s">
        <v>313</v>
      </c>
      <c r="G105" s="293" t="s">
        <v>174</v>
      </c>
      <c r="I105" s="293" t="s">
        <v>359</v>
      </c>
      <c r="J105" s="371" t="b">
        <v>0</v>
      </c>
      <c r="K105" s="371" t="b">
        <v>0</v>
      </c>
      <c r="L105" s="371" t="b">
        <v>0</v>
      </c>
      <c r="M105" s="371" t="b">
        <v>0</v>
      </c>
      <c r="N105" s="371" t="b">
        <v>0</v>
      </c>
      <c r="O105" s="371" t="b">
        <v>0</v>
      </c>
      <c r="P105" s="371" t="b">
        <v>0</v>
      </c>
      <c r="Q105" s="371" t="b">
        <v>0</v>
      </c>
      <c r="R105" s="371" t="b">
        <v>1</v>
      </c>
      <c r="S105" s="371" t="b">
        <v>1</v>
      </c>
      <c r="T105" s="371" t="b">
        <v>1</v>
      </c>
      <c r="U105" s="371" t="b">
        <v>1</v>
      </c>
      <c r="V105" s="371" t="b">
        <v>1</v>
      </c>
      <c r="W105" s="371" t="b">
        <v>1</v>
      </c>
      <c r="X105" s="371" t="b">
        <v>1</v>
      </c>
      <c r="Y105" s="371" t="b">
        <v>1</v>
      </c>
      <c r="AQ105" s="293" t="s">
        <v>704</v>
      </c>
    </row>
    <row r="106" spans="3:43" x14ac:dyDescent="0.25">
      <c r="D106" s="82"/>
      <c r="E106" s="14"/>
      <c r="F106" s="14" t="s">
        <v>314</v>
      </c>
      <c r="G106" s="293" t="s">
        <v>94</v>
      </c>
      <c r="J106" s="370"/>
      <c r="K106" s="370"/>
      <c r="L106" s="370"/>
      <c r="M106" s="370"/>
      <c r="N106" s="370"/>
      <c r="O106" s="370"/>
      <c r="P106" s="370"/>
      <c r="Q106" s="370"/>
      <c r="R106" s="372">
        <v>0</v>
      </c>
      <c r="S106" s="372">
        <v>0</v>
      </c>
      <c r="T106" s="372">
        <v>0</v>
      </c>
      <c r="U106" s="372">
        <v>0</v>
      </c>
      <c r="V106" s="372">
        <v>0</v>
      </c>
      <c r="W106" s="372">
        <v>0</v>
      </c>
      <c r="X106" s="372">
        <v>0</v>
      </c>
      <c r="Y106" s="372">
        <v>0</v>
      </c>
    </row>
    <row r="107" spans="3:43" x14ac:dyDescent="0.25">
      <c r="D107" s="82"/>
      <c r="E107" s="14"/>
      <c r="F107" s="14"/>
      <c r="J107" s="111"/>
      <c r="K107" s="111"/>
      <c r="L107" s="111"/>
      <c r="M107" s="111"/>
      <c r="N107" s="111"/>
      <c r="O107" s="111"/>
      <c r="P107" s="111"/>
      <c r="Q107" s="111"/>
      <c r="R107" s="111"/>
      <c r="S107" s="111"/>
      <c r="T107" s="111"/>
      <c r="U107" s="111"/>
      <c r="V107" s="111"/>
      <c r="W107" s="111"/>
      <c r="X107" s="111"/>
      <c r="Y107" s="111"/>
    </row>
    <row r="108" spans="3:43" x14ac:dyDescent="0.25">
      <c r="D108" s="82"/>
      <c r="E108" s="96" t="s">
        <v>74</v>
      </c>
      <c r="F108" s="14"/>
      <c r="J108" s="111"/>
      <c r="K108" s="111"/>
      <c r="L108" s="111"/>
      <c r="M108" s="111"/>
      <c r="N108" s="111"/>
      <c r="O108" s="111"/>
      <c r="P108" s="111"/>
      <c r="Q108" s="111"/>
      <c r="R108" s="111"/>
      <c r="S108" s="111"/>
      <c r="T108" s="111"/>
      <c r="U108" s="111"/>
      <c r="V108" s="111"/>
      <c r="W108" s="111"/>
      <c r="X108" s="111"/>
      <c r="Y108" s="111"/>
    </row>
    <row r="109" spans="3:43" x14ac:dyDescent="0.25">
      <c r="D109" s="82"/>
      <c r="F109" s="14" t="s">
        <v>313</v>
      </c>
      <c r="G109" s="293" t="s">
        <v>174</v>
      </c>
      <c r="J109" s="371" t="b">
        <v>0</v>
      </c>
      <c r="K109" s="371" t="b">
        <v>0</v>
      </c>
      <c r="L109" s="371" t="b">
        <v>0</v>
      </c>
      <c r="M109" s="371" t="b">
        <v>0</v>
      </c>
      <c r="N109" s="371" t="b">
        <v>0</v>
      </c>
      <c r="O109" s="371" t="b">
        <v>0</v>
      </c>
      <c r="P109" s="371" t="b">
        <v>0</v>
      </c>
      <c r="Q109" s="371" t="b">
        <v>0</v>
      </c>
      <c r="R109" s="371" t="b">
        <v>1</v>
      </c>
      <c r="S109" s="371" t="b">
        <v>1</v>
      </c>
      <c r="T109" s="371" t="b">
        <v>1</v>
      </c>
      <c r="U109" s="371" t="b">
        <v>1</v>
      </c>
      <c r="V109" s="371" t="b">
        <v>1</v>
      </c>
      <c r="W109" s="371" t="b">
        <v>1</v>
      </c>
      <c r="X109" s="371" t="b">
        <v>1</v>
      </c>
      <c r="Y109" s="371" t="b">
        <v>1</v>
      </c>
    </row>
    <row r="110" spans="3:43" x14ac:dyDescent="0.25">
      <c r="D110" s="82"/>
      <c r="E110" s="14"/>
      <c r="F110" s="14" t="s">
        <v>314</v>
      </c>
      <c r="G110" s="293" t="s">
        <v>94</v>
      </c>
      <c r="J110" s="370"/>
      <c r="K110" s="370"/>
      <c r="L110" s="370"/>
      <c r="M110" s="370"/>
      <c r="N110" s="370"/>
      <c r="O110" s="370"/>
      <c r="P110" s="370"/>
      <c r="Q110" s="370"/>
      <c r="R110" s="372">
        <v>1</v>
      </c>
      <c r="S110" s="372">
        <v>1</v>
      </c>
      <c r="T110" s="372">
        <v>1</v>
      </c>
      <c r="U110" s="372">
        <v>1</v>
      </c>
      <c r="V110" s="372">
        <v>1</v>
      </c>
      <c r="W110" s="372">
        <v>1</v>
      </c>
      <c r="X110" s="372">
        <v>1</v>
      </c>
      <c r="Y110" s="372">
        <v>1</v>
      </c>
    </row>
    <row r="111" spans="3:43" x14ac:dyDescent="0.25">
      <c r="D111" s="82"/>
      <c r="E111" s="14"/>
      <c r="F111" s="14"/>
      <c r="J111" s="111"/>
      <c r="K111" s="111"/>
      <c r="L111" s="111"/>
      <c r="M111" s="111"/>
      <c r="N111" s="111"/>
      <c r="O111" s="111"/>
      <c r="P111" s="111"/>
      <c r="Q111" s="111"/>
      <c r="R111" s="111"/>
      <c r="S111" s="111"/>
      <c r="T111" s="111"/>
      <c r="U111" s="111"/>
      <c r="V111" s="111"/>
      <c r="W111" s="111"/>
      <c r="X111" s="111"/>
      <c r="Y111" s="111"/>
    </row>
    <row r="112" spans="3:43" x14ac:dyDescent="0.25">
      <c r="D112" s="82"/>
      <c r="E112" s="96" t="s">
        <v>75</v>
      </c>
      <c r="F112" s="14"/>
      <c r="J112" s="111"/>
      <c r="K112" s="111"/>
      <c r="L112" s="111"/>
      <c r="M112" s="111"/>
      <c r="N112" s="111"/>
      <c r="O112" s="111"/>
      <c r="P112" s="111"/>
      <c r="Q112" s="111"/>
      <c r="R112" s="111"/>
      <c r="S112" s="111"/>
      <c r="T112" s="111"/>
      <c r="U112" s="111"/>
      <c r="V112" s="111"/>
      <c r="W112" s="111"/>
      <c r="X112" s="111"/>
      <c r="Y112" s="111"/>
    </row>
    <row r="113" spans="4:25" x14ac:dyDescent="0.25">
      <c r="D113" s="82"/>
      <c r="F113" s="14" t="s">
        <v>313</v>
      </c>
      <c r="G113" s="293" t="s">
        <v>174</v>
      </c>
      <c r="J113" s="371" t="b">
        <v>0</v>
      </c>
      <c r="K113" s="371" t="b">
        <v>0</v>
      </c>
      <c r="L113" s="371" t="b">
        <v>0</v>
      </c>
      <c r="M113" s="371" t="b">
        <v>0</v>
      </c>
      <c r="N113" s="371" t="b">
        <v>0</v>
      </c>
      <c r="O113" s="371" t="b">
        <v>0</v>
      </c>
      <c r="P113" s="371" t="b">
        <v>0</v>
      </c>
      <c r="Q113" s="371" t="b">
        <v>0</v>
      </c>
      <c r="R113" s="371" t="b">
        <v>1</v>
      </c>
      <c r="S113" s="371" t="b">
        <v>1</v>
      </c>
      <c r="T113" s="371" t="b">
        <v>1</v>
      </c>
      <c r="U113" s="371" t="b">
        <v>1</v>
      </c>
      <c r="V113" s="371" t="b">
        <v>1</v>
      </c>
      <c r="W113" s="371" t="b">
        <v>1</v>
      </c>
      <c r="X113" s="371" t="b">
        <v>1</v>
      </c>
      <c r="Y113" s="371" t="b">
        <v>1</v>
      </c>
    </row>
    <row r="114" spans="4:25" x14ac:dyDescent="0.25">
      <c r="D114" s="82"/>
      <c r="E114" s="14"/>
      <c r="F114" s="14" t="s">
        <v>314</v>
      </c>
      <c r="G114" s="293" t="s">
        <v>94</v>
      </c>
      <c r="J114" s="370"/>
      <c r="K114" s="370"/>
      <c r="L114" s="370"/>
      <c r="M114" s="370"/>
      <c r="N114" s="370"/>
      <c r="O114" s="370"/>
      <c r="P114" s="370"/>
      <c r="Q114" s="370"/>
      <c r="R114" s="372">
        <v>0</v>
      </c>
      <c r="S114" s="372">
        <v>0</v>
      </c>
      <c r="T114" s="372">
        <v>0</v>
      </c>
      <c r="U114" s="372">
        <v>0</v>
      </c>
      <c r="V114" s="372">
        <v>0</v>
      </c>
      <c r="W114" s="372">
        <v>0</v>
      </c>
      <c r="X114" s="372">
        <v>0</v>
      </c>
      <c r="Y114" s="372">
        <v>0</v>
      </c>
    </row>
    <row r="115" spans="4:25" x14ac:dyDescent="0.25">
      <c r="D115" s="82"/>
      <c r="E115" s="14"/>
      <c r="F115" s="14"/>
      <c r="J115" s="111"/>
      <c r="K115" s="111"/>
      <c r="L115" s="111"/>
      <c r="M115" s="111"/>
      <c r="N115" s="111"/>
      <c r="O115" s="111"/>
      <c r="P115" s="111"/>
      <c r="Q115" s="111"/>
      <c r="R115" s="111"/>
      <c r="S115" s="111"/>
      <c r="T115" s="111"/>
      <c r="U115" s="111"/>
      <c r="V115" s="111"/>
      <c r="W115" s="111"/>
      <c r="X115" s="111"/>
      <c r="Y115" s="111"/>
    </row>
    <row r="116" spans="4:25" x14ac:dyDescent="0.25">
      <c r="D116" s="82"/>
      <c r="E116" s="96" t="s">
        <v>76</v>
      </c>
      <c r="F116" s="14"/>
      <c r="J116" s="111"/>
      <c r="K116" s="111"/>
      <c r="L116" s="111"/>
      <c r="M116" s="111"/>
      <c r="N116" s="111"/>
      <c r="O116" s="111"/>
      <c r="P116" s="111"/>
      <c r="Q116" s="111"/>
      <c r="R116" s="111"/>
      <c r="S116" s="111"/>
      <c r="T116" s="111"/>
      <c r="U116" s="111"/>
      <c r="V116" s="111"/>
      <c r="W116" s="111"/>
      <c r="X116" s="111"/>
      <c r="Y116" s="111"/>
    </row>
    <row r="117" spans="4:25" x14ac:dyDescent="0.25">
      <c r="D117" s="82"/>
      <c r="F117" s="14" t="s">
        <v>313</v>
      </c>
      <c r="G117" s="293" t="s">
        <v>174</v>
      </c>
      <c r="J117" s="371" t="b">
        <v>0</v>
      </c>
      <c r="K117" s="371" t="b">
        <v>0</v>
      </c>
      <c r="L117" s="371" t="b">
        <v>0</v>
      </c>
      <c r="M117" s="371" t="b">
        <v>0</v>
      </c>
      <c r="N117" s="371" t="b">
        <v>0</v>
      </c>
      <c r="O117" s="371" t="b">
        <v>0</v>
      </c>
      <c r="P117" s="371" t="b">
        <v>0</v>
      </c>
      <c r="Q117" s="371" t="b">
        <v>0</v>
      </c>
      <c r="R117" s="371" t="b">
        <v>1</v>
      </c>
      <c r="S117" s="371" t="b">
        <v>1</v>
      </c>
      <c r="T117" s="371" t="b">
        <v>1</v>
      </c>
      <c r="U117" s="371" t="b">
        <v>1</v>
      </c>
      <c r="V117" s="371" t="b">
        <v>1</v>
      </c>
      <c r="W117" s="371" t="b">
        <v>1</v>
      </c>
      <c r="X117" s="371" t="b">
        <v>1</v>
      </c>
      <c r="Y117" s="371" t="b">
        <v>1</v>
      </c>
    </row>
    <row r="118" spans="4:25" x14ac:dyDescent="0.25">
      <c r="D118" s="82"/>
      <c r="E118" s="14"/>
      <c r="F118" s="14" t="s">
        <v>314</v>
      </c>
      <c r="G118" s="293" t="s">
        <v>94</v>
      </c>
      <c r="J118" s="370"/>
      <c r="K118" s="370"/>
      <c r="L118" s="370"/>
      <c r="M118" s="370"/>
      <c r="N118" s="370"/>
      <c r="O118" s="370"/>
      <c r="P118" s="370"/>
      <c r="Q118" s="370"/>
      <c r="R118" s="372">
        <v>0</v>
      </c>
      <c r="S118" s="372">
        <v>0</v>
      </c>
      <c r="T118" s="372">
        <v>0</v>
      </c>
      <c r="U118" s="372">
        <v>0</v>
      </c>
      <c r="V118" s="372">
        <v>0</v>
      </c>
      <c r="W118" s="372">
        <v>0</v>
      </c>
      <c r="X118" s="372">
        <v>0</v>
      </c>
      <c r="Y118" s="372">
        <v>0</v>
      </c>
    </row>
    <row r="119" spans="4:25" x14ac:dyDescent="0.25">
      <c r="D119" s="82"/>
      <c r="E119" s="14"/>
      <c r="F119" s="14"/>
      <c r="J119" s="111"/>
      <c r="K119" s="111"/>
      <c r="L119" s="111"/>
      <c r="M119" s="111"/>
      <c r="N119" s="111"/>
      <c r="O119" s="111"/>
      <c r="P119" s="111"/>
      <c r="Q119" s="111"/>
      <c r="R119" s="111"/>
      <c r="S119" s="111"/>
      <c r="T119" s="111"/>
      <c r="U119" s="111"/>
      <c r="V119" s="111"/>
      <c r="W119" s="111"/>
      <c r="X119" s="111"/>
      <c r="Y119" s="111"/>
    </row>
    <row r="120" spans="4:25" x14ac:dyDescent="0.25">
      <c r="D120" s="82"/>
      <c r="E120" s="96" t="s">
        <v>77</v>
      </c>
      <c r="F120" s="14"/>
      <c r="J120" s="111"/>
      <c r="K120" s="111"/>
      <c r="L120" s="111"/>
      <c r="M120" s="111"/>
      <c r="N120" s="111"/>
      <c r="O120" s="111"/>
      <c r="P120" s="111"/>
      <c r="Q120" s="111"/>
      <c r="R120" s="111"/>
      <c r="S120" s="111"/>
      <c r="T120" s="111"/>
      <c r="U120" s="111"/>
      <c r="V120" s="111"/>
      <c r="W120" s="111"/>
      <c r="X120" s="111"/>
      <c r="Y120" s="111"/>
    </row>
    <row r="121" spans="4:25" x14ac:dyDescent="0.25">
      <c r="D121" s="82"/>
      <c r="F121" s="14" t="s">
        <v>313</v>
      </c>
      <c r="G121" s="293" t="s">
        <v>174</v>
      </c>
      <c r="J121" s="371" t="b">
        <v>0</v>
      </c>
      <c r="K121" s="371" t="b">
        <v>0</v>
      </c>
      <c r="L121" s="371" t="b">
        <v>0</v>
      </c>
      <c r="M121" s="371" t="b">
        <v>0</v>
      </c>
      <c r="N121" s="371" t="b">
        <v>0</v>
      </c>
      <c r="O121" s="371" t="b">
        <v>0</v>
      </c>
      <c r="P121" s="371" t="b">
        <v>0</v>
      </c>
      <c r="Q121" s="371" t="b">
        <v>0</v>
      </c>
      <c r="R121" s="371" t="b">
        <v>1</v>
      </c>
      <c r="S121" s="371" t="b">
        <v>1</v>
      </c>
      <c r="T121" s="371" t="b">
        <v>1</v>
      </c>
      <c r="U121" s="371" t="b">
        <v>1</v>
      </c>
      <c r="V121" s="371" t="b">
        <v>1</v>
      </c>
      <c r="W121" s="371" t="b">
        <v>1</v>
      </c>
      <c r="X121" s="371" t="b">
        <v>1</v>
      </c>
      <c r="Y121" s="371" t="b">
        <v>1</v>
      </c>
    </row>
    <row r="122" spans="4:25" x14ac:dyDescent="0.25">
      <c r="D122" s="82"/>
      <c r="E122" s="14"/>
      <c r="F122" s="14" t="s">
        <v>314</v>
      </c>
      <c r="G122" s="293" t="s">
        <v>94</v>
      </c>
      <c r="J122" s="370"/>
      <c r="K122" s="370"/>
      <c r="L122" s="370"/>
      <c r="M122" s="370"/>
      <c r="N122" s="370"/>
      <c r="O122" s="370"/>
      <c r="P122" s="370"/>
      <c r="Q122" s="370"/>
      <c r="R122" s="372">
        <v>0</v>
      </c>
      <c r="S122" s="372">
        <v>0</v>
      </c>
      <c r="T122" s="372">
        <v>0</v>
      </c>
      <c r="U122" s="372">
        <v>0</v>
      </c>
      <c r="V122" s="372">
        <v>0</v>
      </c>
      <c r="W122" s="372">
        <v>0</v>
      </c>
      <c r="X122" s="372">
        <v>0</v>
      </c>
      <c r="Y122" s="372">
        <v>0</v>
      </c>
    </row>
    <row r="123" spans="4:25" x14ac:dyDescent="0.25">
      <c r="D123" s="82"/>
      <c r="E123" s="82"/>
      <c r="J123" s="111"/>
      <c r="K123" s="111"/>
      <c r="L123" s="111"/>
      <c r="M123" s="111"/>
      <c r="N123" s="111"/>
      <c r="O123" s="111"/>
      <c r="P123" s="111"/>
      <c r="Q123" s="111"/>
      <c r="R123" s="111"/>
      <c r="S123" s="111"/>
      <c r="T123" s="111"/>
      <c r="U123" s="111"/>
      <c r="V123" s="111"/>
      <c r="W123" s="111"/>
      <c r="X123" s="111"/>
      <c r="Y123" s="111"/>
    </row>
    <row r="124" spans="4:25" x14ac:dyDescent="0.25">
      <c r="E124" s="96" t="s">
        <v>242</v>
      </c>
      <c r="J124" s="111"/>
      <c r="K124" s="111"/>
      <c r="L124" s="111"/>
      <c r="M124" s="111"/>
      <c r="N124" s="111"/>
      <c r="O124" s="111"/>
      <c r="P124" s="111"/>
      <c r="Q124" s="111"/>
      <c r="R124" s="111"/>
      <c r="S124" s="111"/>
      <c r="T124" s="111"/>
      <c r="U124" s="111"/>
      <c r="V124" s="111"/>
      <c r="W124" s="111"/>
      <c r="X124" s="111"/>
      <c r="Y124" s="111"/>
    </row>
    <row r="125" spans="4:25" x14ac:dyDescent="0.25">
      <c r="E125" s="82" t="s">
        <v>764</v>
      </c>
      <c r="J125" s="111"/>
      <c r="K125" s="111"/>
      <c r="L125" s="111"/>
      <c r="M125" s="111"/>
      <c r="N125" s="111"/>
      <c r="O125" s="111"/>
      <c r="P125" s="111"/>
      <c r="Q125" s="111"/>
      <c r="R125" s="111"/>
      <c r="S125" s="111"/>
      <c r="T125" s="111"/>
      <c r="U125" s="111"/>
      <c r="V125" s="111"/>
      <c r="W125" s="111"/>
      <c r="X125" s="111"/>
      <c r="Y125" s="111"/>
    </row>
    <row r="126" spans="4:25" x14ac:dyDescent="0.25">
      <c r="E126" s="82" t="s">
        <v>511</v>
      </c>
      <c r="J126" s="111"/>
      <c r="K126" s="111"/>
      <c r="L126" s="111"/>
      <c r="M126" s="111"/>
      <c r="N126" s="111"/>
      <c r="O126" s="111"/>
      <c r="P126" s="111"/>
      <c r="Q126" s="111"/>
      <c r="R126" s="111"/>
      <c r="S126" s="111"/>
      <c r="T126" s="111"/>
      <c r="U126" s="111"/>
      <c r="V126" s="111"/>
      <c r="W126" s="111"/>
      <c r="X126" s="111"/>
      <c r="Y126" s="111"/>
    </row>
    <row r="127" spans="4:25" x14ac:dyDescent="0.25">
      <c r="E127" s="82"/>
      <c r="F127" s="293" t="s">
        <v>242</v>
      </c>
      <c r="G127" s="293" t="s">
        <v>174</v>
      </c>
      <c r="J127" s="371" t="b">
        <v>0</v>
      </c>
      <c r="K127" s="371" t="b">
        <v>0</v>
      </c>
      <c r="L127" s="371" t="b">
        <v>0</v>
      </c>
      <c r="M127" s="371" t="b">
        <v>0</v>
      </c>
      <c r="N127" s="371" t="b">
        <v>0</v>
      </c>
      <c r="O127" s="371" t="b">
        <v>0</v>
      </c>
      <c r="P127" s="371" t="b">
        <v>0</v>
      </c>
      <c r="Q127" s="371" t="b">
        <v>1</v>
      </c>
      <c r="R127" s="371" t="b">
        <v>0</v>
      </c>
      <c r="S127" s="371" t="b">
        <v>0</v>
      </c>
      <c r="T127" s="371" t="b">
        <v>0</v>
      </c>
      <c r="U127" s="371" t="b">
        <v>0</v>
      </c>
      <c r="V127" s="371" t="b">
        <v>0</v>
      </c>
      <c r="W127" s="371" t="b">
        <v>0</v>
      </c>
      <c r="X127" s="371" t="b">
        <v>0</v>
      </c>
      <c r="Y127" s="371" t="b">
        <v>0</v>
      </c>
    </row>
    <row r="128" spans="4:25" x14ac:dyDescent="0.25">
      <c r="E128" s="82"/>
      <c r="J128" s="111"/>
      <c r="K128" s="111"/>
      <c r="L128" s="111"/>
      <c r="M128" s="111"/>
      <c r="N128" s="111"/>
      <c r="O128" s="111"/>
      <c r="P128" s="111"/>
      <c r="Q128" s="111"/>
      <c r="R128" s="111"/>
      <c r="S128" s="111"/>
      <c r="T128" s="111"/>
      <c r="U128" s="111"/>
      <c r="V128" s="111"/>
      <c r="W128" s="111"/>
      <c r="X128" s="111"/>
      <c r="Y128" s="111"/>
    </row>
    <row r="129" spans="3:43" x14ac:dyDescent="0.25">
      <c r="E129" s="96" t="s">
        <v>540</v>
      </c>
      <c r="J129" s="111"/>
      <c r="K129" s="111"/>
      <c r="L129" s="111"/>
      <c r="M129" s="111"/>
      <c r="N129" s="111"/>
      <c r="O129" s="111"/>
      <c r="P129" s="111"/>
      <c r="Q129" s="111"/>
      <c r="R129" s="111"/>
      <c r="S129" s="111"/>
      <c r="T129" s="111"/>
      <c r="U129" s="111"/>
      <c r="V129" s="111"/>
      <c r="W129" s="111"/>
      <c r="X129" s="111"/>
      <c r="Y129" s="111"/>
    </row>
    <row r="130" spans="3:43" x14ac:dyDescent="0.25">
      <c r="E130" s="82" t="s">
        <v>284</v>
      </c>
      <c r="J130" s="111"/>
      <c r="K130" s="111"/>
      <c r="L130" s="111"/>
      <c r="M130" s="111"/>
      <c r="N130" s="111"/>
      <c r="O130" s="111"/>
      <c r="P130" s="111"/>
      <c r="Q130" s="111"/>
      <c r="R130" s="111"/>
      <c r="S130" s="111"/>
      <c r="T130" s="111"/>
      <c r="U130" s="111"/>
      <c r="V130" s="111"/>
      <c r="W130" s="111"/>
      <c r="X130" s="111"/>
      <c r="Y130" s="111"/>
    </row>
    <row r="131" spans="3:43" x14ac:dyDescent="0.25">
      <c r="E131" s="82"/>
      <c r="F131" s="293" t="s">
        <v>447</v>
      </c>
      <c r="G131" s="293" t="s">
        <v>174</v>
      </c>
      <c r="J131" s="371" t="b">
        <v>1</v>
      </c>
      <c r="K131" s="371" t="b">
        <v>0</v>
      </c>
      <c r="L131" s="371" t="b">
        <v>1</v>
      </c>
      <c r="M131" s="371" t="b">
        <v>0</v>
      </c>
      <c r="N131" s="371" t="b">
        <v>1</v>
      </c>
      <c r="O131" s="371" t="b">
        <v>1</v>
      </c>
      <c r="P131" s="371" t="b">
        <v>1</v>
      </c>
      <c r="Q131" s="371" t="b">
        <v>1</v>
      </c>
      <c r="R131" s="371" t="b">
        <v>1</v>
      </c>
      <c r="S131" s="371" t="b">
        <v>1</v>
      </c>
      <c r="T131" s="371" t="b">
        <v>1</v>
      </c>
      <c r="U131" s="371" t="b">
        <v>1</v>
      </c>
      <c r="V131" s="371" t="b">
        <v>1</v>
      </c>
      <c r="W131" s="371" t="b">
        <v>1</v>
      </c>
      <c r="X131" s="371" t="b">
        <v>1</v>
      </c>
      <c r="Y131" s="371" t="b">
        <v>1</v>
      </c>
    </row>
    <row r="132" spans="3:43" x14ac:dyDescent="0.25">
      <c r="D132" s="82"/>
      <c r="J132" s="111"/>
      <c r="K132" s="111"/>
      <c r="L132" s="111"/>
      <c r="M132" s="111"/>
      <c r="N132" s="111"/>
      <c r="O132" s="111"/>
      <c r="P132" s="111"/>
      <c r="Q132" s="111"/>
      <c r="R132" s="111"/>
      <c r="S132" s="111"/>
      <c r="T132" s="111"/>
      <c r="U132" s="111"/>
      <c r="V132" s="111"/>
      <c r="W132" s="111"/>
      <c r="X132" s="111"/>
      <c r="Y132" s="111"/>
    </row>
    <row r="133" spans="3:43" x14ac:dyDescent="0.25">
      <c r="E133" s="96" t="s">
        <v>303</v>
      </c>
      <c r="I133" s="293" t="s">
        <v>359</v>
      </c>
      <c r="J133" s="111"/>
      <c r="K133" s="111"/>
      <c r="L133" s="111"/>
      <c r="M133" s="111"/>
      <c r="N133" s="111"/>
      <c r="O133" s="111"/>
      <c r="P133" s="111"/>
      <c r="Q133" s="111"/>
      <c r="R133" s="111"/>
      <c r="S133" s="111"/>
      <c r="T133" s="111"/>
      <c r="U133" s="111"/>
      <c r="V133" s="111"/>
      <c r="W133" s="111"/>
      <c r="X133" s="111"/>
      <c r="Y133" s="111"/>
      <c r="AQ133" s="293" t="s">
        <v>731</v>
      </c>
    </row>
    <row r="134" spans="3:43" x14ac:dyDescent="0.25">
      <c r="E134" s="82" t="s">
        <v>532</v>
      </c>
      <c r="J134" s="111"/>
      <c r="K134" s="111"/>
      <c r="L134" s="111"/>
      <c r="M134" s="111"/>
      <c r="N134" s="111"/>
      <c r="O134" s="111"/>
      <c r="P134" s="111"/>
      <c r="Q134" s="111"/>
      <c r="R134" s="111"/>
      <c r="S134" s="111"/>
      <c r="T134" s="111"/>
      <c r="U134" s="111"/>
      <c r="V134" s="111"/>
      <c r="W134" s="111"/>
      <c r="X134" s="111"/>
      <c r="Y134" s="111"/>
    </row>
    <row r="135" spans="3:43" x14ac:dyDescent="0.25">
      <c r="E135" s="82" t="s">
        <v>533</v>
      </c>
      <c r="J135" s="111"/>
      <c r="K135" s="111"/>
      <c r="L135" s="111"/>
      <c r="M135" s="111"/>
      <c r="N135" s="111"/>
      <c r="O135" s="111"/>
      <c r="P135" s="111"/>
      <c r="Q135" s="111"/>
      <c r="R135" s="111"/>
      <c r="S135" s="111"/>
      <c r="T135" s="111"/>
      <c r="U135" s="111"/>
      <c r="V135" s="111"/>
      <c r="W135" s="111"/>
      <c r="X135" s="111"/>
      <c r="Y135" s="111"/>
    </row>
    <row r="136" spans="3:43" x14ac:dyDescent="0.25">
      <c r="E136" s="82"/>
      <c r="F136" s="293" t="s">
        <v>255</v>
      </c>
      <c r="G136" s="293" t="s">
        <v>132</v>
      </c>
      <c r="J136" s="371">
        <v>0</v>
      </c>
      <c r="K136" s="371">
        <v>0</v>
      </c>
      <c r="L136" s="371">
        <v>0</v>
      </c>
      <c r="M136" s="371">
        <v>0</v>
      </c>
      <c r="N136" s="371">
        <v>1</v>
      </c>
      <c r="O136" s="371">
        <v>1</v>
      </c>
      <c r="P136" s="371">
        <v>1</v>
      </c>
      <c r="Q136" s="371">
        <v>0</v>
      </c>
      <c r="R136" s="371">
        <v>0</v>
      </c>
      <c r="S136" s="371">
        <v>0</v>
      </c>
      <c r="T136" s="371">
        <v>0</v>
      </c>
      <c r="U136" s="371">
        <v>0</v>
      </c>
      <c r="V136" s="371">
        <v>0</v>
      </c>
      <c r="W136" s="371">
        <v>0</v>
      </c>
      <c r="X136" s="371">
        <v>0</v>
      </c>
      <c r="Y136" s="371">
        <v>0</v>
      </c>
    </row>
    <row r="137" spans="3:43" x14ac:dyDescent="0.25">
      <c r="E137" s="82"/>
      <c r="F137" s="293" t="s">
        <v>256</v>
      </c>
      <c r="G137" s="293" t="s">
        <v>132</v>
      </c>
      <c r="J137" s="371">
        <v>0</v>
      </c>
      <c r="K137" s="371">
        <v>0</v>
      </c>
      <c r="L137" s="371">
        <v>0</v>
      </c>
      <c r="M137" s="371">
        <v>0</v>
      </c>
      <c r="N137" s="371">
        <v>1</v>
      </c>
      <c r="O137" s="371">
        <v>1</v>
      </c>
      <c r="P137" s="371">
        <v>1</v>
      </c>
      <c r="Q137" s="371">
        <v>0</v>
      </c>
      <c r="R137" s="371">
        <v>0</v>
      </c>
      <c r="S137" s="371">
        <v>0</v>
      </c>
      <c r="T137" s="371">
        <v>0</v>
      </c>
      <c r="U137" s="371">
        <v>0</v>
      </c>
      <c r="V137" s="371">
        <v>0</v>
      </c>
      <c r="W137" s="371">
        <v>0</v>
      </c>
      <c r="X137" s="371">
        <v>0</v>
      </c>
      <c r="Y137" s="371">
        <v>0</v>
      </c>
    </row>
    <row r="138" spans="3:43" x14ac:dyDescent="0.25">
      <c r="E138" s="82"/>
      <c r="F138" s="293" t="s">
        <v>304</v>
      </c>
      <c r="G138" s="293" t="s">
        <v>132</v>
      </c>
      <c r="J138" s="371">
        <v>0</v>
      </c>
      <c r="K138" s="371">
        <v>0</v>
      </c>
      <c r="L138" s="371">
        <v>0</v>
      </c>
      <c r="M138" s="371">
        <v>0</v>
      </c>
      <c r="N138" s="371">
        <v>1</v>
      </c>
      <c r="O138" s="371">
        <v>1</v>
      </c>
      <c r="P138" s="371">
        <v>1</v>
      </c>
      <c r="Q138" s="371">
        <v>0</v>
      </c>
      <c r="R138" s="371">
        <v>0</v>
      </c>
      <c r="S138" s="371">
        <v>0</v>
      </c>
      <c r="T138" s="371">
        <v>1</v>
      </c>
      <c r="U138" s="371">
        <v>0</v>
      </c>
      <c r="V138" s="371">
        <v>1</v>
      </c>
      <c r="W138" s="371">
        <v>0</v>
      </c>
      <c r="X138" s="371">
        <v>1</v>
      </c>
      <c r="Y138" s="371">
        <v>0</v>
      </c>
    </row>
    <row r="139" spans="3:43" x14ac:dyDescent="0.25">
      <c r="E139" s="82"/>
      <c r="F139" s="293" t="s">
        <v>308</v>
      </c>
      <c r="G139" s="293" t="s">
        <v>132</v>
      </c>
      <c r="J139" s="371">
        <v>1</v>
      </c>
      <c r="K139" s="371">
        <v>0</v>
      </c>
      <c r="L139" s="371">
        <v>1</v>
      </c>
      <c r="M139" s="371">
        <v>0</v>
      </c>
      <c r="N139" s="371">
        <v>0</v>
      </c>
      <c r="O139" s="371">
        <v>0</v>
      </c>
      <c r="P139" s="371">
        <v>0</v>
      </c>
      <c r="Q139" s="371">
        <v>0</v>
      </c>
      <c r="R139" s="371">
        <v>0</v>
      </c>
      <c r="S139" s="371">
        <v>0</v>
      </c>
      <c r="T139" s="371">
        <v>0</v>
      </c>
      <c r="U139" s="371">
        <v>0</v>
      </c>
      <c r="V139" s="371">
        <v>0</v>
      </c>
      <c r="W139" s="371">
        <v>0</v>
      </c>
      <c r="X139" s="371">
        <v>0</v>
      </c>
      <c r="Y139" s="371">
        <v>0</v>
      </c>
    </row>
    <row r="140" spans="3:43" x14ac:dyDescent="0.25">
      <c r="D140" s="82"/>
      <c r="J140" s="111"/>
      <c r="K140" s="111"/>
      <c r="L140" s="111"/>
      <c r="M140" s="111"/>
      <c r="N140" s="111"/>
      <c r="O140" s="111"/>
      <c r="P140" s="111"/>
      <c r="Q140" s="111"/>
      <c r="R140" s="111"/>
      <c r="S140" s="111"/>
      <c r="T140" s="111"/>
      <c r="U140" s="111"/>
      <c r="V140" s="111"/>
      <c r="W140" s="111"/>
      <c r="X140" s="111"/>
      <c r="Y140" s="111"/>
    </row>
    <row r="141" spans="3:43" x14ac:dyDescent="0.25">
      <c r="C141" s="7" t="str">
        <f ca="1">INDEX('Version control'!$H$35:$H$61,MATCH($A$1,'Version control'!$F$35:$F$61,0),1)&amp;"-G: Identifiers for customer groupings"</f>
        <v>Input 504-G: Identifiers for customer groupings</v>
      </c>
      <c r="D141" s="7"/>
      <c r="E141" s="7"/>
      <c r="F141" s="7"/>
      <c r="G141" s="7"/>
      <c r="H141" s="7"/>
      <c r="I141" s="7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  <c r="Z141" s="7"/>
      <c r="AA141" s="7"/>
      <c r="AB141" s="7"/>
      <c r="AC141" s="7"/>
      <c r="AD141" s="7"/>
      <c r="AE141" s="7"/>
      <c r="AF141" s="7"/>
      <c r="AG141" s="7"/>
      <c r="AH141" s="7"/>
      <c r="AI141" s="7"/>
      <c r="AJ141" s="7"/>
      <c r="AK141" s="7"/>
      <c r="AL141" s="7"/>
      <c r="AM141" s="7"/>
      <c r="AN141" s="7"/>
      <c r="AO141" s="7"/>
      <c r="AP141" s="7"/>
      <c r="AQ141" s="7"/>
    </row>
    <row r="143" spans="3:43" x14ac:dyDescent="0.25">
      <c r="E143" s="96" t="s">
        <v>309</v>
      </c>
      <c r="F143" s="96"/>
    </row>
    <row r="144" spans="3:43" x14ac:dyDescent="0.25">
      <c r="E144" s="82" t="s">
        <v>651</v>
      </c>
      <c r="F144" s="82"/>
      <c r="I144" s="293" t="s">
        <v>359</v>
      </c>
      <c r="AQ144" s="293" t="s">
        <v>995</v>
      </c>
    </row>
    <row r="145" spans="1:44" x14ac:dyDescent="0.25">
      <c r="E145" s="82"/>
      <c r="F145" s="14" t="s">
        <v>309</v>
      </c>
      <c r="G145" s="293" t="s">
        <v>426</v>
      </c>
      <c r="J145" s="339">
        <v>1</v>
      </c>
      <c r="K145" s="370"/>
      <c r="L145" s="339">
        <v>1</v>
      </c>
      <c r="M145" s="370"/>
      <c r="N145" s="370"/>
      <c r="O145" s="370"/>
      <c r="P145" s="370"/>
      <c r="Q145" s="370"/>
      <c r="R145" s="370"/>
      <c r="S145" s="370"/>
      <c r="T145" s="370"/>
      <c r="U145" s="370"/>
      <c r="V145" s="370"/>
      <c r="W145" s="370"/>
      <c r="X145" s="370"/>
      <c r="Y145" s="370"/>
    </row>
    <row r="146" spans="1:44" x14ac:dyDescent="0.25">
      <c r="E146" s="82"/>
      <c r="F146" s="82"/>
    </row>
    <row r="147" spans="1:44" x14ac:dyDescent="0.25">
      <c r="E147" s="96" t="s">
        <v>942</v>
      </c>
      <c r="F147" s="96"/>
      <c r="I147" s="293" t="s">
        <v>359</v>
      </c>
      <c r="AQ147" s="293" t="s">
        <v>943</v>
      </c>
    </row>
    <row r="148" spans="1:44" x14ac:dyDescent="0.25">
      <c r="E148" s="82" t="s">
        <v>944</v>
      </c>
      <c r="F148" s="82"/>
    </row>
    <row r="149" spans="1:44" x14ac:dyDescent="0.25">
      <c r="E149" s="82"/>
      <c r="F149" s="14" t="s">
        <v>945</v>
      </c>
      <c r="G149" s="293" t="s">
        <v>426</v>
      </c>
      <c r="J149" s="339">
        <v>1</v>
      </c>
      <c r="K149" s="339">
        <v>1</v>
      </c>
      <c r="L149" s="339">
        <v>2</v>
      </c>
      <c r="M149" s="339">
        <v>2</v>
      </c>
      <c r="N149" s="339">
        <v>3</v>
      </c>
      <c r="O149" s="339">
        <v>4</v>
      </c>
      <c r="P149" s="339">
        <v>5</v>
      </c>
      <c r="Q149" s="370"/>
      <c r="R149" s="370"/>
      <c r="S149" s="370"/>
      <c r="T149" s="370"/>
      <c r="U149" s="370"/>
      <c r="V149" s="370"/>
      <c r="W149" s="370"/>
      <c r="X149" s="370"/>
      <c r="Y149" s="370"/>
    </row>
    <row r="150" spans="1:44" x14ac:dyDescent="0.25">
      <c r="E150" s="82"/>
      <c r="F150" s="82"/>
    </row>
    <row r="151" spans="1:44" x14ac:dyDescent="0.25">
      <c r="C151" s="7" t="str">
        <f ca="1">INDEX('Version control'!$H$35:$H$61,MATCH($A$1,'Version control'!$F$35:$F$61,0),1)&amp;"-H: Decimal places for error checks"</f>
        <v>Input 504-H: Decimal places for error checks</v>
      </c>
      <c r="D151" s="7"/>
      <c r="E151" s="7"/>
      <c r="F151" s="7"/>
      <c r="G151" s="7"/>
      <c r="H151" s="7"/>
      <c r="I151" s="7"/>
      <c r="J151" s="7"/>
      <c r="K151" s="7"/>
      <c r="L151" s="7"/>
      <c r="M151" s="7"/>
      <c r="N151" s="7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/>
      <c r="Z151" s="7"/>
      <c r="AA151" s="7"/>
      <c r="AB151" s="7"/>
      <c r="AC151" s="7"/>
      <c r="AD151" s="7"/>
      <c r="AE151" s="7"/>
      <c r="AF151" s="7"/>
      <c r="AG151" s="7"/>
      <c r="AH151" s="7"/>
      <c r="AI151" s="7"/>
      <c r="AJ151" s="7"/>
      <c r="AK151" s="7"/>
      <c r="AL151" s="7"/>
      <c r="AM151" s="7"/>
      <c r="AN151" s="7"/>
      <c r="AO151" s="7"/>
      <c r="AP151" s="7"/>
      <c r="AQ151" s="7"/>
    </row>
    <row r="153" spans="1:44" x14ac:dyDescent="0.25">
      <c r="E153" s="293" t="s">
        <v>537</v>
      </c>
      <c r="G153" s="293" t="s">
        <v>426</v>
      </c>
      <c r="H153" s="339">
        <v>3</v>
      </c>
    </row>
    <row r="155" spans="1:44" x14ac:dyDescent="0.25">
      <c r="C155" s="7" t="str">
        <f ca="1">INDEX('Version control'!$H$35:$H$61,MATCH($A$1,'Version control'!$F$35:$F$61,0),1)&amp;"-I: Map of applicable MPANs"</f>
        <v>Input 504-I: Map of applicable MPANs</v>
      </c>
      <c r="D155" s="7"/>
      <c r="E155" s="7"/>
      <c r="F155" s="7"/>
      <c r="G155" s="7"/>
      <c r="H155" s="7"/>
      <c r="I155" s="7"/>
      <c r="J155" s="7"/>
      <c r="K155" s="7"/>
      <c r="L155" s="7"/>
      <c r="M155" s="7"/>
      <c r="N155" s="7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  <c r="Z155" s="7"/>
      <c r="AA155" s="7"/>
      <c r="AB155" s="7"/>
      <c r="AC155" s="7"/>
      <c r="AD155" s="7"/>
      <c r="AE155" s="7"/>
      <c r="AF155" s="7"/>
      <c r="AG155" s="7"/>
      <c r="AH155" s="7"/>
      <c r="AI155" s="7"/>
      <c r="AJ155" s="7"/>
      <c r="AK155" s="7"/>
      <c r="AL155" s="7"/>
      <c r="AM155" s="7"/>
      <c r="AN155" s="7"/>
      <c r="AO155" s="7"/>
      <c r="AP155" s="7"/>
      <c r="AQ155" s="7"/>
      <c r="AR155" s="7"/>
    </row>
    <row r="157" spans="1:44" x14ac:dyDescent="0.25">
      <c r="C157" s="86"/>
      <c r="D157" s="98"/>
      <c r="E157" s="96" t="s">
        <v>970</v>
      </c>
      <c r="I157" s="293" t="s">
        <v>359</v>
      </c>
      <c r="J157" s="252"/>
      <c r="K157" s="252"/>
      <c r="L157" s="252"/>
      <c r="M157" s="252"/>
      <c r="N157" s="252"/>
      <c r="O157" s="252"/>
      <c r="P157" s="252"/>
      <c r="Q157" s="252"/>
      <c r="R157" s="252"/>
      <c r="S157" s="252"/>
      <c r="T157" s="252"/>
      <c r="U157" s="252"/>
      <c r="V157" s="252"/>
      <c r="W157" s="252"/>
      <c r="X157" s="252"/>
      <c r="Y157" s="252"/>
      <c r="Z157" s="252"/>
      <c r="AA157" s="252"/>
      <c r="AB157" s="252"/>
      <c r="AC157" s="252"/>
      <c r="AD157" s="252"/>
      <c r="AE157" s="252"/>
      <c r="AF157" s="252"/>
      <c r="AG157" s="252"/>
      <c r="AH157" s="252"/>
      <c r="AI157" s="252"/>
      <c r="AJ157" s="252"/>
      <c r="AK157" s="252"/>
      <c r="AL157" s="252"/>
      <c r="AM157" s="252"/>
      <c r="AN157" s="252"/>
      <c r="AO157" s="252"/>
      <c r="AP157" s="252"/>
      <c r="AQ157" s="252" t="s">
        <v>990</v>
      </c>
      <c r="AR157" s="252"/>
    </row>
    <row r="158" spans="1:44" x14ac:dyDescent="0.25">
      <c r="C158" s="86"/>
      <c r="D158" s="98"/>
      <c r="F158" s="91" t="s">
        <v>958</v>
      </c>
      <c r="G158" s="91" t="s">
        <v>132</v>
      </c>
      <c r="H158" s="91"/>
      <c r="I158" s="91"/>
      <c r="J158" s="455">
        <v>1</v>
      </c>
      <c r="K158" s="455">
        <v>0</v>
      </c>
      <c r="L158" s="455">
        <v>0</v>
      </c>
      <c r="M158" s="455">
        <v>0</v>
      </c>
      <c r="N158" s="455">
        <v>0</v>
      </c>
      <c r="O158" s="455">
        <v>0</v>
      </c>
      <c r="P158" s="455">
        <v>0</v>
      </c>
      <c r="Q158" s="455">
        <v>0</v>
      </c>
      <c r="R158" s="455">
        <v>0</v>
      </c>
      <c r="S158" s="455">
        <v>0</v>
      </c>
      <c r="T158" s="455">
        <v>0</v>
      </c>
      <c r="U158" s="455">
        <v>0</v>
      </c>
      <c r="V158" s="455">
        <v>0</v>
      </c>
      <c r="W158" s="455">
        <v>0</v>
      </c>
      <c r="X158" s="455">
        <v>0</v>
      </c>
      <c r="Y158" s="455">
        <v>0</v>
      </c>
      <c r="Z158" s="252"/>
      <c r="AA158" s="252"/>
      <c r="AB158" s="252"/>
      <c r="AC158" s="252"/>
      <c r="AD158" s="252"/>
      <c r="AE158" s="252"/>
      <c r="AF158" s="252"/>
      <c r="AG158" s="252"/>
      <c r="AH158" s="252"/>
      <c r="AI158" s="252"/>
      <c r="AJ158" s="252"/>
      <c r="AK158" s="252"/>
      <c r="AL158" s="252"/>
      <c r="AM158" s="252"/>
      <c r="AN158" s="252"/>
      <c r="AO158" s="252"/>
      <c r="AP158" s="252"/>
      <c r="AQ158" s="252"/>
      <c r="AR158" s="252"/>
    </row>
    <row r="159" spans="1:44" s="533" customFormat="1" x14ac:dyDescent="0.25">
      <c r="C159" s="537"/>
      <c r="D159" s="538"/>
      <c r="F159" s="534" t="s">
        <v>959</v>
      </c>
      <c r="G159" s="534" t="s">
        <v>132</v>
      </c>
      <c r="H159" s="534"/>
      <c r="I159" s="534"/>
      <c r="J159" s="469">
        <v>1</v>
      </c>
      <c r="K159" s="469">
        <v>0</v>
      </c>
      <c r="L159" s="469">
        <v>1</v>
      </c>
      <c r="M159" s="469">
        <v>0</v>
      </c>
      <c r="N159" s="469">
        <v>1</v>
      </c>
      <c r="O159" s="469">
        <v>1</v>
      </c>
      <c r="P159" s="469">
        <v>1</v>
      </c>
      <c r="Q159" s="469">
        <v>0</v>
      </c>
      <c r="R159" s="469">
        <v>0</v>
      </c>
      <c r="S159" s="469">
        <v>0</v>
      </c>
      <c r="T159" s="469">
        <v>0</v>
      </c>
      <c r="U159" s="469">
        <v>0</v>
      </c>
      <c r="V159" s="469">
        <v>0</v>
      </c>
      <c r="W159" s="469">
        <v>0</v>
      </c>
      <c r="X159" s="469">
        <v>0</v>
      </c>
      <c r="Y159" s="469">
        <v>0</v>
      </c>
      <c r="Z159" s="549"/>
      <c r="AA159" s="549"/>
      <c r="AB159" s="549"/>
      <c r="AC159" s="549"/>
      <c r="AD159" s="549"/>
      <c r="AE159" s="549"/>
      <c r="AF159" s="549"/>
      <c r="AG159" s="549"/>
      <c r="AH159" s="549"/>
      <c r="AI159" s="549"/>
      <c r="AJ159" s="549"/>
      <c r="AK159" s="549"/>
      <c r="AL159" s="549"/>
      <c r="AM159" s="549"/>
      <c r="AN159" s="549"/>
      <c r="AO159" s="549"/>
      <c r="AP159" s="549"/>
      <c r="AQ159" s="549"/>
      <c r="AR159" s="549"/>
    </row>
    <row r="160" spans="1:44" s="5" customFormat="1" x14ac:dyDescent="0.25">
      <c r="A160" s="533"/>
      <c r="C160" s="550"/>
      <c r="D160" s="551"/>
      <c r="F160" s="19" t="s">
        <v>1248</v>
      </c>
      <c r="G160" s="19" t="s">
        <v>132</v>
      </c>
      <c r="H160" s="19"/>
      <c r="I160" s="19"/>
      <c r="J160" s="456">
        <v>1</v>
      </c>
      <c r="K160" s="456">
        <v>0</v>
      </c>
      <c r="L160" s="456">
        <v>1</v>
      </c>
      <c r="M160" s="456">
        <v>0</v>
      </c>
      <c r="N160" s="456">
        <v>1</v>
      </c>
      <c r="O160" s="456">
        <v>1</v>
      </c>
      <c r="P160" s="456">
        <v>1</v>
      </c>
      <c r="Q160" s="456">
        <v>0</v>
      </c>
      <c r="R160" s="456">
        <v>0</v>
      </c>
      <c r="S160" s="456">
        <v>0</v>
      </c>
      <c r="T160" s="456">
        <v>0</v>
      </c>
      <c r="U160" s="456">
        <v>0</v>
      </c>
      <c r="V160" s="456">
        <v>0</v>
      </c>
      <c r="W160" s="456">
        <v>0</v>
      </c>
      <c r="X160" s="456">
        <v>0</v>
      </c>
      <c r="Y160" s="456">
        <v>0</v>
      </c>
      <c r="Z160" s="552"/>
      <c r="AA160" s="552"/>
      <c r="AB160" s="552"/>
      <c r="AC160" s="552"/>
      <c r="AD160" s="552"/>
      <c r="AE160" s="552"/>
      <c r="AF160" s="552"/>
      <c r="AG160" s="552"/>
      <c r="AH160" s="552"/>
      <c r="AI160" s="552"/>
      <c r="AJ160" s="552"/>
      <c r="AK160" s="552"/>
      <c r="AL160" s="552"/>
      <c r="AM160" s="552"/>
      <c r="AN160" s="552"/>
      <c r="AO160" s="552"/>
      <c r="AP160" s="552"/>
      <c r="AQ160" s="552"/>
      <c r="AR160" s="552"/>
    </row>
    <row r="161" spans="3:44" x14ac:dyDescent="0.25">
      <c r="C161" s="86"/>
      <c r="D161" s="98"/>
      <c r="AR161" s="252"/>
    </row>
    <row r="162" spans="3:44" x14ac:dyDescent="0.25">
      <c r="C162" s="7" t="str">
        <f ca="1">INDEX('Version control'!$H$35:$H$61,MATCH($A$1,'Version control'!$F$35:$F$61,0),1)&amp;"-J: Revenue matching inputs"</f>
        <v>Input 504-J: Revenue matching inputs</v>
      </c>
      <c r="D162" s="7"/>
      <c r="E162" s="7"/>
      <c r="F162" s="7"/>
      <c r="G162" s="7"/>
      <c r="H162" s="7"/>
      <c r="I162" s="7"/>
      <c r="J162" s="7"/>
      <c r="K162" s="7"/>
      <c r="L162" s="7"/>
      <c r="M162" s="7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  <c r="Z162" s="7"/>
      <c r="AA162" s="7"/>
      <c r="AB162" s="7"/>
      <c r="AC162" s="7"/>
      <c r="AD162" s="7"/>
      <c r="AE162" s="7"/>
      <c r="AF162" s="7"/>
      <c r="AG162" s="7"/>
      <c r="AH162" s="7"/>
      <c r="AI162" s="7"/>
      <c r="AJ162" s="7"/>
      <c r="AK162" s="7"/>
      <c r="AL162" s="7"/>
      <c r="AM162" s="7"/>
      <c r="AN162" s="7"/>
      <c r="AO162" s="7"/>
      <c r="AP162" s="7"/>
      <c r="AQ162" s="7"/>
      <c r="AR162" s="7"/>
    </row>
    <row r="163" spans="3:44" x14ac:dyDescent="0.25">
      <c r="C163" s="86"/>
      <c r="D163" s="98"/>
      <c r="AR163" s="252"/>
    </row>
    <row r="164" spans="3:44" ht="60" x14ac:dyDescent="0.25">
      <c r="C164" s="86"/>
      <c r="D164" s="98"/>
      <c r="E164" s="96" t="s">
        <v>1001</v>
      </c>
      <c r="J164" s="383" t="s">
        <v>1002</v>
      </c>
      <c r="K164" s="383" t="s">
        <v>927</v>
      </c>
      <c r="L164" s="383" t="s">
        <v>1003</v>
      </c>
      <c r="M164" s="383" t="s">
        <v>1004</v>
      </c>
      <c r="N164" s="383" t="s">
        <v>1005</v>
      </c>
      <c r="O164" s="383" t="s">
        <v>1006</v>
      </c>
      <c r="P164" s="383" t="s">
        <v>1007</v>
      </c>
      <c r="Q164" s="383" t="s">
        <v>929</v>
      </c>
      <c r="R164" s="383" t="s">
        <v>1008</v>
      </c>
      <c r="S164" s="383" t="s">
        <v>1009</v>
      </c>
      <c r="T164" s="383" t="s">
        <v>1010</v>
      </c>
      <c r="U164" s="383" t="s">
        <v>1011</v>
      </c>
      <c r="V164" s="383" t="s">
        <v>1012</v>
      </c>
      <c r="W164" s="383" t="s">
        <v>1013</v>
      </c>
      <c r="X164" s="383" t="s">
        <v>1014</v>
      </c>
      <c r="Y164" s="383" t="s">
        <v>1015</v>
      </c>
      <c r="Z164" s="383" t="s">
        <v>1016</v>
      </c>
      <c r="AA164" s="383" t="s">
        <v>1017</v>
      </c>
      <c r="AB164" s="383" t="s">
        <v>1018</v>
      </c>
      <c r="AC164" s="383" t="s">
        <v>1019</v>
      </c>
      <c r="AD164" s="383" t="s">
        <v>1020</v>
      </c>
      <c r="AE164" s="383" t="s">
        <v>1021</v>
      </c>
      <c r="AF164" s="383" t="s">
        <v>1022</v>
      </c>
      <c r="AG164" s="383" t="s">
        <v>933</v>
      </c>
      <c r="AH164" s="383" t="s">
        <v>934</v>
      </c>
      <c r="AI164" s="383" t="s">
        <v>935</v>
      </c>
      <c r="AJ164" s="383" t="s">
        <v>936</v>
      </c>
      <c r="AK164" s="383" t="s">
        <v>937</v>
      </c>
      <c r="AL164" s="383" t="s">
        <v>938</v>
      </c>
      <c r="AM164" s="383" t="s">
        <v>939</v>
      </c>
      <c r="AN164" s="383" t="s">
        <v>940</v>
      </c>
      <c r="AO164" s="383" t="s">
        <v>941</v>
      </c>
      <c r="AR164" s="252"/>
    </row>
    <row r="165" spans="3:44" x14ac:dyDescent="0.25">
      <c r="C165" s="86"/>
      <c r="D165" s="98"/>
      <c r="F165" s="91" t="s">
        <v>1023</v>
      </c>
      <c r="G165" s="91" t="s">
        <v>1024</v>
      </c>
      <c r="H165" s="91"/>
      <c r="I165" s="91"/>
      <c r="J165" s="466" t="b">
        <v>1</v>
      </c>
      <c r="K165" s="466" t="b">
        <v>0</v>
      </c>
      <c r="L165" s="466" t="b">
        <v>0</v>
      </c>
      <c r="M165" s="466" t="b">
        <v>1</v>
      </c>
      <c r="N165" s="466" t="b">
        <v>1</v>
      </c>
      <c r="O165" s="466" t="b">
        <v>1</v>
      </c>
      <c r="P165" s="466" t="b">
        <v>1</v>
      </c>
      <c r="Q165" s="466" t="b">
        <v>0</v>
      </c>
      <c r="R165" s="466" t="b">
        <v>0</v>
      </c>
      <c r="S165" s="466" t="b">
        <v>1</v>
      </c>
      <c r="T165" s="466" t="b">
        <v>1</v>
      </c>
      <c r="U165" s="466" t="b">
        <v>1</v>
      </c>
      <c r="V165" s="466" t="b">
        <v>1</v>
      </c>
      <c r="W165" s="466" t="b">
        <v>0</v>
      </c>
      <c r="X165" s="466" t="b">
        <v>1</v>
      </c>
      <c r="Y165" s="466" t="b">
        <v>1</v>
      </c>
      <c r="Z165" s="466" t="b">
        <v>1</v>
      </c>
      <c r="AA165" s="466" t="b">
        <v>1</v>
      </c>
      <c r="AB165" s="466" t="b">
        <v>0</v>
      </c>
      <c r="AC165" s="466" t="b">
        <v>1</v>
      </c>
      <c r="AD165" s="466" t="b">
        <v>1</v>
      </c>
      <c r="AE165" s="466" t="b">
        <v>1</v>
      </c>
      <c r="AF165" s="466" t="b">
        <v>1</v>
      </c>
      <c r="AG165" s="466" t="b">
        <v>1</v>
      </c>
      <c r="AH165" s="466" t="b">
        <v>0</v>
      </c>
      <c r="AI165" s="466" t="b">
        <v>0</v>
      </c>
      <c r="AJ165" s="466" t="b">
        <v>0</v>
      </c>
      <c r="AK165" s="466" t="b">
        <v>0</v>
      </c>
      <c r="AL165" s="466" t="b">
        <v>0</v>
      </c>
      <c r="AM165" s="466" t="b">
        <v>0</v>
      </c>
      <c r="AN165" s="466" t="b">
        <v>0</v>
      </c>
      <c r="AO165" s="466" t="b">
        <v>0</v>
      </c>
      <c r="AR165" s="252"/>
    </row>
    <row r="166" spans="3:44" x14ac:dyDescent="0.25">
      <c r="C166" s="86"/>
      <c r="D166" s="98"/>
      <c r="F166" s="293" t="s">
        <v>1025</v>
      </c>
      <c r="G166" s="293" t="s">
        <v>1024</v>
      </c>
      <c r="J166" s="467" t="b">
        <v>1</v>
      </c>
      <c r="K166" s="101"/>
      <c r="L166" s="101"/>
      <c r="M166" s="467" t="b">
        <v>1</v>
      </c>
      <c r="N166" s="467" t="b">
        <v>1</v>
      </c>
      <c r="O166" s="467" t="b">
        <v>1</v>
      </c>
      <c r="P166" s="467" t="b">
        <v>1</v>
      </c>
      <c r="Q166" s="101"/>
      <c r="R166" s="101"/>
      <c r="S166" s="467" t="b">
        <v>1</v>
      </c>
      <c r="T166" s="467" t="b">
        <v>1</v>
      </c>
      <c r="U166" s="467" t="b">
        <v>1</v>
      </c>
      <c r="V166" s="467" t="b">
        <v>1</v>
      </c>
      <c r="W166" s="101"/>
      <c r="X166" s="467" t="b">
        <v>1</v>
      </c>
      <c r="Y166" s="467" t="b">
        <v>1</v>
      </c>
      <c r="Z166" s="467" t="b">
        <v>1</v>
      </c>
      <c r="AA166" s="467" t="b">
        <v>1</v>
      </c>
      <c r="AB166" s="101"/>
      <c r="AC166" s="467" t="b">
        <v>1</v>
      </c>
      <c r="AD166" s="467" t="b">
        <v>1</v>
      </c>
      <c r="AE166" s="467" t="b">
        <v>1</v>
      </c>
      <c r="AF166" s="467" t="b">
        <v>1</v>
      </c>
      <c r="AG166" s="467" t="b">
        <v>0</v>
      </c>
      <c r="AH166" s="101"/>
      <c r="AI166" s="101"/>
      <c r="AJ166" s="101"/>
      <c r="AK166" s="101"/>
      <c r="AL166" s="101"/>
      <c r="AM166" s="101"/>
      <c r="AN166" s="101"/>
      <c r="AO166" s="101"/>
      <c r="AR166" s="252"/>
    </row>
    <row r="167" spans="3:44" x14ac:dyDescent="0.25">
      <c r="C167" s="86"/>
      <c r="D167" s="98"/>
      <c r="F167" s="293" t="s">
        <v>1026</v>
      </c>
      <c r="G167" s="293" t="s">
        <v>1024</v>
      </c>
      <c r="J167" s="467" t="b">
        <v>0</v>
      </c>
      <c r="K167" s="101"/>
      <c r="L167" s="101"/>
      <c r="M167" s="467" t="b">
        <v>0</v>
      </c>
      <c r="N167" s="467" t="b">
        <v>0</v>
      </c>
      <c r="O167" s="467" t="b">
        <v>0</v>
      </c>
      <c r="P167" s="467" t="b">
        <v>0</v>
      </c>
      <c r="Q167" s="101"/>
      <c r="R167" s="101"/>
      <c r="S167" s="467" t="b">
        <v>0</v>
      </c>
      <c r="T167" s="467" t="b">
        <v>0</v>
      </c>
      <c r="U167" s="467" t="b">
        <v>0</v>
      </c>
      <c r="V167" s="467" t="b">
        <v>0</v>
      </c>
      <c r="W167" s="101"/>
      <c r="X167" s="467" t="b">
        <v>0</v>
      </c>
      <c r="Y167" s="467" t="b">
        <v>0</v>
      </c>
      <c r="Z167" s="467" t="b">
        <v>0</v>
      </c>
      <c r="AA167" s="467" t="b">
        <v>0</v>
      </c>
      <c r="AB167" s="101"/>
      <c r="AC167" s="467" t="b">
        <v>0</v>
      </c>
      <c r="AD167" s="467" t="b">
        <v>0</v>
      </c>
      <c r="AE167" s="467" t="b">
        <v>0</v>
      </c>
      <c r="AF167" s="467" t="b">
        <v>0</v>
      </c>
      <c r="AG167" s="467" t="b">
        <v>1</v>
      </c>
      <c r="AH167" s="101"/>
      <c r="AI167" s="101"/>
      <c r="AJ167" s="101"/>
      <c r="AK167" s="101"/>
      <c r="AL167" s="101"/>
      <c r="AM167" s="101"/>
      <c r="AN167" s="101"/>
      <c r="AO167" s="101"/>
      <c r="AR167" s="252"/>
    </row>
    <row r="168" spans="3:44" x14ac:dyDescent="0.25">
      <c r="C168" s="86"/>
      <c r="D168" s="98"/>
      <c r="F168" s="293" t="s">
        <v>1027</v>
      </c>
      <c r="G168" s="293" t="s">
        <v>426</v>
      </c>
      <c r="J168" s="467">
        <v>1</v>
      </c>
      <c r="K168" s="101"/>
      <c r="L168" s="101"/>
      <c r="M168" s="467">
        <v>2</v>
      </c>
      <c r="N168" s="467">
        <v>2</v>
      </c>
      <c r="O168" s="467">
        <v>2</v>
      </c>
      <c r="P168" s="467">
        <v>2</v>
      </c>
      <c r="Q168" s="101"/>
      <c r="R168" s="101"/>
      <c r="S168" s="467">
        <v>3</v>
      </c>
      <c r="T168" s="467">
        <v>3</v>
      </c>
      <c r="U168" s="467">
        <v>3</v>
      </c>
      <c r="V168" s="467">
        <v>3</v>
      </c>
      <c r="W168" s="101"/>
      <c r="X168" s="467">
        <v>3</v>
      </c>
      <c r="Y168" s="467">
        <v>3</v>
      </c>
      <c r="Z168" s="467">
        <v>3</v>
      </c>
      <c r="AA168" s="467">
        <v>3</v>
      </c>
      <c r="AB168" s="101"/>
      <c r="AC168" s="467">
        <v>4</v>
      </c>
      <c r="AD168" s="467">
        <v>4</v>
      </c>
      <c r="AE168" s="467">
        <v>4</v>
      </c>
      <c r="AF168" s="467">
        <v>4</v>
      </c>
      <c r="AG168" s="467">
        <v>5</v>
      </c>
      <c r="AH168" s="101"/>
      <c r="AI168" s="101"/>
      <c r="AJ168" s="101"/>
      <c r="AK168" s="101"/>
      <c r="AL168" s="101"/>
      <c r="AM168" s="101"/>
      <c r="AN168" s="101"/>
      <c r="AO168" s="101"/>
      <c r="AR168" s="252"/>
    </row>
    <row r="169" spans="3:44" x14ac:dyDescent="0.25">
      <c r="C169" s="86"/>
      <c r="D169" s="98"/>
      <c r="F169" s="293" t="s">
        <v>1028</v>
      </c>
      <c r="G169" s="293" t="s">
        <v>426</v>
      </c>
      <c r="J169" s="467">
        <v>1</v>
      </c>
      <c r="K169" s="101"/>
      <c r="L169" s="101"/>
      <c r="M169" s="467">
        <v>1</v>
      </c>
      <c r="N169" s="467">
        <v>2</v>
      </c>
      <c r="O169" s="467">
        <v>3</v>
      </c>
      <c r="P169" s="467">
        <v>4</v>
      </c>
      <c r="Q169" s="101"/>
      <c r="R169" s="101"/>
      <c r="S169" s="467">
        <v>1</v>
      </c>
      <c r="T169" s="467">
        <v>2</v>
      </c>
      <c r="U169" s="467">
        <v>3</v>
      </c>
      <c r="V169" s="467">
        <v>4</v>
      </c>
      <c r="W169" s="101"/>
      <c r="X169" s="467">
        <v>1</v>
      </c>
      <c r="Y169" s="467">
        <v>2</v>
      </c>
      <c r="Z169" s="467">
        <v>3</v>
      </c>
      <c r="AA169" s="467">
        <v>4</v>
      </c>
      <c r="AB169" s="101"/>
      <c r="AC169" s="467">
        <v>1</v>
      </c>
      <c r="AD169" s="467">
        <v>2</v>
      </c>
      <c r="AE169" s="467">
        <v>3</v>
      </c>
      <c r="AF169" s="467">
        <v>4</v>
      </c>
      <c r="AG169" s="467">
        <v>1</v>
      </c>
      <c r="AH169" s="101"/>
      <c r="AI169" s="101"/>
      <c r="AJ169" s="101"/>
      <c r="AK169" s="101"/>
      <c r="AL169" s="101"/>
      <c r="AM169" s="101"/>
      <c r="AN169" s="101"/>
      <c r="AO169" s="101"/>
      <c r="AR169" s="252"/>
    </row>
    <row r="170" spans="3:44" x14ac:dyDescent="0.25">
      <c r="C170" s="86"/>
      <c r="D170" s="98"/>
      <c r="F170" s="93" t="s">
        <v>1029</v>
      </c>
      <c r="G170" s="93" t="s">
        <v>426</v>
      </c>
      <c r="H170" s="93"/>
      <c r="I170" s="93"/>
      <c r="J170" s="468">
        <v>1</v>
      </c>
      <c r="K170" s="468">
        <v>2</v>
      </c>
      <c r="L170" s="468">
        <v>3</v>
      </c>
      <c r="M170" s="468">
        <v>3</v>
      </c>
      <c r="N170" s="468">
        <v>3</v>
      </c>
      <c r="O170" s="468">
        <v>3</v>
      </c>
      <c r="P170" s="468">
        <v>3</v>
      </c>
      <c r="Q170" s="468">
        <v>4</v>
      </c>
      <c r="R170" s="468">
        <v>5</v>
      </c>
      <c r="S170" s="468">
        <v>5</v>
      </c>
      <c r="T170" s="468">
        <v>5</v>
      </c>
      <c r="U170" s="468">
        <v>5</v>
      </c>
      <c r="V170" s="468">
        <v>5</v>
      </c>
      <c r="W170" s="468">
        <v>6</v>
      </c>
      <c r="X170" s="468">
        <v>6</v>
      </c>
      <c r="Y170" s="468">
        <v>6</v>
      </c>
      <c r="Z170" s="468">
        <v>6</v>
      </c>
      <c r="AA170" s="468">
        <v>6</v>
      </c>
      <c r="AB170" s="468">
        <v>7</v>
      </c>
      <c r="AC170" s="468">
        <v>7</v>
      </c>
      <c r="AD170" s="468">
        <v>7</v>
      </c>
      <c r="AE170" s="468">
        <v>7</v>
      </c>
      <c r="AF170" s="468">
        <v>7</v>
      </c>
      <c r="AG170" s="468">
        <v>8</v>
      </c>
      <c r="AH170" s="468">
        <v>9</v>
      </c>
      <c r="AI170" s="468">
        <v>10</v>
      </c>
      <c r="AJ170" s="468">
        <v>11</v>
      </c>
      <c r="AK170" s="468">
        <v>12</v>
      </c>
      <c r="AL170" s="468">
        <v>13</v>
      </c>
      <c r="AM170" s="468">
        <v>14</v>
      </c>
      <c r="AN170" s="468">
        <v>15</v>
      </c>
      <c r="AO170" s="468">
        <v>16</v>
      </c>
      <c r="AR170" s="252"/>
    </row>
    <row r="171" spans="3:44" x14ac:dyDescent="0.25">
      <c r="C171" s="86"/>
      <c r="D171" s="98"/>
      <c r="AR171" s="252"/>
    </row>
    <row r="172" spans="3:44" x14ac:dyDescent="0.25">
      <c r="C172" s="86"/>
      <c r="D172" s="98"/>
      <c r="E172" s="293" t="s">
        <v>1030</v>
      </c>
      <c r="G172" s="293" t="s">
        <v>426</v>
      </c>
      <c r="H172" s="469">
        <v>2</v>
      </c>
      <c r="AR172" s="252"/>
    </row>
    <row r="173" spans="3:44" x14ac:dyDescent="0.25">
      <c r="C173" s="86"/>
      <c r="D173" s="98"/>
      <c r="AR173" s="252"/>
    </row>
    <row r="174" spans="3:44" x14ac:dyDescent="0.25">
      <c r="C174" s="86"/>
      <c r="D174" s="98"/>
      <c r="E174" s="96" t="s">
        <v>1031</v>
      </c>
      <c r="AR174" s="252"/>
    </row>
    <row r="175" spans="3:44" x14ac:dyDescent="0.25">
      <c r="C175" s="86"/>
      <c r="D175" s="98"/>
      <c r="E175" s="96"/>
      <c r="F175" s="82" t="s">
        <v>1032</v>
      </c>
      <c r="AR175" s="252"/>
    </row>
    <row r="176" spans="3:44" ht="60" x14ac:dyDescent="0.25">
      <c r="C176" s="86"/>
      <c r="D176" s="98"/>
      <c r="E176" s="96"/>
      <c r="F176" s="470" t="s">
        <v>1033</v>
      </c>
      <c r="J176" s="383" t="s">
        <v>1002</v>
      </c>
      <c r="K176" s="383" t="s">
        <v>927</v>
      </c>
      <c r="L176" s="383" t="s">
        <v>1003</v>
      </c>
      <c r="M176" s="383" t="s">
        <v>1004</v>
      </c>
      <c r="N176" s="383" t="s">
        <v>1005</v>
      </c>
      <c r="O176" s="383" t="s">
        <v>1006</v>
      </c>
      <c r="P176" s="383" t="s">
        <v>1007</v>
      </c>
      <c r="Q176" s="383" t="s">
        <v>929</v>
      </c>
      <c r="R176" s="383" t="s">
        <v>1008</v>
      </c>
      <c r="S176" s="383" t="s">
        <v>1009</v>
      </c>
      <c r="T176" s="383" t="s">
        <v>1010</v>
      </c>
      <c r="U176" s="383" t="s">
        <v>1011</v>
      </c>
      <c r="V176" s="383" t="s">
        <v>1012</v>
      </c>
      <c r="W176" s="383" t="s">
        <v>1013</v>
      </c>
      <c r="X176" s="383" t="s">
        <v>1014</v>
      </c>
      <c r="Y176" s="383" t="s">
        <v>1015</v>
      </c>
      <c r="Z176" s="383" t="s">
        <v>1016</v>
      </c>
      <c r="AA176" s="383" t="s">
        <v>1017</v>
      </c>
      <c r="AB176" s="383" t="s">
        <v>1018</v>
      </c>
      <c r="AC176" s="383" t="s">
        <v>1019</v>
      </c>
      <c r="AD176" s="383" t="s">
        <v>1020</v>
      </c>
      <c r="AE176" s="383" t="s">
        <v>1021</v>
      </c>
      <c r="AF176" s="383" t="s">
        <v>1022</v>
      </c>
      <c r="AG176" s="383" t="s">
        <v>933</v>
      </c>
      <c r="AH176" s="383" t="s">
        <v>934</v>
      </c>
      <c r="AI176" s="383" t="s">
        <v>935</v>
      </c>
      <c r="AJ176" s="383" t="s">
        <v>936</v>
      </c>
      <c r="AK176" s="383" t="s">
        <v>937</v>
      </c>
      <c r="AL176" s="383" t="s">
        <v>938</v>
      </c>
      <c r="AM176" s="383" t="s">
        <v>939</v>
      </c>
      <c r="AN176" s="383" t="s">
        <v>940</v>
      </c>
      <c r="AO176" s="383" t="s">
        <v>941</v>
      </c>
      <c r="AR176" s="252"/>
    </row>
    <row r="177" spans="2:44" x14ac:dyDescent="0.25">
      <c r="C177" s="86"/>
      <c r="D177" s="98"/>
      <c r="F177" s="91" t="s">
        <v>1034</v>
      </c>
      <c r="G177" s="91" t="s">
        <v>426</v>
      </c>
      <c r="H177" s="91"/>
      <c r="I177" s="91"/>
      <c r="J177" s="455">
        <v>1</v>
      </c>
      <c r="K177" s="106"/>
      <c r="L177" s="106"/>
      <c r="M177" s="455">
        <v>1</v>
      </c>
      <c r="N177" s="455">
        <v>2</v>
      </c>
      <c r="O177" s="455">
        <v>3</v>
      </c>
      <c r="P177" s="455">
        <v>4</v>
      </c>
      <c r="Q177" s="106"/>
      <c r="R177" s="106"/>
      <c r="S177" s="455">
        <v>1</v>
      </c>
      <c r="T177" s="455">
        <v>2</v>
      </c>
      <c r="U177" s="455">
        <v>3</v>
      </c>
      <c r="V177" s="455">
        <v>4</v>
      </c>
      <c r="W177" s="106"/>
      <c r="X177" s="455">
        <v>1</v>
      </c>
      <c r="Y177" s="455">
        <v>2</v>
      </c>
      <c r="Z177" s="455">
        <v>3</v>
      </c>
      <c r="AA177" s="455">
        <v>4</v>
      </c>
      <c r="AB177" s="106"/>
      <c r="AC177" s="455">
        <v>1</v>
      </c>
      <c r="AD177" s="455">
        <v>2</v>
      </c>
      <c r="AE177" s="455">
        <v>3</v>
      </c>
      <c r="AF177" s="455">
        <v>4</v>
      </c>
      <c r="AG177" s="455">
        <v>1</v>
      </c>
      <c r="AH177" s="106"/>
      <c r="AI177" s="106"/>
      <c r="AJ177" s="106"/>
      <c r="AK177" s="106"/>
      <c r="AL177" s="106"/>
      <c r="AM177" s="106"/>
      <c r="AN177" s="106"/>
      <c r="AO177" s="106"/>
      <c r="AR177" s="252"/>
    </row>
    <row r="178" spans="2:44" x14ac:dyDescent="0.25">
      <c r="C178" s="86"/>
      <c r="D178" s="98"/>
      <c r="F178" s="293" t="s">
        <v>1035</v>
      </c>
      <c r="G178" s="293" t="s">
        <v>426</v>
      </c>
      <c r="J178" s="469">
        <v>1</v>
      </c>
      <c r="K178" s="101"/>
      <c r="L178" s="101"/>
      <c r="M178" s="469">
        <v>1</v>
      </c>
      <c r="N178" s="469">
        <v>1</v>
      </c>
      <c r="O178" s="469">
        <v>2</v>
      </c>
      <c r="P178" s="469">
        <v>3</v>
      </c>
      <c r="Q178" s="101"/>
      <c r="R178" s="101"/>
      <c r="S178" s="469">
        <v>1</v>
      </c>
      <c r="T178" s="469">
        <v>1</v>
      </c>
      <c r="U178" s="469">
        <v>2</v>
      </c>
      <c r="V178" s="469">
        <v>3</v>
      </c>
      <c r="W178" s="101"/>
      <c r="X178" s="469">
        <v>1</v>
      </c>
      <c r="Y178" s="469">
        <v>1</v>
      </c>
      <c r="Z178" s="469">
        <v>2</v>
      </c>
      <c r="AA178" s="469">
        <v>3</v>
      </c>
      <c r="AB178" s="101"/>
      <c r="AC178" s="469">
        <v>1</v>
      </c>
      <c r="AD178" s="469">
        <v>1</v>
      </c>
      <c r="AE178" s="469">
        <v>2</v>
      </c>
      <c r="AF178" s="469">
        <v>3</v>
      </c>
      <c r="AG178" s="469">
        <v>1</v>
      </c>
      <c r="AH178" s="101"/>
      <c r="AI178" s="101"/>
      <c r="AJ178" s="101"/>
      <c r="AK178" s="101"/>
      <c r="AL178" s="101"/>
      <c r="AM178" s="101"/>
      <c r="AN178" s="101"/>
      <c r="AO178" s="101"/>
      <c r="AR178" s="252"/>
    </row>
    <row r="179" spans="2:44" x14ac:dyDescent="0.25">
      <c r="C179" s="86"/>
      <c r="D179" s="98"/>
      <c r="F179" s="293" t="s">
        <v>1036</v>
      </c>
      <c r="G179" s="293" t="s">
        <v>426</v>
      </c>
      <c r="J179" s="469">
        <v>1</v>
      </c>
      <c r="K179" s="101"/>
      <c r="L179" s="101"/>
      <c r="M179" s="469">
        <v>1</v>
      </c>
      <c r="N179" s="469">
        <v>2</v>
      </c>
      <c r="O179" s="469">
        <v>2</v>
      </c>
      <c r="P179" s="469">
        <v>3</v>
      </c>
      <c r="Q179" s="101"/>
      <c r="R179" s="101"/>
      <c r="S179" s="469">
        <v>1</v>
      </c>
      <c r="T179" s="469">
        <v>2</v>
      </c>
      <c r="U179" s="469">
        <v>2</v>
      </c>
      <c r="V179" s="469">
        <v>3</v>
      </c>
      <c r="W179" s="101"/>
      <c r="X179" s="469">
        <v>1</v>
      </c>
      <c r="Y179" s="469">
        <v>2</v>
      </c>
      <c r="Z179" s="469">
        <v>2</v>
      </c>
      <c r="AA179" s="469">
        <v>3</v>
      </c>
      <c r="AB179" s="101"/>
      <c r="AC179" s="469">
        <v>1</v>
      </c>
      <c r="AD179" s="469">
        <v>2</v>
      </c>
      <c r="AE179" s="469">
        <v>2</v>
      </c>
      <c r="AF179" s="469">
        <v>3</v>
      </c>
      <c r="AG179" s="469">
        <v>1</v>
      </c>
      <c r="AH179" s="101"/>
      <c r="AI179" s="101"/>
      <c r="AJ179" s="101"/>
      <c r="AK179" s="101"/>
      <c r="AL179" s="101"/>
      <c r="AM179" s="101"/>
      <c r="AN179" s="101"/>
      <c r="AO179" s="101"/>
      <c r="AR179" s="252"/>
    </row>
    <row r="180" spans="2:44" x14ac:dyDescent="0.25">
      <c r="C180" s="86"/>
      <c r="D180" s="98"/>
      <c r="F180" s="293" t="s">
        <v>1037</v>
      </c>
      <c r="G180" s="293" t="s">
        <v>426</v>
      </c>
      <c r="J180" s="469">
        <v>1</v>
      </c>
      <c r="K180" s="101"/>
      <c r="L180" s="101"/>
      <c r="M180" s="469">
        <v>1</v>
      </c>
      <c r="N180" s="469">
        <v>2</v>
      </c>
      <c r="O180" s="469">
        <v>3</v>
      </c>
      <c r="P180" s="469">
        <v>3</v>
      </c>
      <c r="Q180" s="101"/>
      <c r="R180" s="101"/>
      <c r="S180" s="469">
        <v>1</v>
      </c>
      <c r="T180" s="469">
        <v>2</v>
      </c>
      <c r="U180" s="469">
        <v>3</v>
      </c>
      <c r="V180" s="469">
        <v>3</v>
      </c>
      <c r="W180" s="101"/>
      <c r="X180" s="469">
        <v>1</v>
      </c>
      <c r="Y180" s="469">
        <v>2</v>
      </c>
      <c r="Z180" s="469">
        <v>3</v>
      </c>
      <c r="AA180" s="469">
        <v>3</v>
      </c>
      <c r="AB180" s="101"/>
      <c r="AC180" s="469">
        <v>1</v>
      </c>
      <c r="AD180" s="469">
        <v>2</v>
      </c>
      <c r="AE180" s="469">
        <v>3</v>
      </c>
      <c r="AF180" s="469">
        <v>3</v>
      </c>
      <c r="AG180" s="469">
        <v>1</v>
      </c>
      <c r="AH180" s="101"/>
      <c r="AI180" s="101"/>
      <c r="AJ180" s="101"/>
      <c r="AK180" s="101"/>
      <c r="AL180" s="101"/>
      <c r="AM180" s="101"/>
      <c r="AN180" s="101"/>
      <c r="AO180" s="101"/>
      <c r="AR180" s="252"/>
    </row>
    <row r="181" spans="2:44" x14ac:dyDescent="0.25">
      <c r="C181" s="86"/>
      <c r="D181" s="98"/>
      <c r="F181" s="293" t="s">
        <v>1038</v>
      </c>
      <c r="G181" s="293" t="s">
        <v>426</v>
      </c>
      <c r="J181" s="469">
        <v>1</v>
      </c>
      <c r="K181" s="101"/>
      <c r="L181" s="101"/>
      <c r="M181" s="469">
        <v>1</v>
      </c>
      <c r="N181" s="469">
        <v>1</v>
      </c>
      <c r="O181" s="469">
        <v>2</v>
      </c>
      <c r="P181" s="469">
        <v>2</v>
      </c>
      <c r="Q181" s="101"/>
      <c r="R181" s="101"/>
      <c r="S181" s="469">
        <v>1</v>
      </c>
      <c r="T181" s="469">
        <v>1</v>
      </c>
      <c r="U181" s="469">
        <v>2</v>
      </c>
      <c r="V181" s="469">
        <v>2</v>
      </c>
      <c r="W181" s="101"/>
      <c r="X181" s="469">
        <v>1</v>
      </c>
      <c r="Y181" s="469">
        <v>1</v>
      </c>
      <c r="Z181" s="469">
        <v>2</v>
      </c>
      <c r="AA181" s="469">
        <v>2</v>
      </c>
      <c r="AB181" s="101"/>
      <c r="AC181" s="469">
        <v>1</v>
      </c>
      <c r="AD181" s="469">
        <v>1</v>
      </c>
      <c r="AE181" s="469">
        <v>2</v>
      </c>
      <c r="AF181" s="469">
        <v>2</v>
      </c>
      <c r="AG181" s="469">
        <v>1</v>
      </c>
      <c r="AH181" s="101"/>
      <c r="AI181" s="101"/>
      <c r="AJ181" s="101"/>
      <c r="AK181" s="101"/>
      <c r="AL181" s="101"/>
      <c r="AM181" s="101"/>
      <c r="AN181" s="101"/>
      <c r="AO181" s="101"/>
      <c r="AR181" s="252"/>
    </row>
    <row r="182" spans="2:44" x14ac:dyDescent="0.25">
      <c r="C182" s="86"/>
      <c r="D182" s="98"/>
      <c r="F182" s="293" t="s">
        <v>1039</v>
      </c>
      <c r="G182" s="293" t="s">
        <v>426</v>
      </c>
      <c r="J182" s="469">
        <v>1</v>
      </c>
      <c r="K182" s="101"/>
      <c r="L182" s="101"/>
      <c r="M182" s="469">
        <v>1</v>
      </c>
      <c r="N182" s="469">
        <v>1</v>
      </c>
      <c r="O182" s="469">
        <v>1</v>
      </c>
      <c r="P182" s="469">
        <v>2</v>
      </c>
      <c r="Q182" s="101"/>
      <c r="R182" s="101"/>
      <c r="S182" s="469">
        <v>1</v>
      </c>
      <c r="T182" s="469">
        <v>1</v>
      </c>
      <c r="U182" s="469">
        <v>1</v>
      </c>
      <c r="V182" s="469">
        <v>2</v>
      </c>
      <c r="W182" s="101"/>
      <c r="X182" s="469">
        <v>1</v>
      </c>
      <c r="Y182" s="469">
        <v>1</v>
      </c>
      <c r="Z182" s="469">
        <v>1</v>
      </c>
      <c r="AA182" s="469">
        <v>2</v>
      </c>
      <c r="AB182" s="101"/>
      <c r="AC182" s="469">
        <v>1</v>
      </c>
      <c r="AD182" s="469">
        <v>1</v>
      </c>
      <c r="AE182" s="469">
        <v>1</v>
      </c>
      <c r="AF182" s="469">
        <v>2</v>
      </c>
      <c r="AG182" s="469">
        <v>1</v>
      </c>
      <c r="AH182" s="101"/>
      <c r="AI182" s="101"/>
      <c r="AJ182" s="101"/>
      <c r="AK182" s="101"/>
      <c r="AL182" s="101"/>
      <c r="AM182" s="101"/>
      <c r="AN182" s="101"/>
      <c r="AO182" s="101"/>
      <c r="AR182" s="252"/>
    </row>
    <row r="183" spans="2:44" x14ac:dyDescent="0.25">
      <c r="C183" s="86"/>
      <c r="D183" s="98"/>
      <c r="F183" s="293" t="s">
        <v>1040</v>
      </c>
      <c r="G183" s="293" t="s">
        <v>426</v>
      </c>
      <c r="J183" s="469">
        <v>1</v>
      </c>
      <c r="K183" s="101"/>
      <c r="L183" s="101"/>
      <c r="M183" s="469">
        <v>1</v>
      </c>
      <c r="N183" s="469">
        <v>2</v>
      </c>
      <c r="O183" s="469">
        <v>2</v>
      </c>
      <c r="P183" s="469">
        <v>2</v>
      </c>
      <c r="Q183" s="101"/>
      <c r="R183" s="101"/>
      <c r="S183" s="469">
        <v>1</v>
      </c>
      <c r="T183" s="469">
        <v>2</v>
      </c>
      <c r="U183" s="469">
        <v>2</v>
      </c>
      <c r="V183" s="469">
        <v>2</v>
      </c>
      <c r="W183" s="101"/>
      <c r="X183" s="469">
        <v>1</v>
      </c>
      <c r="Y183" s="469">
        <v>2</v>
      </c>
      <c r="Z183" s="469">
        <v>2</v>
      </c>
      <c r="AA183" s="469">
        <v>2</v>
      </c>
      <c r="AB183" s="101"/>
      <c r="AC183" s="469">
        <v>1</v>
      </c>
      <c r="AD183" s="469">
        <v>2</v>
      </c>
      <c r="AE183" s="469">
        <v>2</v>
      </c>
      <c r="AF183" s="469">
        <v>2</v>
      </c>
      <c r="AG183" s="469">
        <v>1</v>
      </c>
      <c r="AH183" s="101"/>
      <c r="AI183" s="101"/>
      <c r="AJ183" s="101"/>
      <c r="AK183" s="101"/>
      <c r="AL183" s="101"/>
      <c r="AM183" s="101"/>
      <c r="AN183" s="101"/>
      <c r="AO183" s="101"/>
      <c r="AR183" s="252"/>
    </row>
    <row r="184" spans="2:44" x14ac:dyDescent="0.25">
      <c r="C184" s="86"/>
      <c r="D184" s="98"/>
      <c r="F184" s="93" t="s">
        <v>1041</v>
      </c>
      <c r="G184" s="93" t="s">
        <v>426</v>
      </c>
      <c r="H184" s="93"/>
      <c r="I184" s="93"/>
      <c r="J184" s="456">
        <v>1</v>
      </c>
      <c r="K184" s="102"/>
      <c r="L184" s="102"/>
      <c r="M184" s="456">
        <v>1</v>
      </c>
      <c r="N184" s="456">
        <v>1</v>
      </c>
      <c r="O184" s="456">
        <v>1</v>
      </c>
      <c r="P184" s="456">
        <v>1</v>
      </c>
      <c r="Q184" s="102"/>
      <c r="R184" s="102"/>
      <c r="S184" s="456">
        <v>1</v>
      </c>
      <c r="T184" s="456">
        <v>1</v>
      </c>
      <c r="U184" s="456">
        <v>1</v>
      </c>
      <c r="V184" s="456">
        <v>1</v>
      </c>
      <c r="W184" s="102"/>
      <c r="X184" s="456">
        <v>1</v>
      </c>
      <c r="Y184" s="456">
        <v>1</v>
      </c>
      <c r="Z184" s="456">
        <v>1</v>
      </c>
      <c r="AA184" s="456">
        <v>1</v>
      </c>
      <c r="AB184" s="102"/>
      <c r="AC184" s="456">
        <v>1</v>
      </c>
      <c r="AD184" s="456">
        <v>1</v>
      </c>
      <c r="AE184" s="456">
        <v>1</v>
      </c>
      <c r="AF184" s="456">
        <v>1</v>
      </c>
      <c r="AG184" s="456">
        <v>1</v>
      </c>
      <c r="AH184" s="102"/>
      <c r="AI184" s="102"/>
      <c r="AJ184" s="102"/>
      <c r="AK184" s="102"/>
      <c r="AL184" s="102"/>
      <c r="AM184" s="102"/>
      <c r="AN184" s="102"/>
      <c r="AO184" s="102"/>
      <c r="AR184" s="252"/>
    </row>
    <row r="185" spans="2:44" x14ac:dyDescent="0.25">
      <c r="C185" s="86"/>
      <c r="D185" s="98"/>
      <c r="E185" s="96"/>
      <c r="AR185" s="252"/>
    </row>
    <row r="186" spans="2:44" x14ac:dyDescent="0.25">
      <c r="B186" s="95" t="s">
        <v>109</v>
      </c>
      <c r="C186" s="95"/>
      <c r="D186" s="95"/>
      <c r="E186" s="95"/>
      <c r="F186" s="95"/>
      <c r="G186" s="95"/>
      <c r="H186" s="95"/>
      <c r="I186" s="95"/>
      <c r="J186" s="95"/>
      <c r="K186" s="95"/>
      <c r="L186" s="95"/>
      <c r="M186" s="95"/>
      <c r="N186" s="95"/>
      <c r="O186" s="95"/>
      <c r="P186" s="95"/>
      <c r="Q186" s="95"/>
      <c r="R186" s="95"/>
      <c r="S186" s="95"/>
      <c r="T186" s="95"/>
      <c r="U186" s="95"/>
      <c r="V186" s="95"/>
      <c r="W186" s="95"/>
      <c r="X186" s="95"/>
      <c r="Y186" s="95"/>
      <c r="Z186" s="95"/>
      <c r="AA186" s="95"/>
      <c r="AB186" s="95"/>
      <c r="AC186" s="95"/>
      <c r="AD186" s="95"/>
      <c r="AE186" s="95"/>
      <c r="AF186" s="95"/>
      <c r="AG186" s="95"/>
      <c r="AH186" s="95"/>
      <c r="AI186" s="95"/>
      <c r="AJ186" s="95"/>
      <c r="AK186" s="95"/>
      <c r="AL186" s="95"/>
      <c r="AM186" s="95"/>
      <c r="AN186" s="95"/>
      <c r="AO186" s="95"/>
      <c r="AP186" s="95"/>
      <c r="AQ186" s="95"/>
    </row>
    <row r="187" spans="2:44" x14ac:dyDescent="0.25">
      <c r="F187" s="88"/>
      <c r="G187" s="88"/>
      <c r="H187" s="88"/>
      <c r="I187" s="88"/>
    </row>
    <row r="188" spans="2:44" x14ac:dyDescent="0.25">
      <c r="E188" s="293" t="s">
        <v>415</v>
      </c>
      <c r="G188" s="122" t="s">
        <v>588</v>
      </c>
      <c r="H188" s="373">
        <f t="array" ref="H188">SUM(IF(ISERROR(H15:Y146), 1))</f>
        <v>0</v>
      </c>
      <c r="I188" s="88"/>
    </row>
    <row r="189" spans="2:44" x14ac:dyDescent="0.25">
      <c r="I189" s="88"/>
    </row>
    <row r="190" spans="2:44" x14ac:dyDescent="0.25">
      <c r="E190" s="96" t="s">
        <v>546</v>
      </c>
      <c r="I190" s="88"/>
    </row>
    <row r="191" spans="2:44" x14ac:dyDescent="0.25">
      <c r="F191" s="91" t="s">
        <v>547</v>
      </c>
      <c r="G191" s="58" t="s">
        <v>588</v>
      </c>
      <c r="H191" s="177">
        <f>SUM(J191:Y191)</f>
        <v>0</v>
      </c>
      <c r="I191" s="94"/>
      <c r="J191" s="177">
        <f t="shared" ref="J191:Y191" si="0">IF( OR( AND(J105 = TRUE, NOT(ISBLANK(J106))), AND(J105 = FALSE, J106 = 0)), 0, 1)</f>
        <v>0</v>
      </c>
      <c r="K191" s="177">
        <f t="shared" si="0"/>
        <v>0</v>
      </c>
      <c r="L191" s="177">
        <f t="shared" si="0"/>
        <v>0</v>
      </c>
      <c r="M191" s="177">
        <f t="shared" si="0"/>
        <v>0</v>
      </c>
      <c r="N191" s="177">
        <f t="shared" si="0"/>
        <v>0</v>
      </c>
      <c r="O191" s="177">
        <f t="shared" si="0"/>
        <v>0</v>
      </c>
      <c r="P191" s="177">
        <f t="shared" si="0"/>
        <v>0</v>
      </c>
      <c r="Q191" s="177">
        <f t="shared" si="0"/>
        <v>0</v>
      </c>
      <c r="R191" s="177">
        <f t="shared" si="0"/>
        <v>0</v>
      </c>
      <c r="S191" s="177">
        <f t="shared" si="0"/>
        <v>0</v>
      </c>
      <c r="T191" s="177">
        <f t="shared" si="0"/>
        <v>0</v>
      </c>
      <c r="U191" s="177">
        <f t="shared" si="0"/>
        <v>0</v>
      </c>
      <c r="V191" s="177">
        <f t="shared" si="0"/>
        <v>0</v>
      </c>
      <c r="W191" s="177">
        <f t="shared" si="0"/>
        <v>0</v>
      </c>
      <c r="X191" s="177">
        <f t="shared" si="0"/>
        <v>0</v>
      </c>
      <c r="Y191" s="177">
        <f t="shared" si="0"/>
        <v>0</v>
      </c>
    </row>
    <row r="192" spans="2:44" x14ac:dyDescent="0.25">
      <c r="F192" s="293" t="s">
        <v>548</v>
      </c>
      <c r="G192" s="122" t="s">
        <v>588</v>
      </c>
      <c r="H192" s="373">
        <f>SUM(J192:Y192)</f>
        <v>0</v>
      </c>
      <c r="I192" s="88"/>
      <c r="J192" s="373">
        <f t="shared" ref="J192:Y192" si="1">IF( OR( AND(J109 = TRUE, NOT(ISBLANK(J110))), AND(J109 = FALSE, J110 = 0)), 0, 1)</f>
        <v>0</v>
      </c>
      <c r="K192" s="373">
        <f t="shared" si="1"/>
        <v>0</v>
      </c>
      <c r="L192" s="373">
        <f t="shared" si="1"/>
        <v>0</v>
      </c>
      <c r="M192" s="373">
        <f t="shared" si="1"/>
        <v>0</v>
      </c>
      <c r="N192" s="373">
        <f t="shared" si="1"/>
        <v>0</v>
      </c>
      <c r="O192" s="373">
        <f t="shared" si="1"/>
        <v>0</v>
      </c>
      <c r="P192" s="373">
        <f t="shared" si="1"/>
        <v>0</v>
      </c>
      <c r="Q192" s="373">
        <f t="shared" si="1"/>
        <v>0</v>
      </c>
      <c r="R192" s="373">
        <f t="shared" si="1"/>
        <v>0</v>
      </c>
      <c r="S192" s="373">
        <f t="shared" si="1"/>
        <v>0</v>
      </c>
      <c r="T192" s="373">
        <f t="shared" si="1"/>
        <v>0</v>
      </c>
      <c r="U192" s="373">
        <f t="shared" si="1"/>
        <v>0</v>
      </c>
      <c r="V192" s="373">
        <f t="shared" si="1"/>
        <v>0</v>
      </c>
      <c r="W192" s="373">
        <f t="shared" si="1"/>
        <v>0</v>
      </c>
      <c r="X192" s="373">
        <f t="shared" si="1"/>
        <v>0</v>
      </c>
      <c r="Y192" s="373">
        <f t="shared" si="1"/>
        <v>0</v>
      </c>
    </row>
    <row r="193" spans="2:43" x14ac:dyDescent="0.25">
      <c r="F193" s="293" t="s">
        <v>549</v>
      </c>
      <c r="G193" s="122" t="s">
        <v>588</v>
      </c>
      <c r="H193" s="373">
        <f>SUM(J193:Y193)</f>
        <v>0</v>
      </c>
      <c r="I193" s="88"/>
      <c r="J193" s="373">
        <f t="shared" ref="J193:Y193" si="2">IF( OR( AND(J113 = TRUE, NOT(ISBLANK(J114))), AND(J113 = FALSE, J114 = 0)), 0, 1)</f>
        <v>0</v>
      </c>
      <c r="K193" s="373">
        <f t="shared" si="2"/>
        <v>0</v>
      </c>
      <c r="L193" s="373">
        <f t="shared" si="2"/>
        <v>0</v>
      </c>
      <c r="M193" s="373">
        <f t="shared" si="2"/>
        <v>0</v>
      </c>
      <c r="N193" s="373">
        <f t="shared" si="2"/>
        <v>0</v>
      </c>
      <c r="O193" s="373">
        <f t="shared" si="2"/>
        <v>0</v>
      </c>
      <c r="P193" s="373">
        <f t="shared" si="2"/>
        <v>0</v>
      </c>
      <c r="Q193" s="373">
        <f t="shared" si="2"/>
        <v>0</v>
      </c>
      <c r="R193" s="373">
        <f t="shared" si="2"/>
        <v>0</v>
      </c>
      <c r="S193" s="373">
        <f t="shared" si="2"/>
        <v>0</v>
      </c>
      <c r="T193" s="373">
        <f t="shared" si="2"/>
        <v>0</v>
      </c>
      <c r="U193" s="373">
        <f t="shared" si="2"/>
        <v>0</v>
      </c>
      <c r="V193" s="373">
        <f t="shared" si="2"/>
        <v>0</v>
      </c>
      <c r="W193" s="373">
        <f t="shared" si="2"/>
        <v>0</v>
      </c>
      <c r="X193" s="373">
        <f t="shared" si="2"/>
        <v>0</v>
      </c>
      <c r="Y193" s="373">
        <f t="shared" si="2"/>
        <v>0</v>
      </c>
    </row>
    <row r="194" spans="2:43" x14ac:dyDescent="0.25">
      <c r="F194" s="293" t="s">
        <v>550</v>
      </c>
      <c r="G194" s="122" t="s">
        <v>588</v>
      </c>
      <c r="H194" s="373">
        <f>SUM(J194:Y194)</f>
        <v>0</v>
      </c>
      <c r="I194" s="88"/>
      <c r="J194" s="373">
        <f t="shared" ref="J194:Y194" si="3">IF( OR( AND(J117 = TRUE, NOT(ISBLANK(J118))), AND(J117 = FALSE, J118 = 0)), 0, 1)</f>
        <v>0</v>
      </c>
      <c r="K194" s="373">
        <f t="shared" si="3"/>
        <v>0</v>
      </c>
      <c r="L194" s="373">
        <f t="shared" si="3"/>
        <v>0</v>
      </c>
      <c r="M194" s="373">
        <f t="shared" si="3"/>
        <v>0</v>
      </c>
      <c r="N194" s="373">
        <f t="shared" si="3"/>
        <v>0</v>
      </c>
      <c r="O194" s="373">
        <f t="shared" si="3"/>
        <v>0</v>
      </c>
      <c r="P194" s="373">
        <f t="shared" si="3"/>
        <v>0</v>
      </c>
      <c r="Q194" s="373">
        <f t="shared" si="3"/>
        <v>0</v>
      </c>
      <c r="R194" s="373">
        <f t="shared" si="3"/>
        <v>0</v>
      </c>
      <c r="S194" s="373">
        <f t="shared" si="3"/>
        <v>0</v>
      </c>
      <c r="T194" s="373">
        <f t="shared" si="3"/>
        <v>0</v>
      </c>
      <c r="U194" s="373">
        <f t="shared" si="3"/>
        <v>0</v>
      </c>
      <c r="V194" s="373">
        <f t="shared" si="3"/>
        <v>0</v>
      </c>
      <c r="W194" s="373">
        <f t="shared" si="3"/>
        <v>0</v>
      </c>
      <c r="X194" s="373">
        <f t="shared" si="3"/>
        <v>0</v>
      </c>
      <c r="Y194" s="373">
        <f t="shared" si="3"/>
        <v>0</v>
      </c>
    </row>
    <row r="195" spans="2:43" x14ac:dyDescent="0.25">
      <c r="F195" s="93" t="s">
        <v>551</v>
      </c>
      <c r="G195" s="61" t="s">
        <v>588</v>
      </c>
      <c r="H195" s="179">
        <f>SUM(J195:Y195)</f>
        <v>0</v>
      </c>
      <c r="I195" s="97"/>
      <c r="J195" s="179">
        <f t="shared" ref="J195:Y195" si="4">IF( OR( AND(J121 = TRUE, NOT(ISBLANK(J122))), AND(J121 = FALSE, J122 = 0)), 0, 1)</f>
        <v>0</v>
      </c>
      <c r="K195" s="179">
        <f t="shared" si="4"/>
        <v>0</v>
      </c>
      <c r="L195" s="179">
        <f t="shared" si="4"/>
        <v>0</v>
      </c>
      <c r="M195" s="179">
        <f t="shared" si="4"/>
        <v>0</v>
      </c>
      <c r="N195" s="179">
        <f t="shared" si="4"/>
        <v>0</v>
      </c>
      <c r="O195" s="179">
        <f t="shared" si="4"/>
        <v>0</v>
      </c>
      <c r="P195" s="179">
        <f t="shared" si="4"/>
        <v>0</v>
      </c>
      <c r="Q195" s="179">
        <f t="shared" si="4"/>
        <v>0</v>
      </c>
      <c r="R195" s="179">
        <f t="shared" si="4"/>
        <v>0</v>
      </c>
      <c r="S195" s="179">
        <f t="shared" si="4"/>
        <v>0</v>
      </c>
      <c r="T195" s="179">
        <f t="shared" si="4"/>
        <v>0</v>
      </c>
      <c r="U195" s="179">
        <f t="shared" si="4"/>
        <v>0</v>
      </c>
      <c r="V195" s="179">
        <f t="shared" si="4"/>
        <v>0</v>
      </c>
      <c r="W195" s="179">
        <f t="shared" si="4"/>
        <v>0</v>
      </c>
      <c r="X195" s="179">
        <f t="shared" si="4"/>
        <v>0</v>
      </c>
      <c r="Y195" s="179">
        <f t="shared" si="4"/>
        <v>0</v>
      </c>
    </row>
    <row r="196" spans="2:43" x14ac:dyDescent="0.25">
      <c r="F196" s="88"/>
      <c r="G196" s="88"/>
      <c r="H196" s="88"/>
      <c r="I196" s="88"/>
    </row>
    <row r="197" spans="2:43" x14ac:dyDescent="0.25">
      <c r="E197" s="293" t="s">
        <v>374</v>
      </c>
      <c r="G197" s="122" t="s">
        <v>588</v>
      </c>
      <c r="H197" s="310">
        <f>H188 + SUM(H191:H195)</f>
        <v>0</v>
      </c>
      <c r="I197" s="88"/>
    </row>
    <row r="198" spans="2:43" x14ac:dyDescent="0.25">
      <c r="I198" s="88"/>
    </row>
    <row r="199" spans="2:43" x14ac:dyDescent="0.25">
      <c r="B199" s="95" t="s">
        <v>110</v>
      </c>
      <c r="C199" s="95"/>
      <c r="D199" s="95"/>
      <c r="E199" s="95"/>
      <c r="F199" s="95"/>
      <c r="G199" s="95"/>
      <c r="H199" s="95"/>
      <c r="I199" s="95"/>
      <c r="J199" s="95"/>
      <c r="K199" s="95"/>
      <c r="L199" s="95"/>
      <c r="M199" s="95"/>
      <c r="N199" s="95"/>
      <c r="O199" s="95"/>
      <c r="P199" s="95"/>
      <c r="Q199" s="95"/>
      <c r="R199" s="95"/>
      <c r="S199" s="95"/>
      <c r="T199" s="95"/>
      <c r="U199" s="95"/>
      <c r="V199" s="95"/>
      <c r="W199" s="95"/>
      <c r="X199" s="95"/>
      <c r="Y199" s="95"/>
      <c r="Z199" s="95"/>
      <c r="AA199" s="95"/>
      <c r="AB199" s="95"/>
      <c r="AC199" s="95"/>
      <c r="AD199" s="95"/>
      <c r="AE199" s="95"/>
      <c r="AF199" s="95"/>
      <c r="AG199" s="95"/>
      <c r="AH199" s="95"/>
      <c r="AI199" s="95"/>
      <c r="AJ199" s="95"/>
      <c r="AK199" s="95"/>
      <c r="AL199" s="95"/>
      <c r="AM199" s="95"/>
      <c r="AN199" s="95"/>
      <c r="AO199" s="95"/>
      <c r="AP199" s="95"/>
      <c r="AQ199" s="95"/>
    </row>
  </sheetData>
  <sheetProtection sheet="1" objects="1" formatCells="0" formatColumns="0" formatRows="0" sort="0" autoFilter="0"/>
  <phoneticPr fontId="39" type="noConversion"/>
  <conditionalFormatting sqref="H188">
    <cfRule type="cellIs" dxfId="226" priority="21" operator="greaterThan">
      <formula>0</formula>
    </cfRule>
  </conditionalFormatting>
  <conditionalFormatting sqref="H191:H195">
    <cfRule type="cellIs" dxfId="225" priority="20" operator="greaterThan">
      <formula>0</formula>
    </cfRule>
  </conditionalFormatting>
  <conditionalFormatting sqref="A4:I4 AC4:XFD4">
    <cfRule type="expression" dxfId="224" priority="18">
      <formula>LEFT($A$4,1) &lt;&gt; "0"</formula>
    </cfRule>
  </conditionalFormatting>
  <conditionalFormatting sqref="N191:P195">
    <cfRule type="cellIs" dxfId="223" priority="17" operator="greaterThan">
      <formula>0</formula>
    </cfRule>
  </conditionalFormatting>
  <conditionalFormatting sqref="N4:P4">
    <cfRule type="expression" dxfId="222" priority="16">
      <formula>LEFT($A$4,1) &lt;&gt; "0"</formula>
    </cfRule>
  </conditionalFormatting>
  <conditionalFormatting sqref="L191:M195">
    <cfRule type="cellIs" dxfId="221" priority="15" operator="greaterThan">
      <formula>0</formula>
    </cfRule>
  </conditionalFormatting>
  <conditionalFormatting sqref="L4:M4">
    <cfRule type="expression" dxfId="220" priority="14">
      <formula>LEFT($A$4,1) &lt;&gt; "0"</formula>
    </cfRule>
  </conditionalFormatting>
  <conditionalFormatting sqref="J191:K195">
    <cfRule type="cellIs" dxfId="219" priority="13" operator="greaterThan">
      <formula>0</formula>
    </cfRule>
  </conditionalFormatting>
  <conditionalFormatting sqref="J4:K4">
    <cfRule type="expression" dxfId="218" priority="12">
      <formula>LEFT($A$4,1) &lt;&gt; "0"</formula>
    </cfRule>
  </conditionalFormatting>
  <conditionalFormatting sqref="Q191:Q195">
    <cfRule type="cellIs" dxfId="217" priority="11" operator="greaterThan">
      <formula>0</formula>
    </cfRule>
  </conditionalFormatting>
  <conditionalFormatting sqref="Q4">
    <cfRule type="expression" dxfId="216" priority="10">
      <formula>LEFT($A$4,1) &lt;&gt; "0"</formula>
    </cfRule>
  </conditionalFormatting>
  <conditionalFormatting sqref="R191:S195">
    <cfRule type="cellIs" dxfId="215" priority="9" operator="greaterThan">
      <formula>0</formula>
    </cfRule>
  </conditionalFormatting>
  <conditionalFormatting sqref="R4:S4">
    <cfRule type="expression" dxfId="214" priority="8">
      <formula>LEFT($A$4,1) &lt;&gt; "0"</formula>
    </cfRule>
  </conditionalFormatting>
  <conditionalFormatting sqref="T191:U195">
    <cfRule type="cellIs" dxfId="213" priority="7" operator="greaterThan">
      <formula>0</formula>
    </cfRule>
  </conditionalFormatting>
  <conditionalFormatting sqref="T4:U4">
    <cfRule type="expression" dxfId="212" priority="6">
      <formula>LEFT($A$4,1) &lt;&gt; "0"</formula>
    </cfRule>
  </conditionalFormatting>
  <conditionalFormatting sqref="V191:W195">
    <cfRule type="cellIs" dxfId="211" priority="5" operator="greaterThan">
      <formula>0</formula>
    </cfRule>
  </conditionalFormatting>
  <conditionalFormatting sqref="V4:W4">
    <cfRule type="expression" dxfId="210" priority="4">
      <formula>LEFT($A$4,1) &lt;&gt; "0"</formula>
    </cfRule>
  </conditionalFormatting>
  <conditionalFormatting sqref="X191:Y195">
    <cfRule type="cellIs" dxfId="209" priority="3" operator="greaterThan">
      <formula>0</formula>
    </cfRule>
  </conditionalFormatting>
  <conditionalFormatting sqref="X4:Y4">
    <cfRule type="expression" dxfId="208" priority="2">
      <formula>LEFT($A$4,1) &lt;&gt; "0"</formula>
    </cfRule>
  </conditionalFormatting>
  <conditionalFormatting sqref="H197">
    <cfRule type="cellIs" dxfId="207" priority="1" operator="greaterThan">
      <formula>0</formula>
    </cfRule>
  </conditionalFormatting>
  <dataValidations count="10">
    <dataValidation type="list" allowBlank="1" showInputMessage="1" showErrorMessage="1" sqref="J127:Y127 J121:Y121 J117:Y117 J113:Y113 J109:Y109 J105:Y105 J131:Y131" xr:uid="{297AA298-1AA9-4A74-B69E-B41DF44A016C}">
      <formula1>"TRUE, FALSE"</formula1>
    </dataValidation>
    <dataValidation type="whole" allowBlank="1" showInputMessage="1" showErrorMessage="1" sqref="J60:Y69 J73:Y82" xr:uid="{EFBEADAE-7D0E-4C4B-9ECD-33B4AE64BD86}">
      <formula1>-1</formula1>
      <formula2>1</formula2>
    </dataValidation>
    <dataValidation type="whole" allowBlank="1" showInputMessage="1" showErrorMessage="1" sqref="J46:Y49 J53:Y56" xr:uid="{E453C2BC-42CD-412F-9EC6-085A3349B8F8}">
      <formula1>0</formula1>
      <formula2>1</formula2>
    </dataValidation>
    <dataValidation type="whole" allowBlank="1" showInputMessage="1" showErrorMessage="1" sqref="H15:H18" xr:uid="{CD1A2134-98C4-443B-97CC-6DB6028BE550}">
      <formula1>0</formula1>
      <formula2>9999</formula2>
    </dataValidation>
    <dataValidation type="decimal" allowBlank="1" showInputMessage="1" showErrorMessage="1" sqref="H41" xr:uid="{4CF1EDA2-2166-431E-9758-4CA341538E0F}">
      <formula1>0.001</formula1>
      <formula2>999999.999</formula2>
    </dataValidation>
    <dataValidation type="decimal" allowBlank="1" showInputMessage="1" showErrorMessage="1" sqref="H37" xr:uid="{8F71D260-3C97-4750-83DC-9AA697B48CC7}">
      <formula1>0.001</formula1>
      <formula2>1</formula2>
    </dataValidation>
    <dataValidation type="decimal" allowBlank="1" showInputMessage="1" showErrorMessage="1" sqref="H35" xr:uid="{6D1190E1-C7A6-44DF-BDE4-B426EB6B4788}">
      <formula1>0</formula1>
      <formula2>999999</formula2>
    </dataValidation>
    <dataValidation type="whole" allowBlank="1" showInputMessage="1" showErrorMessage="1" sqref="L145 J145 J149:P149" xr:uid="{FD0A5AAF-3022-41CA-8D3F-D27FD57EF0B2}">
      <formula1>0</formula1>
      <formula2>33</formula2>
    </dataValidation>
    <dataValidation type="decimal" allowBlank="1" showInputMessage="1" showErrorMessage="1" sqref="H39 K145 Q149:Y149 J122:Y122 J118:Y118 J114:Y114 J110:Y110 J106:Y106 J88:Y97 M145:Y145" xr:uid="{B2B05287-6124-4745-94F3-85457CC8F127}">
      <formula1>0</formula1>
      <formula2>1</formula2>
    </dataValidation>
    <dataValidation type="whole" allowBlank="1" showInputMessage="1" showErrorMessage="1" sqref="H25:H31" xr:uid="{38207839-0D51-498C-8951-0F4F8661B9CF}">
      <formula1>0</formula1>
      <formula2>10</formula2>
    </dataValidation>
  </dataValidations>
  <hyperlinks>
    <hyperlink ref="B5:F5" location="'Model map'!A1" display="Click here to return to model map" xr:uid="{E7A11964-9801-47DE-A5EA-6BACABC48177}"/>
  </hyperlinks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400758-3C45-4E1F-A176-8FC864A76222}">
  <sheetPr codeName="Sheet30">
    <tabColor theme="4" tint="0.59999389629810485"/>
    <pageSetUpPr fitToPage="1"/>
  </sheetPr>
  <dimension ref="A1:LA218"/>
  <sheetViews>
    <sheetView showGridLines="0" zoomScale="80" zoomScaleNormal="80" workbookViewId="0">
      <pane xSplit="9" ySplit="5" topLeftCell="J6" activePane="bottomRight" state="frozen"/>
      <selection pane="topRight"/>
      <selection pane="bottomLeft"/>
      <selection pane="bottomRight"/>
    </sheetView>
  </sheetViews>
  <sheetFormatPr defaultColWidth="0" defaultRowHeight="15" x14ac:dyDescent="0.25"/>
  <cols>
    <col min="1" max="5" width="2.5703125" style="293" customWidth="1"/>
    <col min="6" max="6" width="59.5703125" style="293" customWidth="1"/>
    <col min="7" max="8" width="20.5703125" style="293" customWidth="1"/>
    <col min="9" max="9" width="2.42578125" style="293" customWidth="1"/>
    <col min="10" max="41" width="17" style="293" customWidth="1"/>
    <col min="42" max="42" width="2.42578125" style="293" customWidth="1"/>
    <col min="43" max="43" width="50.5703125" style="293" customWidth="1"/>
    <col min="44" max="44" width="2.42578125" style="293" customWidth="1"/>
    <col min="45" max="313" width="20.5703125" style="293" hidden="1" customWidth="1"/>
    <col min="314" max="16384" width="9.42578125" style="293" hidden="1"/>
  </cols>
  <sheetData>
    <row r="1" spans="1:43" s="10" customFormat="1" x14ac:dyDescent="0.25">
      <c r="A1" s="10" t="str">
        <f ca="1">MID(CELL("filename",A1),FIND("]",CELL("filename",A1))+1,255)</f>
        <v>Inputs by customer type</v>
      </c>
    </row>
    <row r="2" spans="1:43" s="10" customFormat="1" x14ac:dyDescent="0.25">
      <c r="A2" s="10" t="str">
        <f>Cover!D21&amp;" - "&amp;Cover!D23</f>
        <v>Southern Electric Power Distribution plc - Final</v>
      </c>
    </row>
    <row r="3" spans="1:43" s="46" customFormat="1" x14ac:dyDescent="0.25">
      <c r="A3" s="46" t="str">
        <f>Cover!D2&amp;" - "&amp;Cover!D8&amp;" v"&amp;Cover!D10&amp;" - "&amp;Cover!D19</f>
        <v>ARP model - Release for charge setting v7 - 2023/24</v>
      </c>
    </row>
    <row r="4" spans="1:43" x14ac:dyDescent="0.25">
      <c r="A4" s="366" t="str">
        <f>H216 &amp; IF(H216 = 1, " issue", " issues") &amp;" identified in checks on this sheet"</f>
        <v>0 issues identified in checks on this sheet</v>
      </c>
      <c r="B4" s="108"/>
      <c r="C4" s="108"/>
      <c r="D4" s="108"/>
      <c r="E4" s="108"/>
      <c r="F4" s="108"/>
      <c r="G4" s="108"/>
      <c r="H4" s="111"/>
      <c r="I4" s="111"/>
    </row>
    <row r="5" spans="1:43" ht="60" x14ac:dyDescent="0.25">
      <c r="B5" s="367" t="s">
        <v>451</v>
      </c>
      <c r="C5" s="368"/>
      <c r="D5" s="368"/>
      <c r="E5" s="368"/>
      <c r="F5" s="368"/>
      <c r="G5" s="9" t="s">
        <v>91</v>
      </c>
      <c r="H5" s="11" t="s">
        <v>92</v>
      </c>
      <c r="I5" s="111"/>
      <c r="J5" s="11" t="s">
        <v>926</v>
      </c>
      <c r="K5" s="11" t="s">
        <v>927</v>
      </c>
      <c r="L5" s="11" t="s">
        <v>928</v>
      </c>
      <c r="M5" s="11" t="s">
        <v>929</v>
      </c>
      <c r="N5" s="11" t="s">
        <v>930</v>
      </c>
      <c r="O5" s="11" t="s">
        <v>931</v>
      </c>
      <c r="P5" s="11" t="s">
        <v>932</v>
      </c>
      <c r="Q5" s="11" t="s">
        <v>933</v>
      </c>
      <c r="R5" s="11" t="s">
        <v>934</v>
      </c>
      <c r="S5" s="11" t="s">
        <v>935</v>
      </c>
      <c r="T5" s="11" t="s">
        <v>936</v>
      </c>
      <c r="U5" s="11" t="s">
        <v>937</v>
      </c>
      <c r="V5" s="11" t="s">
        <v>938</v>
      </c>
      <c r="W5" s="11" t="s">
        <v>939</v>
      </c>
      <c r="X5" s="11" t="s">
        <v>940</v>
      </c>
      <c r="Y5" s="11" t="s">
        <v>941</v>
      </c>
      <c r="AQ5" s="1" t="s">
        <v>93</v>
      </c>
    </row>
    <row r="7" spans="1:43" x14ac:dyDescent="0.25">
      <c r="B7" s="95" t="s">
        <v>90</v>
      </c>
      <c r="C7" s="95"/>
      <c r="D7" s="95"/>
      <c r="E7" s="95"/>
      <c r="F7" s="95"/>
      <c r="G7" s="95"/>
      <c r="H7" s="95"/>
      <c r="I7" s="95"/>
      <c r="J7" s="95"/>
      <c r="K7" s="95"/>
      <c r="L7" s="95"/>
      <c r="M7" s="95"/>
      <c r="N7" s="95"/>
      <c r="O7" s="95"/>
      <c r="P7" s="95"/>
      <c r="Q7" s="95"/>
      <c r="R7" s="95"/>
      <c r="S7" s="95"/>
      <c r="T7" s="95"/>
      <c r="U7" s="95"/>
      <c r="V7" s="95"/>
      <c r="W7" s="95"/>
      <c r="X7" s="95"/>
      <c r="Y7" s="95"/>
      <c r="Z7" s="95"/>
      <c r="AA7" s="95"/>
      <c r="AB7" s="95"/>
      <c r="AC7" s="95"/>
      <c r="AD7" s="95"/>
      <c r="AE7" s="95"/>
      <c r="AF7" s="95"/>
      <c r="AG7" s="95"/>
      <c r="AH7" s="95"/>
      <c r="AI7" s="95"/>
      <c r="AJ7" s="95"/>
      <c r="AK7" s="95"/>
      <c r="AL7" s="95"/>
      <c r="AM7" s="95"/>
      <c r="AN7" s="95"/>
      <c r="AO7" s="95"/>
      <c r="AP7" s="95"/>
      <c r="AQ7" s="95"/>
    </row>
    <row r="9" spans="1:43" x14ac:dyDescent="0.25">
      <c r="C9" s="82" t="s">
        <v>785</v>
      </c>
    </row>
    <row r="11" spans="1:43" x14ac:dyDescent="0.25">
      <c r="E11" s="293" t="s">
        <v>481</v>
      </c>
      <c r="G11" s="293" t="s">
        <v>482</v>
      </c>
      <c r="H11" s="397" t="str">
        <f>charging_year_selected</f>
        <v>2023/24</v>
      </c>
    </row>
    <row r="12" spans="1:43" x14ac:dyDescent="0.25">
      <c r="E12" s="293" t="s">
        <v>466</v>
      </c>
      <c r="G12" s="293" t="s">
        <v>312</v>
      </c>
      <c r="H12" s="444" t="str">
        <f>'ARP_User control'!$H$36</f>
        <v>Current</v>
      </c>
    </row>
    <row r="14" spans="1:43" x14ac:dyDescent="0.25">
      <c r="B14" s="95" t="s">
        <v>445</v>
      </c>
      <c r="C14" s="95"/>
      <c r="D14" s="95"/>
      <c r="E14" s="95"/>
      <c r="F14" s="95"/>
      <c r="G14" s="95"/>
      <c r="H14" s="95"/>
      <c r="I14" s="95"/>
      <c r="J14" s="95"/>
      <c r="K14" s="95"/>
      <c r="L14" s="95"/>
      <c r="M14" s="95"/>
      <c r="N14" s="95"/>
      <c r="O14" s="95"/>
      <c r="P14" s="95"/>
      <c r="Q14" s="95"/>
      <c r="R14" s="95"/>
      <c r="S14" s="95"/>
      <c r="T14" s="95"/>
      <c r="U14" s="95"/>
      <c r="V14" s="95"/>
      <c r="W14" s="95"/>
      <c r="X14" s="95"/>
      <c r="Y14" s="95"/>
      <c r="Z14" s="95"/>
      <c r="AA14" s="95"/>
      <c r="AB14" s="95"/>
      <c r="AC14" s="95"/>
      <c r="AD14" s="95"/>
      <c r="AE14" s="95"/>
      <c r="AF14" s="95"/>
      <c r="AG14" s="95"/>
      <c r="AH14" s="95"/>
      <c r="AI14" s="95"/>
      <c r="AJ14" s="95"/>
      <c r="AK14" s="95"/>
      <c r="AL14" s="95"/>
      <c r="AM14" s="95"/>
      <c r="AN14" s="95"/>
      <c r="AO14" s="95"/>
      <c r="AP14" s="95"/>
      <c r="AQ14" s="95"/>
    </row>
    <row r="15" spans="1:43" x14ac:dyDescent="0.25">
      <c r="D15" s="14"/>
    </row>
    <row r="16" spans="1:43" x14ac:dyDescent="0.25">
      <c r="C16" s="7" t="str">
        <f ca="1">INDEX('Version control'!$H$35:$H$61,MATCH($A$1,'Version control'!$F$35:$F$61,0),1)&amp;"-A: Load characteristics"</f>
        <v>Section 501-A: Load characteristics</v>
      </c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</row>
    <row r="18" spans="3:43" x14ac:dyDescent="0.25">
      <c r="E18" s="14" t="s">
        <v>71</v>
      </c>
      <c r="G18" s="108" t="s">
        <v>94</v>
      </c>
      <c r="I18" s="293" t="s">
        <v>359</v>
      </c>
      <c r="J18" s="465">
        <f t="array" ref="J18:Y18">TRANSPOSE('ARP_Inputs by customer type'!J19:J34)</f>
        <v>0.42835382687488854</v>
      </c>
      <c r="K18" s="465">
        <v>6.8464264140201E-2</v>
      </c>
      <c r="L18" s="465">
        <v>0.41310729677387908</v>
      </c>
      <c r="M18" s="465">
        <v>0.18726120416306516</v>
      </c>
      <c r="N18" s="465">
        <v>0.56573192241822068</v>
      </c>
      <c r="O18" s="465">
        <v>0.69979416227057245</v>
      </c>
      <c r="P18" s="465">
        <v>0.6939299240123632</v>
      </c>
      <c r="Q18" s="465">
        <v>0.4735373613290324</v>
      </c>
      <c r="R18" s="370">
        <v>0</v>
      </c>
      <c r="S18" s="370">
        <v>0</v>
      </c>
      <c r="T18" s="370">
        <v>0</v>
      </c>
      <c r="U18" s="370">
        <v>0</v>
      </c>
      <c r="V18" s="370">
        <v>0</v>
      </c>
      <c r="W18" s="370">
        <v>0</v>
      </c>
      <c r="X18" s="370">
        <v>0</v>
      </c>
      <c r="Y18" s="370">
        <v>0</v>
      </c>
      <c r="AQ18" s="293" t="s">
        <v>748</v>
      </c>
    </row>
    <row r="19" spans="3:43" x14ac:dyDescent="0.25">
      <c r="E19" s="14" t="s">
        <v>70</v>
      </c>
      <c r="G19" s="108" t="s">
        <v>94</v>
      </c>
      <c r="I19" s="293" t="s">
        <v>359</v>
      </c>
      <c r="J19" s="465">
        <f t="array" ref="J19:Y19">TRANSPOSE('ARP_Inputs by customer type'!J39:J54)</f>
        <v>0.90641726855328708</v>
      </c>
      <c r="K19" s="370">
        <v>0</v>
      </c>
      <c r="L19" s="465">
        <v>0.60026303804604864</v>
      </c>
      <c r="M19" s="370">
        <v>0</v>
      </c>
      <c r="N19" s="465">
        <v>0.74745273987511418</v>
      </c>
      <c r="O19" s="465">
        <v>0.74459824015700671</v>
      </c>
      <c r="P19" s="465">
        <v>0.75390108012230195</v>
      </c>
      <c r="Q19" s="465">
        <v>0.91973646787716767</v>
      </c>
      <c r="R19" s="370">
        <v>0</v>
      </c>
      <c r="S19" s="370">
        <v>0</v>
      </c>
      <c r="T19" s="370">
        <v>0</v>
      </c>
      <c r="U19" s="370">
        <v>0</v>
      </c>
      <c r="V19" s="370">
        <v>0</v>
      </c>
      <c r="W19" s="370">
        <v>0</v>
      </c>
      <c r="X19" s="370">
        <v>0</v>
      </c>
      <c r="Y19" s="370">
        <v>0</v>
      </c>
      <c r="AQ19" s="293" t="s">
        <v>749</v>
      </c>
    </row>
    <row r="20" spans="3:43" x14ac:dyDescent="0.25">
      <c r="G20" s="108"/>
    </row>
    <row r="21" spans="3:43" x14ac:dyDescent="0.25">
      <c r="C21" s="7" t="str">
        <f ca="1">INDEX('Version control'!$H$35:$H$61,MATCH($A$1,'Version control'!$F$35:$F$61,0),1)&amp;"-B: Volume forecasts for the charging year"</f>
        <v>Section 501-B: Volume forecasts for the charging year</v>
      </c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</row>
    <row r="22" spans="3:43" x14ac:dyDescent="0.25">
      <c r="G22" s="108"/>
    </row>
    <row r="23" spans="3:43" x14ac:dyDescent="0.25">
      <c r="D23" s="82" t="s">
        <v>1042</v>
      </c>
      <c r="G23" s="108"/>
      <c r="I23" s="293" t="s">
        <v>359</v>
      </c>
      <c r="AQ23" s="293" t="s">
        <v>692</v>
      </c>
    </row>
    <row r="24" spans="3:43" x14ac:dyDescent="0.25">
      <c r="G24" s="108"/>
    </row>
    <row r="25" spans="3:43" x14ac:dyDescent="0.25">
      <c r="E25" s="96" t="s">
        <v>1043</v>
      </c>
      <c r="G25" s="108"/>
    </row>
    <row r="26" spans="3:43" x14ac:dyDescent="0.25">
      <c r="E26" s="96"/>
      <c r="F26" s="40" t="s">
        <v>199</v>
      </c>
      <c r="G26" s="40" t="s">
        <v>120</v>
      </c>
      <c r="H26" s="91"/>
      <c r="I26" s="91"/>
      <c r="J26" s="238">
        <f t="array" ref="J26:Y26">TRANSPOSE('ARP_Inputs by customer type'!J61:J76)</f>
        <v>0</v>
      </c>
      <c r="K26" s="272">
        <v>352.09798476122353</v>
      </c>
      <c r="L26" s="272">
        <v>17.674829368275692</v>
      </c>
      <c r="M26" s="272">
        <v>551.63967583646206</v>
      </c>
      <c r="N26" s="272">
        <v>97.441843836801354</v>
      </c>
      <c r="O26" s="272">
        <v>0</v>
      </c>
      <c r="P26" s="272">
        <v>282.51298224599748</v>
      </c>
      <c r="Q26" s="238">
        <v>0</v>
      </c>
      <c r="R26" s="272">
        <v>674.85025217285374</v>
      </c>
      <c r="S26" s="272">
        <v>25.768606153818535</v>
      </c>
      <c r="T26" s="272">
        <v>3471.0598153050755</v>
      </c>
      <c r="U26" s="272">
        <v>0</v>
      </c>
      <c r="V26" s="272">
        <v>0</v>
      </c>
      <c r="W26" s="272">
        <v>0</v>
      </c>
      <c r="X26" s="272">
        <v>86090.420132224855</v>
      </c>
      <c r="Y26" s="272">
        <v>0</v>
      </c>
    </row>
    <row r="27" spans="3:43" x14ac:dyDescent="0.25">
      <c r="E27" s="96"/>
      <c r="F27" s="109" t="s">
        <v>200</v>
      </c>
      <c r="G27" s="109" t="s">
        <v>120</v>
      </c>
      <c r="J27" s="279">
        <f t="array" ref="J27:Y27">TRANSPOSE('ARP_Inputs by customer type'!J79:J94)</f>
        <v>0</v>
      </c>
      <c r="K27" s="273">
        <v>43149.740797225757</v>
      </c>
      <c r="L27" s="273">
        <v>111.15518056847273</v>
      </c>
      <c r="M27" s="273">
        <v>7964.6066273601509</v>
      </c>
      <c r="N27" s="273">
        <v>556.03409177375033</v>
      </c>
      <c r="O27" s="273">
        <v>0</v>
      </c>
      <c r="P27" s="273">
        <v>4354.8781058513705</v>
      </c>
      <c r="Q27" s="279">
        <v>0</v>
      </c>
      <c r="R27" s="273">
        <v>5290.0415585937481</v>
      </c>
      <c r="S27" s="273">
        <v>199.9475994029803</v>
      </c>
      <c r="T27" s="273">
        <v>32553.160713646485</v>
      </c>
      <c r="U27" s="273">
        <v>0</v>
      </c>
      <c r="V27" s="273">
        <v>0</v>
      </c>
      <c r="W27" s="273">
        <v>0</v>
      </c>
      <c r="X27" s="273">
        <v>532778.46099718625</v>
      </c>
      <c r="Y27" s="273">
        <v>0</v>
      </c>
    </row>
    <row r="28" spans="3:43" x14ac:dyDescent="0.25">
      <c r="E28" s="96"/>
      <c r="F28" s="109" t="s">
        <v>201</v>
      </c>
      <c r="G28" s="109" t="s">
        <v>120</v>
      </c>
      <c r="J28" s="279">
        <f t="array" ref="J28:Y28">TRANSPOSE('ARP_Inputs by customer type'!J97:J112)</f>
        <v>0</v>
      </c>
      <c r="K28" s="273">
        <v>106119.38059189059</v>
      </c>
      <c r="L28" s="273">
        <v>49.387219902662743</v>
      </c>
      <c r="M28" s="273">
        <v>22951.54492456152</v>
      </c>
      <c r="N28" s="273">
        <v>291.55105418687663</v>
      </c>
      <c r="O28" s="273">
        <v>0</v>
      </c>
      <c r="P28" s="273">
        <v>3610.6522415063591</v>
      </c>
      <c r="Q28" s="279">
        <v>0</v>
      </c>
      <c r="R28" s="273">
        <v>705.96883393295752</v>
      </c>
      <c r="S28" s="273">
        <v>28.789763351391056</v>
      </c>
      <c r="T28" s="273">
        <v>8516.1143309833551</v>
      </c>
      <c r="U28" s="273">
        <v>0</v>
      </c>
      <c r="V28" s="273">
        <v>0</v>
      </c>
      <c r="W28" s="273">
        <v>0</v>
      </c>
      <c r="X28" s="273">
        <v>260951.76676867288</v>
      </c>
      <c r="Y28" s="273">
        <v>0</v>
      </c>
    </row>
    <row r="29" spans="3:43" x14ac:dyDescent="0.25">
      <c r="E29" s="96"/>
      <c r="F29" s="109" t="s">
        <v>74</v>
      </c>
      <c r="G29" s="109" t="s">
        <v>74</v>
      </c>
      <c r="J29" s="279">
        <f t="array" ref="J29:Y29">TRANSPOSE('ARP_Inputs by customer type'!J115:J130)</f>
        <v>0</v>
      </c>
      <c r="K29" s="273">
        <v>33762.707811624095</v>
      </c>
      <c r="L29" s="273">
        <v>8.4395178124941772</v>
      </c>
      <c r="M29" s="273">
        <v>4756.0967741935474</v>
      </c>
      <c r="N29" s="273">
        <v>12.633774818491784</v>
      </c>
      <c r="O29" s="273">
        <v>0</v>
      </c>
      <c r="P29" s="273">
        <v>85.104651202741692</v>
      </c>
      <c r="Q29" s="279">
        <v>0</v>
      </c>
      <c r="R29" s="273">
        <v>1884.9999999999998</v>
      </c>
      <c r="S29" s="273">
        <v>38.935483870967744</v>
      </c>
      <c r="T29" s="273">
        <v>836.76967715751107</v>
      </c>
      <c r="U29" s="273">
        <v>0</v>
      </c>
      <c r="V29" s="273">
        <v>1</v>
      </c>
      <c r="W29" s="273">
        <v>0</v>
      </c>
      <c r="X29" s="273">
        <v>232.35483870967744</v>
      </c>
      <c r="Y29" s="273">
        <v>0</v>
      </c>
    </row>
    <row r="30" spans="3:43" x14ac:dyDescent="0.25">
      <c r="E30" s="96"/>
      <c r="F30" s="109" t="s">
        <v>202</v>
      </c>
      <c r="G30" s="109" t="s">
        <v>169</v>
      </c>
      <c r="J30" s="279">
        <f t="array" ref="J30:Y30">TRANSPOSE('ARP_Inputs by customer type'!J133:J148)</f>
        <v>0</v>
      </c>
      <c r="K30" s="279">
        <v>0</v>
      </c>
      <c r="L30" s="279">
        <v>0</v>
      </c>
      <c r="M30" s="279">
        <v>0</v>
      </c>
      <c r="N30" s="273">
        <v>626.42426685731766</v>
      </c>
      <c r="O30" s="273">
        <v>0</v>
      </c>
      <c r="P30" s="273">
        <v>8729.7065907776232</v>
      </c>
      <c r="Q30" s="279">
        <v>0</v>
      </c>
      <c r="R30" s="279">
        <v>0</v>
      </c>
      <c r="S30" s="279">
        <v>0</v>
      </c>
      <c r="T30" s="279">
        <v>0</v>
      </c>
      <c r="U30" s="279">
        <v>0</v>
      </c>
      <c r="V30" s="279">
        <v>0</v>
      </c>
      <c r="W30" s="279">
        <v>0</v>
      </c>
      <c r="X30" s="279">
        <v>0</v>
      </c>
      <c r="Y30" s="279">
        <v>0</v>
      </c>
    </row>
    <row r="31" spans="3:43" x14ac:dyDescent="0.25">
      <c r="E31" s="96"/>
      <c r="F31" s="109" t="s">
        <v>203</v>
      </c>
      <c r="G31" s="109" t="s">
        <v>169</v>
      </c>
      <c r="J31" s="279">
        <f t="array" ref="J31:Y31">TRANSPOSE('ARP_Inputs by customer type'!J151:J166)</f>
        <v>0</v>
      </c>
      <c r="K31" s="279">
        <v>0</v>
      </c>
      <c r="L31" s="279">
        <v>0</v>
      </c>
      <c r="M31" s="279">
        <v>0</v>
      </c>
      <c r="N31" s="273">
        <v>8.5416436780123615</v>
      </c>
      <c r="O31" s="273">
        <v>0</v>
      </c>
      <c r="P31" s="273">
        <v>14.746655548020247</v>
      </c>
      <c r="Q31" s="279">
        <v>0</v>
      </c>
      <c r="R31" s="279">
        <v>0</v>
      </c>
      <c r="S31" s="279">
        <v>0</v>
      </c>
      <c r="T31" s="279">
        <v>0</v>
      </c>
      <c r="U31" s="279">
        <v>0</v>
      </c>
      <c r="V31" s="279">
        <v>0</v>
      </c>
      <c r="W31" s="279">
        <v>0</v>
      </c>
      <c r="X31" s="279">
        <v>0</v>
      </c>
      <c r="Y31" s="279">
        <v>0</v>
      </c>
    </row>
    <row r="32" spans="3:43" x14ac:dyDescent="0.25">
      <c r="E32" s="96"/>
      <c r="F32" s="36" t="s">
        <v>204</v>
      </c>
      <c r="G32" s="36" t="s">
        <v>170</v>
      </c>
      <c r="H32" s="93"/>
      <c r="I32" s="93"/>
      <c r="J32" s="240">
        <f t="array" ref="J32:Y32">TRANSPOSE('ARP_Inputs by customer type'!J169:J184)</f>
        <v>0</v>
      </c>
      <c r="K32" s="240">
        <v>0</v>
      </c>
      <c r="L32" s="240">
        <v>0</v>
      </c>
      <c r="M32" s="240">
        <v>0</v>
      </c>
      <c r="N32" s="274">
        <v>79.281923184762576</v>
      </c>
      <c r="O32" s="274">
        <v>0</v>
      </c>
      <c r="P32" s="274">
        <v>433.70015170933488</v>
      </c>
      <c r="Q32" s="240">
        <v>0</v>
      </c>
      <c r="R32" s="240">
        <v>0</v>
      </c>
      <c r="S32" s="240">
        <v>0</v>
      </c>
      <c r="T32" s="274">
        <v>5486.7326098670592</v>
      </c>
      <c r="U32" s="240">
        <v>0</v>
      </c>
      <c r="V32" s="274">
        <v>0</v>
      </c>
      <c r="W32" s="240">
        <v>0</v>
      </c>
      <c r="X32" s="274">
        <v>37970.304935278305</v>
      </c>
      <c r="Y32" s="240">
        <v>0</v>
      </c>
    </row>
    <row r="33" spans="5:42" x14ac:dyDescent="0.25">
      <c r="E33" s="376"/>
      <c r="F33" s="377"/>
      <c r="G33" s="377"/>
      <c r="H33" s="375"/>
      <c r="I33" s="375"/>
      <c r="J33" s="378"/>
      <c r="K33" s="378"/>
      <c r="L33" s="378"/>
      <c r="M33" s="378"/>
      <c r="N33" s="379"/>
      <c r="O33" s="379"/>
      <c r="P33" s="379"/>
      <c r="Q33" s="378"/>
      <c r="R33" s="378"/>
      <c r="S33" s="378"/>
      <c r="T33" s="379"/>
      <c r="U33" s="378"/>
      <c r="V33" s="379"/>
      <c r="W33" s="378"/>
      <c r="X33" s="379"/>
      <c r="Y33" s="378"/>
      <c r="Z33" s="375"/>
      <c r="AA33" s="375"/>
      <c r="AB33" s="375"/>
      <c r="AC33" s="375"/>
      <c r="AD33" s="375"/>
      <c r="AE33" s="375"/>
      <c r="AF33" s="375"/>
      <c r="AG33" s="375"/>
      <c r="AH33" s="375"/>
      <c r="AI33" s="375"/>
      <c r="AJ33" s="375"/>
      <c r="AK33" s="375"/>
      <c r="AL33" s="375"/>
      <c r="AM33" s="375"/>
      <c r="AN33" s="375"/>
      <c r="AO33" s="375"/>
      <c r="AP33" s="375"/>
    </row>
    <row r="34" spans="5:42" x14ac:dyDescent="0.25">
      <c r="E34" s="96" t="s">
        <v>1044</v>
      </c>
      <c r="G34" s="108"/>
    </row>
    <row r="35" spans="5:42" x14ac:dyDescent="0.25">
      <c r="E35" s="96"/>
      <c r="F35" s="40" t="s">
        <v>199</v>
      </c>
      <c r="G35" s="40" t="s">
        <v>120</v>
      </c>
      <c r="H35" s="91"/>
      <c r="I35" s="91"/>
      <c r="J35" s="272">
        <f t="array" ref="J35:Y35">TRANSPOSE('ARP_Inputs by customer type'!J189:J204)</f>
        <v>1519528.9909572054</v>
      </c>
      <c r="K35" s="238">
        <v>0</v>
      </c>
      <c r="L35" s="272">
        <v>22037.121295722271</v>
      </c>
      <c r="M35" s="238">
        <v>0</v>
      </c>
      <c r="N35" s="272">
        <v>97145.713871124273</v>
      </c>
      <c r="O35" s="272">
        <v>138.89808368080392</v>
      </c>
      <c r="P35" s="272">
        <v>28861.873179192746</v>
      </c>
      <c r="Q35" s="272">
        <v>11517.961391048839</v>
      </c>
      <c r="R35" s="238">
        <v>0</v>
      </c>
      <c r="S35" s="238">
        <v>0</v>
      </c>
      <c r="T35" s="238">
        <v>0</v>
      </c>
      <c r="U35" s="238">
        <v>0</v>
      </c>
      <c r="V35" s="238">
        <v>0</v>
      </c>
      <c r="W35" s="238">
        <v>0</v>
      </c>
      <c r="X35" s="238">
        <v>0</v>
      </c>
      <c r="Y35" s="238">
        <v>0</v>
      </c>
    </row>
    <row r="36" spans="5:42" x14ac:dyDescent="0.25">
      <c r="E36" s="96"/>
      <c r="F36" s="109" t="s">
        <v>200</v>
      </c>
      <c r="G36" s="109" t="s">
        <v>120</v>
      </c>
      <c r="J36" s="273">
        <f t="array" ref="J36:Y36">TRANSPOSE('ARP_Inputs by customer type'!J207:J222)</f>
        <v>6704922.9381034765</v>
      </c>
      <c r="K36" s="279">
        <v>0</v>
      </c>
      <c r="L36" s="273">
        <v>138589.18498143979</v>
      </c>
      <c r="M36" s="239">
        <v>0</v>
      </c>
      <c r="N36" s="273">
        <v>554344.28018943733</v>
      </c>
      <c r="O36" s="273">
        <v>759.30740603700929</v>
      </c>
      <c r="P36" s="273">
        <v>161071.9650958328</v>
      </c>
      <c r="Q36" s="273">
        <v>73125.948651823521</v>
      </c>
      <c r="R36" s="279">
        <v>0</v>
      </c>
      <c r="S36" s="279">
        <v>0</v>
      </c>
      <c r="T36" s="279">
        <v>0</v>
      </c>
      <c r="U36" s="279">
        <v>0</v>
      </c>
      <c r="V36" s="279">
        <v>0</v>
      </c>
      <c r="W36" s="279">
        <v>0</v>
      </c>
      <c r="X36" s="279">
        <v>0</v>
      </c>
      <c r="Y36" s="279">
        <v>0</v>
      </c>
    </row>
    <row r="37" spans="5:42" x14ac:dyDescent="0.25">
      <c r="E37" s="96"/>
      <c r="F37" s="109" t="s">
        <v>201</v>
      </c>
      <c r="G37" s="109" t="s">
        <v>120</v>
      </c>
      <c r="J37" s="273">
        <f t="array" ref="J37:Y37">TRANSPOSE('ARP_Inputs by customer type'!J225:J240)</f>
        <v>3714187.4425115269</v>
      </c>
      <c r="K37" s="279">
        <v>0</v>
      </c>
      <c r="L37" s="273">
        <v>61576.388251133903</v>
      </c>
      <c r="M37" s="239">
        <v>0</v>
      </c>
      <c r="N37" s="273">
        <v>290665.01795983157</v>
      </c>
      <c r="O37" s="273">
        <v>497.0286309247079</v>
      </c>
      <c r="P37" s="273">
        <v>110373.66410769592</v>
      </c>
      <c r="Q37" s="273">
        <v>109990.23751551715</v>
      </c>
      <c r="R37" s="279">
        <v>0</v>
      </c>
      <c r="S37" s="279">
        <v>0</v>
      </c>
      <c r="T37" s="279">
        <v>0</v>
      </c>
      <c r="U37" s="279">
        <v>0</v>
      </c>
      <c r="V37" s="279">
        <v>0</v>
      </c>
      <c r="W37" s="279">
        <v>0</v>
      </c>
      <c r="X37" s="279">
        <v>0</v>
      </c>
      <c r="Y37" s="279">
        <v>0</v>
      </c>
    </row>
    <row r="38" spans="5:42" x14ac:dyDescent="0.25">
      <c r="E38" s="96"/>
      <c r="F38" s="109" t="s">
        <v>74</v>
      </c>
      <c r="G38" s="109" t="s">
        <v>74</v>
      </c>
      <c r="J38" s="273">
        <f t="array" ref="J38:Y38">TRANSPOSE('ARP_Inputs by customer type'!J243:J258)</f>
        <v>2901359.4971160064</v>
      </c>
      <c r="K38" s="279">
        <v>0</v>
      </c>
      <c r="L38" s="273">
        <v>92485.136554492579</v>
      </c>
      <c r="M38" s="239">
        <v>0</v>
      </c>
      <c r="N38" s="273">
        <v>10434.139529663622</v>
      </c>
      <c r="O38" s="273">
        <v>5.0576923076923084</v>
      </c>
      <c r="P38" s="273">
        <v>542.87534104429005</v>
      </c>
      <c r="Q38" s="273">
        <v>4004.5</v>
      </c>
      <c r="R38" s="279">
        <v>0</v>
      </c>
      <c r="S38" s="279">
        <v>0</v>
      </c>
      <c r="T38" s="279">
        <v>0</v>
      </c>
      <c r="U38" s="279">
        <v>0</v>
      </c>
      <c r="V38" s="279">
        <v>0</v>
      </c>
      <c r="W38" s="279">
        <v>0</v>
      </c>
      <c r="X38" s="279">
        <v>0</v>
      </c>
      <c r="Y38" s="279">
        <v>0</v>
      </c>
    </row>
    <row r="39" spans="5:42" x14ac:dyDescent="0.25">
      <c r="E39" s="96"/>
      <c r="F39" s="109" t="s">
        <v>202</v>
      </c>
      <c r="G39" s="109" t="s">
        <v>169</v>
      </c>
      <c r="J39" s="279">
        <f t="array" ref="J39:Y39">TRANSPOSE('ARP_Inputs by customer type'!J261:J276)</f>
        <v>0</v>
      </c>
      <c r="K39" s="279">
        <v>0</v>
      </c>
      <c r="L39" s="279">
        <v>0</v>
      </c>
      <c r="M39" s="239">
        <v>0</v>
      </c>
      <c r="N39" s="273">
        <v>624520.53649529349</v>
      </c>
      <c r="O39" s="273">
        <v>489.98849305434084</v>
      </c>
      <c r="P39" s="273">
        <v>136200.89602449993</v>
      </c>
      <c r="Q39" s="279">
        <v>0</v>
      </c>
      <c r="R39" s="279">
        <v>0</v>
      </c>
      <c r="S39" s="279">
        <v>0</v>
      </c>
      <c r="T39" s="279">
        <v>0</v>
      </c>
      <c r="U39" s="279">
        <v>0</v>
      </c>
      <c r="V39" s="279">
        <v>0</v>
      </c>
      <c r="W39" s="279">
        <v>0</v>
      </c>
      <c r="X39" s="279">
        <v>0</v>
      </c>
      <c r="Y39" s="279">
        <v>0</v>
      </c>
    </row>
    <row r="40" spans="5:42" x14ac:dyDescent="0.25">
      <c r="E40" s="96"/>
      <c r="F40" s="109" t="s">
        <v>203</v>
      </c>
      <c r="G40" s="109" t="s">
        <v>169</v>
      </c>
      <c r="J40" s="279">
        <f t="array" ref="J40:Y40">TRANSPOSE('ARP_Inputs by customer type'!J279:J294)</f>
        <v>0</v>
      </c>
      <c r="K40" s="279">
        <v>0</v>
      </c>
      <c r="L40" s="279">
        <v>0</v>
      </c>
      <c r="M40" s="239">
        <v>0</v>
      </c>
      <c r="N40" s="273">
        <v>8515.6852545097026</v>
      </c>
      <c r="O40" s="273">
        <v>3.3466469995676156</v>
      </c>
      <c r="P40" s="273">
        <v>1633.3227080899942</v>
      </c>
      <c r="Q40" s="279">
        <v>0</v>
      </c>
      <c r="R40" s="279">
        <v>0</v>
      </c>
      <c r="S40" s="279">
        <v>0</v>
      </c>
      <c r="T40" s="279">
        <v>0</v>
      </c>
      <c r="U40" s="279">
        <v>0</v>
      </c>
      <c r="V40" s="279">
        <v>0</v>
      </c>
      <c r="W40" s="279">
        <v>0</v>
      </c>
      <c r="X40" s="279">
        <v>0</v>
      </c>
      <c r="Y40" s="279">
        <v>0</v>
      </c>
    </row>
    <row r="41" spans="5:42" x14ac:dyDescent="0.25">
      <c r="E41" s="96"/>
      <c r="F41" s="36" t="s">
        <v>204</v>
      </c>
      <c r="G41" s="36" t="s">
        <v>170</v>
      </c>
      <c r="H41" s="93"/>
      <c r="I41" s="93"/>
      <c r="J41" s="240">
        <f t="array" ref="J41:Y41">TRANSPOSE('ARP_Inputs by customer type'!J297:J312)</f>
        <v>0</v>
      </c>
      <c r="K41" s="240">
        <v>0</v>
      </c>
      <c r="L41" s="240">
        <v>0</v>
      </c>
      <c r="M41" s="240">
        <v>0</v>
      </c>
      <c r="N41" s="274">
        <v>79040.982001108074</v>
      </c>
      <c r="O41" s="274">
        <v>98.050691999600616</v>
      </c>
      <c r="P41" s="274">
        <v>21119.515591500556</v>
      </c>
      <c r="Q41" s="240">
        <v>0</v>
      </c>
      <c r="R41" s="240">
        <v>0</v>
      </c>
      <c r="S41" s="240">
        <v>0</v>
      </c>
      <c r="T41" s="240">
        <v>0</v>
      </c>
      <c r="U41" s="240">
        <v>0</v>
      </c>
      <c r="V41" s="240">
        <v>0</v>
      </c>
      <c r="W41" s="240">
        <v>0</v>
      </c>
      <c r="X41" s="240">
        <v>0</v>
      </c>
      <c r="Y41" s="240">
        <v>0</v>
      </c>
    </row>
    <row r="42" spans="5:42" x14ac:dyDescent="0.25">
      <c r="E42" s="376"/>
      <c r="F42" s="377"/>
      <c r="G42" s="377"/>
      <c r="H42" s="375"/>
      <c r="I42" s="375"/>
      <c r="J42" s="378"/>
      <c r="K42" s="378"/>
      <c r="L42" s="378"/>
      <c r="M42" s="378"/>
      <c r="N42" s="379"/>
      <c r="O42" s="379"/>
      <c r="P42" s="379"/>
      <c r="Q42" s="378"/>
      <c r="R42" s="378"/>
      <c r="S42" s="378"/>
      <c r="T42" s="379"/>
      <c r="U42" s="378"/>
      <c r="V42" s="379"/>
      <c r="W42" s="378"/>
      <c r="X42" s="379"/>
      <c r="Y42" s="378"/>
      <c r="Z42" s="375"/>
      <c r="AA42" s="375"/>
      <c r="AB42" s="375"/>
      <c r="AC42" s="375"/>
      <c r="AD42" s="375"/>
      <c r="AE42" s="375"/>
      <c r="AF42" s="375"/>
      <c r="AG42" s="375"/>
      <c r="AH42" s="375"/>
      <c r="AI42" s="375"/>
      <c r="AJ42" s="375"/>
      <c r="AK42" s="375"/>
      <c r="AL42" s="375"/>
      <c r="AM42" s="375"/>
      <c r="AN42" s="375"/>
      <c r="AO42" s="375"/>
      <c r="AP42" s="375"/>
    </row>
    <row r="43" spans="5:42" x14ac:dyDescent="0.25">
      <c r="E43" s="96" t="s">
        <v>1045</v>
      </c>
      <c r="G43" s="108"/>
    </row>
    <row r="44" spans="5:42" x14ac:dyDescent="0.25">
      <c r="E44" s="96"/>
      <c r="F44" s="40" t="s">
        <v>199</v>
      </c>
      <c r="G44" s="40" t="s">
        <v>120</v>
      </c>
      <c r="H44" s="91"/>
      <c r="I44" s="91"/>
      <c r="J44" s="238">
        <f t="array" ref="J44:Y44">TRANSPOSE('ARP_Inputs by customer type'!J317:J332)</f>
        <v>0</v>
      </c>
      <c r="K44" s="238">
        <v>0</v>
      </c>
      <c r="L44" s="272">
        <v>54395.390759272494</v>
      </c>
      <c r="M44" s="238">
        <v>0</v>
      </c>
      <c r="N44" s="272">
        <v>92277.527057135914</v>
      </c>
      <c r="O44" s="272">
        <v>1761.4553753775297</v>
      </c>
      <c r="P44" s="272">
        <v>100107.75475771216</v>
      </c>
      <c r="Q44" s="238">
        <v>0</v>
      </c>
      <c r="R44" s="238">
        <v>0</v>
      </c>
      <c r="S44" s="238">
        <v>0</v>
      </c>
      <c r="T44" s="238">
        <v>0</v>
      </c>
      <c r="U44" s="238">
        <v>0</v>
      </c>
      <c r="V44" s="238">
        <v>0</v>
      </c>
      <c r="W44" s="238">
        <v>0</v>
      </c>
      <c r="X44" s="238">
        <v>0</v>
      </c>
      <c r="Y44" s="238">
        <v>0</v>
      </c>
    </row>
    <row r="45" spans="5:42" x14ac:dyDescent="0.25">
      <c r="E45" s="96"/>
      <c r="F45" s="109" t="s">
        <v>200</v>
      </c>
      <c r="G45" s="109" t="s">
        <v>120</v>
      </c>
      <c r="J45" s="279">
        <f t="array" ref="J45:Y45">TRANSPOSE('ARP_Inputs by customer type'!J335:J350)</f>
        <v>0</v>
      </c>
      <c r="K45" s="279">
        <v>0</v>
      </c>
      <c r="L45" s="273">
        <v>342087.00723255862</v>
      </c>
      <c r="M45" s="279">
        <v>0</v>
      </c>
      <c r="N45" s="273">
        <v>526564.8609264507</v>
      </c>
      <c r="O45" s="273">
        <v>9629.2625246110765</v>
      </c>
      <c r="P45" s="273">
        <v>558680.05101557309</v>
      </c>
      <c r="Q45" s="279">
        <v>0</v>
      </c>
      <c r="R45" s="279">
        <v>0</v>
      </c>
      <c r="S45" s="279">
        <v>0</v>
      </c>
      <c r="T45" s="279">
        <v>0</v>
      </c>
      <c r="U45" s="279">
        <v>0</v>
      </c>
      <c r="V45" s="279">
        <v>0</v>
      </c>
      <c r="W45" s="279">
        <v>0</v>
      </c>
      <c r="X45" s="279">
        <v>0</v>
      </c>
      <c r="Y45" s="279">
        <v>0</v>
      </c>
    </row>
    <row r="46" spans="5:42" x14ac:dyDescent="0.25">
      <c r="E46" s="96"/>
      <c r="F46" s="109" t="s">
        <v>201</v>
      </c>
      <c r="G46" s="109" t="s">
        <v>120</v>
      </c>
      <c r="J46" s="279">
        <f t="array" ref="J46:Y46">TRANSPOSE('ARP_Inputs by customer type'!J353:J368)</f>
        <v>0</v>
      </c>
      <c r="K46" s="279">
        <v>0</v>
      </c>
      <c r="L46" s="273">
        <v>151992.25232359575</v>
      </c>
      <c r="M46" s="279">
        <v>0</v>
      </c>
      <c r="N46" s="273">
        <v>276099.15034371696</v>
      </c>
      <c r="O46" s="273">
        <v>6303.1377428561063</v>
      </c>
      <c r="P46" s="273">
        <v>382832.38338698726</v>
      </c>
      <c r="Q46" s="279">
        <v>0</v>
      </c>
      <c r="R46" s="279">
        <v>0</v>
      </c>
      <c r="S46" s="279">
        <v>0</v>
      </c>
      <c r="T46" s="279">
        <v>0</v>
      </c>
      <c r="U46" s="279">
        <v>0</v>
      </c>
      <c r="V46" s="279">
        <v>0</v>
      </c>
      <c r="W46" s="279">
        <v>0</v>
      </c>
      <c r="X46" s="279">
        <v>0</v>
      </c>
      <c r="Y46" s="279">
        <v>0</v>
      </c>
    </row>
    <row r="47" spans="5:42" x14ac:dyDescent="0.25">
      <c r="E47" s="96"/>
      <c r="F47" s="109" t="s">
        <v>74</v>
      </c>
      <c r="G47" s="109" t="s">
        <v>74</v>
      </c>
      <c r="J47" s="279">
        <f t="array" ref="J47:Y47">TRANSPOSE('ARP_Inputs by customer type'!J371:J386)</f>
        <v>0</v>
      </c>
      <c r="K47" s="279">
        <v>0</v>
      </c>
      <c r="L47" s="273">
        <v>69496.230336396038</v>
      </c>
      <c r="M47" s="279">
        <v>0</v>
      </c>
      <c r="N47" s="273">
        <v>5393.602994688049</v>
      </c>
      <c r="O47" s="273">
        <v>38.438461538461539</v>
      </c>
      <c r="P47" s="273">
        <v>645.37581682166717</v>
      </c>
      <c r="Q47" s="279">
        <v>0</v>
      </c>
      <c r="R47" s="279">
        <v>0</v>
      </c>
      <c r="S47" s="279">
        <v>0</v>
      </c>
      <c r="T47" s="279">
        <v>0</v>
      </c>
      <c r="U47" s="279">
        <v>0</v>
      </c>
      <c r="V47" s="279">
        <v>0</v>
      </c>
      <c r="W47" s="279">
        <v>0</v>
      </c>
      <c r="X47" s="279">
        <v>0</v>
      </c>
      <c r="Y47" s="279">
        <v>0</v>
      </c>
    </row>
    <row r="48" spans="5:42" x14ac:dyDescent="0.25">
      <c r="E48" s="96"/>
      <c r="F48" s="109" t="s">
        <v>202</v>
      </c>
      <c r="G48" s="109" t="s">
        <v>169</v>
      </c>
      <c r="J48" s="279">
        <f t="array" ref="J48:Y48">TRANSPOSE('ARP_Inputs by customer type'!J389:J404)</f>
        <v>0</v>
      </c>
      <c r="K48" s="279">
        <v>0</v>
      </c>
      <c r="L48" s="279">
        <v>0</v>
      </c>
      <c r="M48" s="279">
        <v>0</v>
      </c>
      <c r="N48" s="273">
        <v>593224.42965042905</v>
      </c>
      <c r="O48" s="273">
        <v>6213.8572548426428</v>
      </c>
      <c r="P48" s="273">
        <v>472414.44837443682</v>
      </c>
      <c r="Q48" s="279">
        <v>0</v>
      </c>
      <c r="R48" s="279">
        <v>0</v>
      </c>
      <c r="S48" s="279">
        <v>0</v>
      </c>
      <c r="T48" s="279">
        <v>0</v>
      </c>
      <c r="U48" s="279">
        <v>0</v>
      </c>
      <c r="V48" s="279">
        <v>0</v>
      </c>
      <c r="W48" s="279">
        <v>0</v>
      </c>
      <c r="X48" s="279">
        <v>0</v>
      </c>
      <c r="Y48" s="279">
        <v>0</v>
      </c>
    </row>
    <row r="49" spans="5:42" x14ac:dyDescent="0.25">
      <c r="E49" s="96"/>
      <c r="F49" s="109" t="s">
        <v>203</v>
      </c>
      <c r="G49" s="109" t="s">
        <v>169</v>
      </c>
      <c r="J49" s="279">
        <f t="array" ref="J49:Y49">TRANSPOSE('ARP_Inputs by customer type'!J407:J422)</f>
        <v>0</v>
      </c>
      <c r="K49" s="279">
        <v>0</v>
      </c>
      <c r="L49" s="279">
        <v>0</v>
      </c>
      <c r="M49" s="279">
        <v>0</v>
      </c>
      <c r="N49" s="273">
        <v>8088.9454116888892</v>
      </c>
      <c r="O49" s="273">
        <v>42.440969599166309</v>
      </c>
      <c r="P49" s="273">
        <v>5665.1994860663681</v>
      </c>
      <c r="Q49" s="279">
        <v>0</v>
      </c>
      <c r="R49" s="279">
        <v>0</v>
      </c>
      <c r="S49" s="279">
        <v>0</v>
      </c>
      <c r="T49" s="279">
        <v>0</v>
      </c>
      <c r="U49" s="279">
        <v>0</v>
      </c>
      <c r="V49" s="279">
        <v>0</v>
      </c>
      <c r="W49" s="279">
        <v>0</v>
      </c>
      <c r="X49" s="279">
        <v>0</v>
      </c>
      <c r="Y49" s="279">
        <v>0</v>
      </c>
    </row>
    <row r="50" spans="5:42" x14ac:dyDescent="0.25">
      <c r="E50" s="96"/>
      <c r="F50" s="36" t="s">
        <v>204</v>
      </c>
      <c r="G50" s="36" t="s">
        <v>170</v>
      </c>
      <c r="H50" s="93"/>
      <c r="I50" s="93"/>
      <c r="J50" s="240">
        <f t="array" ref="J50:Y50">TRANSPOSE('ARP_Inputs by customer type'!J425:J440)</f>
        <v>0</v>
      </c>
      <c r="K50" s="240">
        <v>0</v>
      </c>
      <c r="L50" s="240">
        <v>0</v>
      </c>
      <c r="M50" s="240">
        <v>0</v>
      </c>
      <c r="N50" s="274">
        <v>75080.063387107744</v>
      </c>
      <c r="O50" s="274">
        <v>1243.4434940015826</v>
      </c>
      <c r="P50" s="274">
        <v>73253.29420960162</v>
      </c>
      <c r="Q50" s="240">
        <v>0</v>
      </c>
      <c r="R50" s="240">
        <v>0</v>
      </c>
      <c r="S50" s="240">
        <v>0</v>
      </c>
      <c r="T50" s="240">
        <v>0</v>
      </c>
      <c r="U50" s="240">
        <v>0</v>
      </c>
      <c r="V50" s="240">
        <v>0</v>
      </c>
      <c r="W50" s="240">
        <v>0</v>
      </c>
      <c r="X50" s="240">
        <v>0</v>
      </c>
      <c r="Y50" s="240">
        <v>0</v>
      </c>
    </row>
    <row r="51" spans="5:42" x14ac:dyDescent="0.25">
      <c r="E51" s="376"/>
      <c r="F51" s="377"/>
      <c r="G51" s="377"/>
      <c r="H51" s="375"/>
      <c r="I51" s="375"/>
      <c r="J51" s="378"/>
      <c r="K51" s="378"/>
      <c r="L51" s="378"/>
      <c r="M51" s="378"/>
      <c r="N51" s="379"/>
      <c r="O51" s="379"/>
      <c r="P51" s="379"/>
      <c r="Q51" s="378"/>
      <c r="R51" s="378"/>
      <c r="S51" s="378"/>
      <c r="T51" s="379"/>
      <c r="U51" s="378"/>
      <c r="V51" s="379"/>
      <c r="W51" s="378"/>
      <c r="X51" s="379"/>
      <c r="Y51" s="378"/>
      <c r="Z51" s="375"/>
      <c r="AA51" s="375"/>
      <c r="AB51" s="375"/>
      <c r="AC51" s="375"/>
      <c r="AD51" s="375"/>
      <c r="AE51" s="375"/>
      <c r="AF51" s="375"/>
      <c r="AG51" s="375"/>
      <c r="AH51" s="375"/>
      <c r="AI51" s="375"/>
      <c r="AJ51" s="375"/>
      <c r="AK51" s="375"/>
      <c r="AL51" s="375"/>
      <c r="AM51" s="375"/>
      <c r="AN51" s="375"/>
      <c r="AO51" s="375"/>
      <c r="AP51" s="375"/>
    </row>
    <row r="52" spans="5:42" x14ac:dyDescent="0.25">
      <c r="E52" s="96" t="s">
        <v>1046</v>
      </c>
      <c r="G52" s="108"/>
    </row>
    <row r="53" spans="5:42" x14ac:dyDescent="0.25">
      <c r="E53" s="96"/>
      <c r="F53" s="40" t="s">
        <v>199</v>
      </c>
      <c r="G53" s="40" t="s">
        <v>120</v>
      </c>
      <c r="H53" s="91"/>
      <c r="I53" s="91"/>
      <c r="J53" s="238">
        <f t="array" ref="J53:Y53">TRANSPOSE('ARP_Inputs by customer type'!J445:J460)</f>
        <v>0</v>
      </c>
      <c r="K53" s="238">
        <v>0</v>
      </c>
      <c r="L53" s="272">
        <v>65264.684853173239</v>
      </c>
      <c r="M53" s="238">
        <v>0</v>
      </c>
      <c r="N53" s="272">
        <v>76024.94322921471</v>
      </c>
      <c r="O53" s="272">
        <v>2173.7766138556271</v>
      </c>
      <c r="P53" s="272">
        <v>79456.951208523518</v>
      </c>
      <c r="Q53" s="238">
        <v>0</v>
      </c>
      <c r="R53" s="238">
        <v>0</v>
      </c>
      <c r="S53" s="238">
        <v>0</v>
      </c>
      <c r="T53" s="238">
        <v>0</v>
      </c>
      <c r="U53" s="238">
        <v>0</v>
      </c>
      <c r="V53" s="238">
        <v>0</v>
      </c>
      <c r="W53" s="238">
        <v>0</v>
      </c>
      <c r="X53" s="238">
        <v>0</v>
      </c>
      <c r="Y53" s="238">
        <v>0</v>
      </c>
    </row>
    <row r="54" spans="5:42" x14ac:dyDescent="0.25">
      <c r="E54" s="96"/>
      <c r="F54" s="109" t="s">
        <v>200</v>
      </c>
      <c r="G54" s="109" t="s">
        <v>120</v>
      </c>
      <c r="J54" s="279">
        <f t="array" ref="J54:Y54">TRANSPOSE('ARP_Inputs by customer type'!J463:J478)</f>
        <v>0</v>
      </c>
      <c r="K54" s="279">
        <v>0</v>
      </c>
      <c r="L54" s="273">
        <v>410442.87774681178</v>
      </c>
      <c r="M54" s="279">
        <v>0</v>
      </c>
      <c r="N54" s="273">
        <v>433822.45856725133</v>
      </c>
      <c r="O54" s="273">
        <v>11883.279007388797</v>
      </c>
      <c r="P54" s="273">
        <v>443432.31612933561</v>
      </c>
      <c r="Q54" s="279">
        <v>0</v>
      </c>
      <c r="R54" s="279">
        <v>0</v>
      </c>
      <c r="S54" s="279">
        <v>0</v>
      </c>
      <c r="T54" s="279">
        <v>0</v>
      </c>
      <c r="U54" s="279">
        <v>0</v>
      </c>
      <c r="V54" s="279">
        <v>0</v>
      </c>
      <c r="W54" s="279">
        <v>0</v>
      </c>
      <c r="X54" s="279">
        <v>0</v>
      </c>
      <c r="Y54" s="279">
        <v>0</v>
      </c>
    </row>
    <row r="55" spans="5:42" x14ac:dyDescent="0.25">
      <c r="E55" s="96"/>
      <c r="F55" s="109" t="s">
        <v>201</v>
      </c>
      <c r="G55" s="109" t="s">
        <v>120</v>
      </c>
      <c r="J55" s="279">
        <f t="array" ref="J55:Y55">TRANSPOSE('ARP_Inputs by customer type'!J481:J496)</f>
        <v>0</v>
      </c>
      <c r="K55" s="279">
        <v>0</v>
      </c>
      <c r="L55" s="273">
        <v>182363.36405640218</v>
      </c>
      <c r="M55" s="279">
        <v>0</v>
      </c>
      <c r="N55" s="273">
        <v>227470.57598887279</v>
      </c>
      <c r="O55" s="273">
        <v>7778.5753819591955</v>
      </c>
      <c r="P55" s="273">
        <v>303859.51699190616</v>
      </c>
      <c r="Q55" s="279">
        <v>0</v>
      </c>
      <c r="R55" s="279">
        <v>0</v>
      </c>
      <c r="S55" s="279">
        <v>0</v>
      </c>
      <c r="T55" s="279">
        <v>0</v>
      </c>
      <c r="U55" s="279">
        <v>0</v>
      </c>
      <c r="V55" s="279">
        <v>0</v>
      </c>
      <c r="W55" s="279">
        <v>0</v>
      </c>
      <c r="X55" s="279">
        <v>0</v>
      </c>
      <c r="Y55" s="279">
        <v>0</v>
      </c>
    </row>
    <row r="56" spans="5:42" x14ac:dyDescent="0.25">
      <c r="E56" s="96"/>
      <c r="F56" s="109" t="s">
        <v>74</v>
      </c>
      <c r="G56" s="109" t="s">
        <v>74</v>
      </c>
      <c r="J56" s="279">
        <f t="array" ref="J56:Y56">TRANSPOSE('ARP_Inputs by customer type'!J499:J514)</f>
        <v>0</v>
      </c>
      <c r="K56" s="279">
        <v>0</v>
      </c>
      <c r="L56" s="273">
        <v>36790.20623631154</v>
      </c>
      <c r="M56" s="279">
        <v>0</v>
      </c>
      <c r="N56" s="273">
        <v>2872.553606714172</v>
      </c>
      <c r="O56" s="273">
        <v>45.519230769230766</v>
      </c>
      <c r="P56" s="273">
        <v>279.08054008462864</v>
      </c>
      <c r="Q56" s="279">
        <v>0</v>
      </c>
      <c r="R56" s="279">
        <v>0</v>
      </c>
      <c r="S56" s="279">
        <v>0</v>
      </c>
      <c r="T56" s="279">
        <v>0</v>
      </c>
      <c r="U56" s="279">
        <v>0</v>
      </c>
      <c r="V56" s="279">
        <v>0</v>
      </c>
      <c r="W56" s="279">
        <v>0</v>
      </c>
      <c r="X56" s="279">
        <v>0</v>
      </c>
      <c r="Y56" s="279">
        <v>0</v>
      </c>
    </row>
    <row r="57" spans="5:42" x14ac:dyDescent="0.25">
      <c r="E57" s="96"/>
      <c r="F57" s="109" t="s">
        <v>202</v>
      </c>
      <c r="G57" s="109" t="s">
        <v>169</v>
      </c>
      <c r="J57" s="279">
        <f t="array" ref="J57:Y57">TRANSPOSE('ARP_Inputs by customer type'!J517:J532)</f>
        <v>0</v>
      </c>
      <c r="K57" s="279">
        <v>0</v>
      </c>
      <c r="L57" s="279">
        <v>0</v>
      </c>
      <c r="M57" s="279">
        <v>0</v>
      </c>
      <c r="N57" s="273">
        <v>488741.46311303356</v>
      </c>
      <c r="O57" s="273">
        <v>7668.3961292627218</v>
      </c>
      <c r="P57" s="273">
        <v>374962.07826794166</v>
      </c>
      <c r="Q57" s="279">
        <v>0</v>
      </c>
      <c r="R57" s="279">
        <v>0</v>
      </c>
      <c r="S57" s="279">
        <v>0</v>
      </c>
      <c r="T57" s="279">
        <v>0</v>
      </c>
      <c r="U57" s="279">
        <v>0</v>
      </c>
      <c r="V57" s="279">
        <v>0</v>
      </c>
      <c r="W57" s="279">
        <v>0</v>
      </c>
      <c r="X57" s="279">
        <v>0</v>
      </c>
      <c r="Y57" s="279">
        <v>0</v>
      </c>
    </row>
    <row r="58" spans="5:42" x14ac:dyDescent="0.25">
      <c r="E58" s="96"/>
      <c r="F58" s="109" t="s">
        <v>203</v>
      </c>
      <c r="G58" s="109" t="s">
        <v>169</v>
      </c>
      <c r="J58" s="279">
        <f t="array" ref="J58:Y58">TRANSPOSE('ARP_Inputs by customer type'!J535:J550)</f>
        <v>0</v>
      </c>
      <c r="K58" s="279">
        <v>0</v>
      </c>
      <c r="L58" s="279">
        <v>0</v>
      </c>
      <c r="M58" s="279">
        <v>0</v>
      </c>
      <c r="N58" s="273">
        <v>6664.2619857714217</v>
      </c>
      <c r="O58" s="273">
        <v>52.375546081746194</v>
      </c>
      <c r="P58" s="273">
        <v>4496.5495454411821</v>
      </c>
      <c r="Q58" s="279">
        <v>0</v>
      </c>
      <c r="R58" s="279">
        <v>0</v>
      </c>
      <c r="S58" s="279">
        <v>0</v>
      </c>
      <c r="T58" s="279">
        <v>0</v>
      </c>
      <c r="U58" s="279">
        <v>0</v>
      </c>
      <c r="V58" s="279">
        <v>0</v>
      </c>
      <c r="W58" s="279">
        <v>0</v>
      </c>
      <c r="X58" s="279">
        <v>0</v>
      </c>
      <c r="Y58" s="279">
        <v>0</v>
      </c>
    </row>
    <row r="59" spans="5:42" x14ac:dyDescent="0.25">
      <c r="E59" s="96"/>
      <c r="F59" s="36" t="s">
        <v>204</v>
      </c>
      <c r="G59" s="36" t="s">
        <v>170</v>
      </c>
      <c r="H59" s="93"/>
      <c r="I59" s="93"/>
      <c r="J59" s="240">
        <f t="array" ref="J59:Y59">TRANSPOSE('ARP_Inputs by customer type'!J553:J568)</f>
        <v>0</v>
      </c>
      <c r="K59" s="240">
        <v>0</v>
      </c>
      <c r="L59" s="240">
        <v>0</v>
      </c>
      <c r="M59" s="240">
        <v>0</v>
      </c>
      <c r="N59" s="274">
        <v>61856.420936773538</v>
      </c>
      <c r="O59" s="274">
        <v>1534.5085806288153</v>
      </c>
      <c r="P59" s="274">
        <v>58142.183270048139</v>
      </c>
      <c r="Q59" s="240">
        <v>0</v>
      </c>
      <c r="R59" s="240">
        <v>0</v>
      </c>
      <c r="S59" s="240">
        <v>0</v>
      </c>
      <c r="T59" s="240">
        <v>0</v>
      </c>
      <c r="U59" s="240">
        <v>0</v>
      </c>
      <c r="V59" s="240">
        <v>0</v>
      </c>
      <c r="W59" s="240">
        <v>0</v>
      </c>
      <c r="X59" s="240">
        <v>0</v>
      </c>
      <c r="Y59" s="240">
        <v>0</v>
      </c>
    </row>
    <row r="60" spans="5:42" x14ac:dyDescent="0.25">
      <c r="E60" s="376"/>
      <c r="F60" s="377"/>
      <c r="G60" s="377"/>
      <c r="H60" s="375"/>
      <c r="I60" s="375"/>
      <c r="J60" s="378"/>
      <c r="K60" s="378"/>
      <c r="L60" s="378"/>
      <c r="M60" s="378"/>
      <c r="N60" s="379"/>
      <c r="O60" s="379"/>
      <c r="P60" s="379"/>
      <c r="Q60" s="378"/>
      <c r="R60" s="378"/>
      <c r="S60" s="378"/>
      <c r="T60" s="379"/>
      <c r="U60" s="378"/>
      <c r="V60" s="379"/>
      <c r="W60" s="378"/>
      <c r="X60" s="379"/>
      <c r="Y60" s="378"/>
      <c r="Z60" s="375"/>
      <c r="AA60" s="375"/>
      <c r="AB60" s="375"/>
      <c r="AC60" s="375"/>
      <c r="AD60" s="375"/>
      <c r="AE60" s="375"/>
      <c r="AF60" s="375"/>
      <c r="AG60" s="375"/>
      <c r="AH60" s="375"/>
      <c r="AI60" s="375"/>
      <c r="AJ60" s="375"/>
      <c r="AK60" s="375"/>
      <c r="AL60" s="375"/>
      <c r="AM60" s="375"/>
      <c r="AN60" s="375"/>
      <c r="AO60" s="375"/>
      <c r="AP60" s="375"/>
    </row>
    <row r="61" spans="5:42" x14ac:dyDescent="0.25">
      <c r="E61" s="96" t="s">
        <v>1047</v>
      </c>
      <c r="G61" s="108"/>
    </row>
    <row r="62" spans="5:42" x14ac:dyDescent="0.25">
      <c r="E62" s="96"/>
      <c r="F62" s="40" t="s">
        <v>199</v>
      </c>
      <c r="G62" s="40" t="s">
        <v>120</v>
      </c>
      <c r="H62" s="91"/>
      <c r="I62" s="91"/>
      <c r="J62" s="238">
        <f t="array" ref="J62:Y62">TRANSPOSE('ARP_Inputs by customer type'!J573:J588)</f>
        <v>0</v>
      </c>
      <c r="K62" s="238">
        <v>0</v>
      </c>
      <c r="L62" s="272">
        <v>164259.89680995391</v>
      </c>
      <c r="M62" s="238">
        <v>0</v>
      </c>
      <c r="N62" s="272">
        <v>250114.31594746836</v>
      </c>
      <c r="O62" s="272">
        <v>28919.487278232933</v>
      </c>
      <c r="P62" s="272">
        <v>210995.36369946759</v>
      </c>
      <c r="Q62" s="238">
        <v>0</v>
      </c>
      <c r="R62" s="238">
        <v>0</v>
      </c>
      <c r="S62" s="238">
        <v>0</v>
      </c>
      <c r="T62" s="238">
        <v>0</v>
      </c>
      <c r="U62" s="238">
        <v>0</v>
      </c>
      <c r="V62" s="238">
        <v>0</v>
      </c>
      <c r="W62" s="238">
        <v>0</v>
      </c>
      <c r="X62" s="238">
        <v>0</v>
      </c>
      <c r="Y62" s="238">
        <v>0</v>
      </c>
    </row>
    <row r="63" spans="5:42" x14ac:dyDescent="0.25">
      <c r="E63" s="96"/>
      <c r="F63" s="109" t="s">
        <v>200</v>
      </c>
      <c r="G63" s="109" t="s">
        <v>120</v>
      </c>
      <c r="J63" s="279">
        <f t="array" ref="J63:Y63">TRANSPOSE('ARP_Inputs by customer type'!J591:J606)</f>
        <v>0</v>
      </c>
      <c r="K63" s="279">
        <v>0</v>
      </c>
      <c r="L63" s="273">
        <v>1033013.5646367689</v>
      </c>
      <c r="M63" s="279">
        <v>0</v>
      </c>
      <c r="N63" s="273">
        <v>1427231.6802664949</v>
      </c>
      <c r="O63" s="273">
        <v>158092.75612194854</v>
      </c>
      <c r="P63" s="273">
        <v>1177520.1715488152</v>
      </c>
      <c r="Q63" s="279">
        <v>0</v>
      </c>
      <c r="R63" s="279">
        <v>0</v>
      </c>
      <c r="S63" s="279">
        <v>0</v>
      </c>
      <c r="T63" s="279">
        <v>0</v>
      </c>
      <c r="U63" s="279">
        <v>0</v>
      </c>
      <c r="V63" s="279">
        <v>0</v>
      </c>
      <c r="W63" s="279">
        <v>0</v>
      </c>
      <c r="X63" s="279">
        <v>0</v>
      </c>
      <c r="Y63" s="279">
        <v>0</v>
      </c>
    </row>
    <row r="64" spans="5:42" x14ac:dyDescent="0.25">
      <c r="E64" s="96"/>
      <c r="F64" s="109" t="s">
        <v>201</v>
      </c>
      <c r="G64" s="109" t="s">
        <v>120</v>
      </c>
      <c r="J64" s="279">
        <f t="array" ref="J64:Y64">TRANSPOSE('ARP_Inputs by customer type'!J609:J624)</f>
        <v>0</v>
      </c>
      <c r="K64" s="279">
        <v>0</v>
      </c>
      <c r="L64" s="273">
        <v>458976.97091789806</v>
      </c>
      <c r="M64" s="279">
        <v>0</v>
      </c>
      <c r="N64" s="273">
        <v>748355.01474956132</v>
      </c>
      <c r="O64" s="273">
        <v>103484.60387672807</v>
      </c>
      <c r="P64" s="273">
        <v>806889.11827231373</v>
      </c>
      <c r="Q64" s="279">
        <v>0</v>
      </c>
      <c r="R64" s="279">
        <v>0</v>
      </c>
      <c r="S64" s="279">
        <v>0</v>
      </c>
      <c r="T64" s="279">
        <v>0</v>
      </c>
      <c r="U64" s="279">
        <v>0</v>
      </c>
      <c r="V64" s="279">
        <v>0</v>
      </c>
      <c r="W64" s="279">
        <v>0</v>
      </c>
      <c r="X64" s="279">
        <v>0</v>
      </c>
      <c r="Y64" s="279">
        <v>0</v>
      </c>
    </row>
    <row r="65" spans="4:43" x14ac:dyDescent="0.25">
      <c r="E65" s="96"/>
      <c r="F65" s="109" t="s">
        <v>74</v>
      </c>
      <c r="G65" s="109" t="s">
        <v>74</v>
      </c>
      <c r="J65" s="279">
        <f t="array" ref="J65:Y65">TRANSPOSE('ARP_Inputs by customer type'!J627:J642)</f>
        <v>0</v>
      </c>
      <c r="K65" s="279">
        <v>0</v>
      </c>
      <c r="L65" s="273">
        <v>34033.274397354267</v>
      </c>
      <c r="M65" s="279">
        <v>0</v>
      </c>
      <c r="N65" s="273">
        <v>3909.270300556323</v>
      </c>
      <c r="O65" s="273">
        <v>173.98461538461538</v>
      </c>
      <c r="P65" s="273">
        <v>282.09136748803127</v>
      </c>
      <c r="Q65" s="279">
        <v>0</v>
      </c>
      <c r="R65" s="279">
        <v>0</v>
      </c>
      <c r="S65" s="279">
        <v>0</v>
      </c>
      <c r="T65" s="279">
        <v>0</v>
      </c>
      <c r="U65" s="279">
        <v>0</v>
      </c>
      <c r="V65" s="279">
        <v>0</v>
      </c>
      <c r="W65" s="279">
        <v>0</v>
      </c>
      <c r="X65" s="279">
        <v>0</v>
      </c>
      <c r="Y65" s="279">
        <v>0</v>
      </c>
    </row>
    <row r="66" spans="4:43" x14ac:dyDescent="0.25">
      <c r="E66" s="96"/>
      <c r="F66" s="109" t="s">
        <v>202</v>
      </c>
      <c r="G66" s="109" t="s">
        <v>169</v>
      </c>
      <c r="J66" s="279">
        <f t="array" ref="J66:Y66">TRANSPOSE('ARP_Inputs by customer type'!J645:J660)</f>
        <v>0</v>
      </c>
      <c r="K66" s="279">
        <v>0</v>
      </c>
      <c r="L66" s="279">
        <v>0</v>
      </c>
      <c r="M66" s="279">
        <v>0</v>
      </c>
      <c r="N66" s="273">
        <v>1607909.6087336058</v>
      </c>
      <c r="O66" s="273">
        <v>102018.80123796046</v>
      </c>
      <c r="P66" s="273">
        <v>995699.66974979674</v>
      </c>
      <c r="Q66" s="279">
        <v>0</v>
      </c>
      <c r="R66" s="279">
        <v>0</v>
      </c>
      <c r="S66" s="279">
        <v>0</v>
      </c>
      <c r="T66" s="279">
        <v>0</v>
      </c>
      <c r="U66" s="279">
        <v>0</v>
      </c>
      <c r="V66" s="279">
        <v>0</v>
      </c>
      <c r="W66" s="279">
        <v>0</v>
      </c>
      <c r="X66" s="279">
        <v>0</v>
      </c>
      <c r="Y66" s="279">
        <v>0</v>
      </c>
    </row>
    <row r="67" spans="4:43" x14ac:dyDescent="0.25">
      <c r="E67" s="96"/>
      <c r="F67" s="109" t="s">
        <v>203</v>
      </c>
      <c r="G67" s="109" t="s">
        <v>169</v>
      </c>
      <c r="J67" s="279">
        <f t="array" ref="J67:Y67">TRANSPOSE('ARP_Inputs by customer type'!J663:J678)</f>
        <v>0</v>
      </c>
      <c r="K67" s="279">
        <v>0</v>
      </c>
      <c r="L67" s="279">
        <v>0</v>
      </c>
      <c r="M67" s="279">
        <v>0</v>
      </c>
      <c r="N67" s="273">
        <v>21924.742815531772</v>
      </c>
      <c r="O67" s="273">
        <v>696.79374087799431</v>
      </c>
      <c r="P67" s="273">
        <v>11940.441865723931</v>
      </c>
      <c r="Q67" s="279">
        <v>0</v>
      </c>
      <c r="R67" s="279">
        <v>0</v>
      </c>
      <c r="S67" s="279">
        <v>0</v>
      </c>
      <c r="T67" s="279">
        <v>0</v>
      </c>
      <c r="U67" s="279">
        <v>0</v>
      </c>
      <c r="V67" s="279">
        <v>0</v>
      </c>
      <c r="W67" s="279">
        <v>0</v>
      </c>
      <c r="X67" s="279">
        <v>0</v>
      </c>
      <c r="Y67" s="279">
        <v>0</v>
      </c>
    </row>
    <row r="68" spans="4:43" x14ac:dyDescent="0.25">
      <c r="E68" s="96"/>
      <c r="F68" s="36" t="s">
        <v>204</v>
      </c>
      <c r="G68" s="36" t="s">
        <v>170</v>
      </c>
      <c r="H68" s="93"/>
      <c r="I68" s="93"/>
      <c r="J68" s="240">
        <f t="array" ref="J68:Y68">TRANSPOSE('ARP_Inputs by customer type'!J681:J696)</f>
        <v>0</v>
      </c>
      <c r="K68" s="240">
        <v>0</v>
      </c>
      <c r="L68" s="240">
        <v>0</v>
      </c>
      <c r="M68" s="240">
        <v>0</v>
      </c>
      <c r="N68" s="274">
        <v>203501.32144017884</v>
      </c>
      <c r="O68" s="274">
        <v>20414.793816887406</v>
      </c>
      <c r="P68" s="274">
        <v>154394.68691858038</v>
      </c>
      <c r="Q68" s="240">
        <v>0</v>
      </c>
      <c r="R68" s="240">
        <v>0</v>
      </c>
      <c r="S68" s="240">
        <v>0</v>
      </c>
      <c r="T68" s="240">
        <v>0</v>
      </c>
      <c r="U68" s="240">
        <v>0</v>
      </c>
      <c r="V68" s="240">
        <v>0</v>
      </c>
      <c r="W68" s="240">
        <v>0</v>
      </c>
      <c r="X68" s="240">
        <v>0</v>
      </c>
      <c r="Y68" s="240">
        <v>0</v>
      </c>
    </row>
    <row r="69" spans="4:43" x14ac:dyDescent="0.25">
      <c r="E69" s="376"/>
      <c r="F69" s="377"/>
      <c r="G69" s="377"/>
      <c r="H69" s="375"/>
      <c r="I69" s="375"/>
      <c r="J69" s="378"/>
      <c r="K69" s="378"/>
      <c r="L69" s="378"/>
      <c r="M69" s="378"/>
      <c r="N69" s="379"/>
      <c r="O69" s="379"/>
      <c r="P69" s="379"/>
      <c r="Q69" s="378"/>
      <c r="R69" s="378"/>
      <c r="S69" s="378"/>
      <c r="T69" s="379"/>
      <c r="U69" s="378"/>
      <c r="V69" s="379"/>
      <c r="W69" s="378"/>
      <c r="X69" s="379"/>
      <c r="Y69" s="378"/>
      <c r="Z69" s="375"/>
      <c r="AA69" s="375"/>
      <c r="AB69" s="375"/>
      <c r="AC69" s="375"/>
      <c r="AD69" s="375"/>
      <c r="AE69" s="375"/>
      <c r="AF69" s="375"/>
      <c r="AG69" s="375"/>
      <c r="AH69" s="375"/>
      <c r="AI69" s="375"/>
      <c r="AJ69" s="375"/>
      <c r="AK69" s="375"/>
      <c r="AL69" s="375"/>
      <c r="AM69" s="375"/>
      <c r="AN69" s="375"/>
      <c r="AO69" s="375"/>
      <c r="AP69" s="375"/>
    </row>
    <row r="70" spans="4:43" x14ac:dyDescent="0.25">
      <c r="D70" s="82" t="s">
        <v>1048</v>
      </c>
      <c r="G70" s="108"/>
      <c r="I70" s="293" t="s">
        <v>359</v>
      </c>
      <c r="AQ70" s="293" t="s">
        <v>692</v>
      </c>
    </row>
    <row r="71" spans="4:43" x14ac:dyDescent="0.25">
      <c r="G71" s="108"/>
    </row>
    <row r="72" spans="4:43" x14ac:dyDescent="0.25">
      <c r="E72" s="96" t="s">
        <v>1049</v>
      </c>
      <c r="G72" s="108"/>
    </row>
    <row r="73" spans="4:43" x14ac:dyDescent="0.25">
      <c r="E73" s="96"/>
      <c r="F73" s="40" t="s">
        <v>199</v>
      </c>
      <c r="G73" s="40" t="s">
        <v>120</v>
      </c>
      <c r="H73" s="91"/>
      <c r="I73" s="91"/>
      <c r="J73" s="238">
        <f t="array" ref="J73:Y73">TRANSPOSE('ARP_Inputs by customer type'!J701:J716)</f>
        <v>0</v>
      </c>
      <c r="K73" s="272">
        <v>0</v>
      </c>
      <c r="L73" s="272">
        <v>3.0375372524205455E-2</v>
      </c>
      <c r="M73" s="272">
        <v>29.268702844790479</v>
      </c>
      <c r="N73" s="272">
        <v>0.31107049755657146</v>
      </c>
      <c r="O73" s="238">
        <v>0</v>
      </c>
      <c r="P73" s="238">
        <v>0</v>
      </c>
      <c r="Q73" s="238">
        <v>0</v>
      </c>
      <c r="R73" s="272">
        <v>26.613504917281357</v>
      </c>
      <c r="S73" s="238">
        <v>0</v>
      </c>
      <c r="T73" s="272">
        <v>0</v>
      </c>
      <c r="U73" s="238">
        <v>0</v>
      </c>
      <c r="V73" s="238">
        <v>0</v>
      </c>
      <c r="W73" s="238">
        <v>0</v>
      </c>
      <c r="X73" s="238">
        <v>0</v>
      </c>
      <c r="Y73" s="238">
        <v>0</v>
      </c>
    </row>
    <row r="74" spans="4:43" x14ac:dyDescent="0.25">
      <c r="E74" s="96"/>
      <c r="F74" s="109" t="s">
        <v>200</v>
      </c>
      <c r="G74" s="109" t="s">
        <v>120</v>
      </c>
      <c r="J74" s="279">
        <f t="array" ref="J74:Y74">TRANSPOSE('ARP_Inputs by customer type'!J719:J734)</f>
        <v>0</v>
      </c>
      <c r="K74" s="273">
        <v>0</v>
      </c>
      <c r="L74" s="273">
        <v>0.19289983188688145</v>
      </c>
      <c r="M74" s="273">
        <v>179.17889035465157</v>
      </c>
      <c r="N74" s="273">
        <v>1.8226331011284325</v>
      </c>
      <c r="O74" s="279">
        <v>0</v>
      </c>
      <c r="P74" s="279">
        <v>0</v>
      </c>
      <c r="Q74" s="279">
        <v>0</v>
      </c>
      <c r="R74" s="273">
        <v>222.99704050037963</v>
      </c>
      <c r="S74" s="279">
        <v>0</v>
      </c>
      <c r="T74" s="273">
        <v>0</v>
      </c>
      <c r="U74" s="279">
        <v>0</v>
      </c>
      <c r="V74" s="279">
        <v>0</v>
      </c>
      <c r="W74" s="279">
        <v>0</v>
      </c>
      <c r="X74" s="279">
        <v>0</v>
      </c>
      <c r="Y74" s="279">
        <v>0</v>
      </c>
    </row>
    <row r="75" spans="4:43" x14ac:dyDescent="0.25">
      <c r="E75" s="96"/>
      <c r="F75" s="109" t="s">
        <v>201</v>
      </c>
      <c r="G75" s="109" t="s">
        <v>120</v>
      </c>
      <c r="J75" s="279">
        <f t="array" ref="J75:Y75">TRANSPOSE('ARP_Inputs by customer type'!J737:J752)</f>
        <v>0</v>
      </c>
      <c r="K75" s="273">
        <v>0</v>
      </c>
      <c r="L75" s="273">
        <v>8.6786395358914928E-2</v>
      </c>
      <c r="M75" s="273">
        <v>94.027914478237506</v>
      </c>
      <c r="N75" s="273">
        <v>1.0806857353958756</v>
      </c>
      <c r="O75" s="279">
        <v>0</v>
      </c>
      <c r="P75" s="279">
        <v>0</v>
      </c>
      <c r="Q75" s="279">
        <v>0</v>
      </c>
      <c r="R75" s="273">
        <v>20.758512136782162</v>
      </c>
      <c r="S75" s="279">
        <v>0</v>
      </c>
      <c r="T75" s="273">
        <v>0</v>
      </c>
      <c r="U75" s="279">
        <v>0</v>
      </c>
      <c r="V75" s="279">
        <v>0</v>
      </c>
      <c r="W75" s="279">
        <v>0</v>
      </c>
      <c r="X75" s="279">
        <v>0</v>
      </c>
      <c r="Y75" s="279">
        <v>0</v>
      </c>
    </row>
    <row r="76" spans="4:43" x14ac:dyDescent="0.25">
      <c r="E76" s="96"/>
      <c r="F76" s="109" t="s">
        <v>74</v>
      </c>
      <c r="G76" s="109" t="s">
        <v>74</v>
      </c>
      <c r="J76" s="279">
        <f t="array" ref="J76:Y76">TRANSPOSE('ARP_Inputs by customer type'!J755:J770)</f>
        <v>0</v>
      </c>
      <c r="K76" s="273">
        <v>0</v>
      </c>
      <c r="L76" s="273">
        <v>1.562562276581243E-2</v>
      </c>
      <c r="M76" s="273">
        <v>4</v>
      </c>
      <c r="N76" s="273">
        <v>7.7906285467221531E-2</v>
      </c>
      <c r="O76" s="279">
        <v>0</v>
      </c>
      <c r="P76" s="279">
        <v>0</v>
      </c>
      <c r="Q76" s="279">
        <v>0</v>
      </c>
      <c r="R76" s="273">
        <v>50.451612903225801</v>
      </c>
      <c r="S76" s="279">
        <v>0</v>
      </c>
      <c r="T76" s="273">
        <v>0</v>
      </c>
      <c r="U76" s="279">
        <v>0</v>
      </c>
      <c r="V76" s="279">
        <v>0</v>
      </c>
      <c r="W76" s="279">
        <v>0</v>
      </c>
      <c r="X76" s="279">
        <v>0</v>
      </c>
      <c r="Y76" s="279">
        <v>0</v>
      </c>
    </row>
    <row r="77" spans="4:43" x14ac:dyDescent="0.25">
      <c r="E77" s="96"/>
      <c r="F77" s="109" t="s">
        <v>202</v>
      </c>
      <c r="G77" s="109" t="s">
        <v>169</v>
      </c>
      <c r="J77" s="279">
        <f t="array" ref="J77:Y77">TRANSPOSE('ARP_Inputs by customer type'!J773:J788)</f>
        <v>0</v>
      </c>
      <c r="K77" s="279">
        <v>0</v>
      </c>
      <c r="L77" s="279">
        <v>0</v>
      </c>
      <c r="M77" s="279">
        <v>0</v>
      </c>
      <c r="N77" s="273">
        <v>3.9060851734454922</v>
      </c>
      <c r="O77" s="279">
        <v>0</v>
      </c>
      <c r="P77" s="279">
        <v>0</v>
      </c>
      <c r="Q77" s="279">
        <v>0</v>
      </c>
      <c r="R77" s="279">
        <v>0</v>
      </c>
      <c r="S77" s="279">
        <v>0</v>
      </c>
      <c r="T77" s="279">
        <v>0</v>
      </c>
      <c r="U77" s="279">
        <v>0</v>
      </c>
      <c r="V77" s="279">
        <v>0</v>
      </c>
      <c r="W77" s="279">
        <v>0</v>
      </c>
      <c r="X77" s="279">
        <v>0</v>
      </c>
      <c r="Y77" s="279">
        <v>0</v>
      </c>
    </row>
    <row r="78" spans="4:43" x14ac:dyDescent="0.25">
      <c r="E78" s="96"/>
      <c r="F78" s="109" t="s">
        <v>203</v>
      </c>
      <c r="G78" s="109" t="s">
        <v>169</v>
      </c>
      <c r="J78" s="279">
        <f t="array" ref="J78:Y78">TRANSPOSE('ARP_Inputs by customer type'!J791:J806)</f>
        <v>0</v>
      </c>
      <c r="K78" s="279">
        <v>0</v>
      </c>
      <c r="L78" s="279">
        <v>0</v>
      </c>
      <c r="M78" s="279">
        <v>0</v>
      </c>
      <c r="N78" s="273">
        <v>3.5304457460642526E-3</v>
      </c>
      <c r="O78" s="279">
        <v>0</v>
      </c>
      <c r="P78" s="279">
        <v>0</v>
      </c>
      <c r="Q78" s="279">
        <v>0</v>
      </c>
      <c r="R78" s="279">
        <v>0</v>
      </c>
      <c r="S78" s="279">
        <v>0</v>
      </c>
      <c r="T78" s="279">
        <v>0</v>
      </c>
      <c r="U78" s="279">
        <v>0</v>
      </c>
      <c r="V78" s="279">
        <v>0</v>
      </c>
      <c r="W78" s="279">
        <v>0</v>
      </c>
      <c r="X78" s="279">
        <v>0</v>
      </c>
      <c r="Y78" s="279">
        <v>0</v>
      </c>
    </row>
    <row r="79" spans="4:43" x14ac:dyDescent="0.25">
      <c r="E79" s="96"/>
      <c r="F79" s="36" t="s">
        <v>204</v>
      </c>
      <c r="G79" s="36" t="s">
        <v>170</v>
      </c>
      <c r="H79" s="93"/>
      <c r="I79" s="93"/>
      <c r="J79" s="240">
        <f t="array" ref="J79:Y79">TRANSPOSE('ARP_Inputs by customer type'!J809:J824)</f>
        <v>0</v>
      </c>
      <c r="K79" s="240">
        <v>0</v>
      </c>
      <c r="L79" s="240">
        <v>0</v>
      </c>
      <c r="M79" s="240">
        <v>0</v>
      </c>
      <c r="N79" s="274">
        <v>0.37449607950128161</v>
      </c>
      <c r="O79" s="240">
        <v>0</v>
      </c>
      <c r="P79" s="240">
        <v>0</v>
      </c>
      <c r="Q79" s="240">
        <v>0</v>
      </c>
      <c r="R79" s="240">
        <v>0</v>
      </c>
      <c r="S79" s="240">
        <v>0</v>
      </c>
      <c r="T79" s="274">
        <v>0</v>
      </c>
      <c r="U79" s="240">
        <v>0</v>
      </c>
      <c r="V79" s="240">
        <v>0</v>
      </c>
      <c r="W79" s="240">
        <v>0</v>
      </c>
      <c r="X79" s="240">
        <v>0</v>
      </c>
      <c r="Y79" s="240">
        <v>0</v>
      </c>
    </row>
    <row r="80" spans="4:43" x14ac:dyDescent="0.25">
      <c r="E80" s="376"/>
      <c r="F80" s="377"/>
      <c r="G80" s="377"/>
      <c r="H80" s="375"/>
      <c r="I80" s="375"/>
      <c r="J80" s="378"/>
      <c r="K80" s="378"/>
      <c r="L80" s="378"/>
      <c r="M80" s="378"/>
      <c r="N80" s="379"/>
      <c r="O80" s="379"/>
      <c r="P80" s="379"/>
      <c r="Q80" s="378"/>
      <c r="R80" s="378"/>
      <c r="S80" s="378"/>
      <c r="T80" s="379"/>
      <c r="U80" s="378"/>
      <c r="V80" s="379"/>
      <c r="W80" s="378"/>
      <c r="X80" s="379"/>
      <c r="Y80" s="378"/>
      <c r="Z80" s="375"/>
      <c r="AA80" s="375"/>
      <c r="AB80" s="375"/>
      <c r="AC80" s="375"/>
      <c r="AD80" s="375"/>
      <c r="AE80" s="375"/>
      <c r="AF80" s="375"/>
      <c r="AG80" s="375"/>
      <c r="AH80" s="375"/>
      <c r="AI80" s="375"/>
      <c r="AJ80" s="375"/>
      <c r="AK80" s="375"/>
      <c r="AL80" s="375"/>
      <c r="AM80" s="375"/>
      <c r="AN80" s="375"/>
      <c r="AO80" s="375"/>
      <c r="AP80" s="375"/>
    </row>
    <row r="81" spans="5:42" x14ac:dyDescent="0.25">
      <c r="E81" s="96" t="s">
        <v>1050</v>
      </c>
      <c r="G81" s="108"/>
    </row>
    <row r="82" spans="5:42" x14ac:dyDescent="0.25">
      <c r="E82" s="96"/>
      <c r="F82" s="40" t="s">
        <v>199</v>
      </c>
      <c r="G82" s="40" t="s">
        <v>120</v>
      </c>
      <c r="H82" s="91"/>
      <c r="I82" s="91"/>
      <c r="J82" s="272">
        <f t="array" ref="J82:Y82">TRANSPOSE('ARP_Inputs by customer type'!J829:J844)</f>
        <v>12427.22138594751</v>
      </c>
      <c r="K82" s="238">
        <v>0</v>
      </c>
      <c r="L82" s="272">
        <v>37.872262004414956</v>
      </c>
      <c r="M82" s="238">
        <v>0</v>
      </c>
      <c r="N82" s="272">
        <v>310.12514089933438</v>
      </c>
      <c r="O82" s="238">
        <v>0</v>
      </c>
      <c r="P82" s="238">
        <v>0</v>
      </c>
      <c r="Q82" s="272">
        <v>8.385521972809924</v>
      </c>
      <c r="R82" s="238">
        <v>0</v>
      </c>
      <c r="S82" s="238">
        <v>0</v>
      </c>
      <c r="T82" s="238">
        <v>0</v>
      </c>
      <c r="U82" s="238">
        <v>0</v>
      </c>
      <c r="V82" s="238">
        <v>0</v>
      </c>
      <c r="W82" s="238">
        <v>0</v>
      </c>
      <c r="X82" s="238">
        <v>0</v>
      </c>
      <c r="Y82" s="238">
        <v>0</v>
      </c>
    </row>
    <row r="83" spans="5:42" x14ac:dyDescent="0.25">
      <c r="E83" s="96"/>
      <c r="F83" s="109" t="s">
        <v>200</v>
      </c>
      <c r="G83" s="109" t="s">
        <v>120</v>
      </c>
      <c r="J83" s="273">
        <f t="array" ref="J83:Y83">TRANSPOSE('ARP_Inputs by customer type'!J847:J862)</f>
        <v>51168.232381723828</v>
      </c>
      <c r="K83" s="279">
        <v>0</v>
      </c>
      <c r="L83" s="273">
        <v>240.50908241556351</v>
      </c>
      <c r="M83" s="239">
        <v>0</v>
      </c>
      <c r="N83" s="273">
        <v>1817.0940405316005</v>
      </c>
      <c r="O83" s="279">
        <v>0</v>
      </c>
      <c r="P83" s="279">
        <v>0</v>
      </c>
      <c r="Q83" s="273">
        <v>52.712365653495674</v>
      </c>
      <c r="R83" s="279">
        <v>0</v>
      </c>
      <c r="S83" s="279">
        <v>0</v>
      </c>
      <c r="T83" s="279">
        <v>0</v>
      </c>
      <c r="U83" s="279">
        <v>0</v>
      </c>
      <c r="V83" s="279">
        <v>0</v>
      </c>
      <c r="W83" s="279">
        <v>0</v>
      </c>
      <c r="X83" s="279">
        <v>0</v>
      </c>
      <c r="Y83" s="279">
        <v>0</v>
      </c>
    </row>
    <row r="84" spans="5:42" x14ac:dyDescent="0.25">
      <c r="E84" s="96"/>
      <c r="F84" s="109" t="s">
        <v>201</v>
      </c>
      <c r="G84" s="109" t="s">
        <v>120</v>
      </c>
      <c r="J84" s="273">
        <f t="array" ref="J84:Y84">TRANSPOSE('ARP_Inputs by customer type'!J865:J880)</f>
        <v>24902.513907975921</v>
      </c>
      <c r="K84" s="279">
        <v>0</v>
      </c>
      <c r="L84" s="273">
        <v>108.20598499104474</v>
      </c>
      <c r="M84" s="239">
        <v>0</v>
      </c>
      <c r="N84" s="273">
        <v>1077.4014848405757</v>
      </c>
      <c r="O84" s="279">
        <v>0</v>
      </c>
      <c r="P84" s="279">
        <v>0</v>
      </c>
      <c r="Q84" s="273">
        <v>45.853087148916899</v>
      </c>
      <c r="R84" s="279">
        <v>0</v>
      </c>
      <c r="S84" s="279">
        <v>0</v>
      </c>
      <c r="T84" s="279">
        <v>0</v>
      </c>
      <c r="U84" s="279">
        <v>0</v>
      </c>
      <c r="V84" s="279">
        <v>0</v>
      </c>
      <c r="W84" s="279">
        <v>0</v>
      </c>
      <c r="X84" s="279">
        <v>0</v>
      </c>
      <c r="Y84" s="279">
        <v>0</v>
      </c>
    </row>
    <row r="85" spans="5:42" x14ac:dyDescent="0.25">
      <c r="E85" s="96"/>
      <c r="F85" s="109" t="s">
        <v>74</v>
      </c>
      <c r="G85" s="109" t="s">
        <v>74</v>
      </c>
      <c r="J85" s="273">
        <f t="array" ref="J85:Y85">TRANSPOSE('ARP_Inputs by customer type'!J883:J898)</f>
        <v>30423.599820316216</v>
      </c>
      <c r="K85" s="279">
        <v>0</v>
      </c>
      <c r="L85" s="273">
        <v>171.23464721002364</v>
      </c>
      <c r="M85" s="239">
        <v>0</v>
      </c>
      <c r="N85" s="273">
        <v>64.342214775982271</v>
      </c>
      <c r="O85" s="279">
        <v>0</v>
      </c>
      <c r="P85" s="279">
        <v>0</v>
      </c>
      <c r="Q85" s="273">
        <v>122</v>
      </c>
      <c r="R85" s="279">
        <v>0</v>
      </c>
      <c r="S85" s="279">
        <v>0</v>
      </c>
      <c r="T85" s="279">
        <v>0</v>
      </c>
      <c r="U85" s="279">
        <v>0</v>
      </c>
      <c r="V85" s="279">
        <v>0</v>
      </c>
      <c r="W85" s="279">
        <v>0</v>
      </c>
      <c r="X85" s="279">
        <v>0</v>
      </c>
      <c r="Y85" s="279">
        <v>0</v>
      </c>
    </row>
    <row r="86" spans="5:42" x14ac:dyDescent="0.25">
      <c r="E86" s="96"/>
      <c r="F86" s="109" t="s">
        <v>202</v>
      </c>
      <c r="G86" s="109" t="s">
        <v>169</v>
      </c>
      <c r="J86" s="279">
        <f t="array" ref="J86:Y86">TRANSPOSE('ARP_Inputs by customer type'!J901:J916)</f>
        <v>0</v>
      </c>
      <c r="K86" s="279">
        <v>0</v>
      </c>
      <c r="L86" s="279">
        <v>0</v>
      </c>
      <c r="M86" s="239">
        <v>0</v>
      </c>
      <c r="N86" s="273">
        <v>3894.2144121503607</v>
      </c>
      <c r="O86" s="279">
        <v>0</v>
      </c>
      <c r="P86" s="279">
        <v>0</v>
      </c>
      <c r="Q86" s="279">
        <v>0</v>
      </c>
      <c r="R86" s="279">
        <v>0</v>
      </c>
      <c r="S86" s="279">
        <v>0</v>
      </c>
      <c r="T86" s="279">
        <v>0</v>
      </c>
      <c r="U86" s="279">
        <v>0</v>
      </c>
      <c r="V86" s="279">
        <v>0</v>
      </c>
      <c r="W86" s="279">
        <v>0</v>
      </c>
      <c r="X86" s="279">
        <v>0</v>
      </c>
      <c r="Y86" s="279">
        <v>0</v>
      </c>
    </row>
    <row r="87" spans="5:42" x14ac:dyDescent="0.25">
      <c r="E87" s="96"/>
      <c r="F87" s="109" t="s">
        <v>203</v>
      </c>
      <c r="G87" s="109" t="s">
        <v>169</v>
      </c>
      <c r="J87" s="279">
        <f t="array" ref="J87:Y87">TRANSPOSE('ARP_Inputs by customer type'!J919:J934)</f>
        <v>0</v>
      </c>
      <c r="K87" s="279">
        <v>0</v>
      </c>
      <c r="L87" s="279">
        <v>0</v>
      </c>
      <c r="M87" s="239">
        <v>0</v>
      </c>
      <c r="N87" s="273">
        <v>3.5197165691886818</v>
      </c>
      <c r="O87" s="279">
        <v>0</v>
      </c>
      <c r="P87" s="279">
        <v>0</v>
      </c>
      <c r="Q87" s="279">
        <v>0</v>
      </c>
      <c r="R87" s="279">
        <v>0</v>
      </c>
      <c r="S87" s="279">
        <v>0</v>
      </c>
      <c r="T87" s="279">
        <v>0</v>
      </c>
      <c r="U87" s="279">
        <v>0</v>
      </c>
      <c r="V87" s="279">
        <v>0</v>
      </c>
      <c r="W87" s="279">
        <v>0</v>
      </c>
      <c r="X87" s="279">
        <v>0</v>
      </c>
      <c r="Y87" s="279">
        <v>0</v>
      </c>
    </row>
    <row r="88" spans="5:42" x14ac:dyDescent="0.25">
      <c r="E88" s="96"/>
      <c r="F88" s="36" t="s">
        <v>204</v>
      </c>
      <c r="G88" s="36" t="s">
        <v>170</v>
      </c>
      <c r="H88" s="93"/>
      <c r="I88" s="93"/>
      <c r="J88" s="240">
        <f t="array" ref="J88:Y88">TRANSPOSE('ARP_Inputs by customer type'!J937:J952)</f>
        <v>0</v>
      </c>
      <c r="K88" s="240">
        <v>0</v>
      </c>
      <c r="L88" s="240">
        <v>0</v>
      </c>
      <c r="M88" s="240">
        <v>0</v>
      </c>
      <c r="N88" s="274">
        <v>373.35796976523585</v>
      </c>
      <c r="O88" s="240">
        <v>0</v>
      </c>
      <c r="P88" s="240">
        <v>0</v>
      </c>
      <c r="Q88" s="240">
        <v>0</v>
      </c>
      <c r="R88" s="240">
        <v>0</v>
      </c>
      <c r="S88" s="240">
        <v>0</v>
      </c>
      <c r="T88" s="240">
        <v>0</v>
      </c>
      <c r="U88" s="240">
        <v>0</v>
      </c>
      <c r="V88" s="240">
        <v>0</v>
      </c>
      <c r="W88" s="240">
        <v>0</v>
      </c>
      <c r="X88" s="240">
        <v>0</v>
      </c>
      <c r="Y88" s="240">
        <v>0</v>
      </c>
    </row>
    <row r="89" spans="5:42" x14ac:dyDescent="0.25">
      <c r="E89" s="376"/>
      <c r="F89" s="377"/>
      <c r="G89" s="377"/>
      <c r="H89" s="375"/>
      <c r="I89" s="375"/>
      <c r="J89" s="378"/>
      <c r="K89" s="378"/>
      <c r="L89" s="378"/>
      <c r="M89" s="378"/>
      <c r="N89" s="379"/>
      <c r="O89" s="378"/>
      <c r="P89" s="378"/>
      <c r="Q89" s="378"/>
      <c r="R89" s="378"/>
      <c r="S89" s="378"/>
      <c r="T89" s="379"/>
      <c r="U89" s="378"/>
      <c r="V89" s="379"/>
      <c r="W89" s="378"/>
      <c r="X89" s="379"/>
      <c r="Y89" s="378"/>
      <c r="Z89" s="375"/>
      <c r="AA89" s="375"/>
      <c r="AB89" s="375"/>
      <c r="AC89" s="375"/>
      <c r="AD89" s="375"/>
      <c r="AE89" s="375"/>
      <c r="AF89" s="375"/>
      <c r="AG89" s="375"/>
      <c r="AH89" s="375"/>
      <c r="AI89" s="375"/>
      <c r="AJ89" s="375"/>
      <c r="AK89" s="375"/>
      <c r="AL89" s="375"/>
      <c r="AM89" s="375"/>
      <c r="AN89" s="375"/>
      <c r="AO89" s="375"/>
      <c r="AP89" s="375"/>
    </row>
    <row r="90" spans="5:42" x14ac:dyDescent="0.25">
      <c r="E90" s="96" t="s">
        <v>1051</v>
      </c>
      <c r="G90" s="108"/>
    </row>
    <row r="91" spans="5:42" x14ac:dyDescent="0.25">
      <c r="E91" s="96"/>
      <c r="F91" s="40" t="s">
        <v>199</v>
      </c>
      <c r="G91" s="40" t="s">
        <v>120</v>
      </c>
      <c r="H91" s="91"/>
      <c r="I91" s="91"/>
      <c r="J91" s="238">
        <f t="array" ref="J91:Y91">TRANSPOSE('ARP_Inputs by customer type'!J957:J972)</f>
        <v>0</v>
      </c>
      <c r="K91" s="238">
        <v>0</v>
      </c>
      <c r="L91" s="272">
        <v>93.482105172584014</v>
      </c>
      <c r="M91" s="238">
        <v>0</v>
      </c>
      <c r="N91" s="272">
        <v>294.58408343574632</v>
      </c>
      <c r="O91" s="238">
        <v>0</v>
      </c>
      <c r="P91" s="238">
        <v>0</v>
      </c>
      <c r="Q91" s="238">
        <v>0</v>
      </c>
      <c r="R91" s="238">
        <v>0</v>
      </c>
      <c r="S91" s="238">
        <v>0</v>
      </c>
      <c r="T91" s="238">
        <v>0</v>
      </c>
      <c r="U91" s="238">
        <v>0</v>
      </c>
      <c r="V91" s="238">
        <v>0</v>
      </c>
      <c r="W91" s="238">
        <v>0</v>
      </c>
      <c r="X91" s="238">
        <v>0</v>
      </c>
      <c r="Y91" s="238">
        <v>0</v>
      </c>
    </row>
    <row r="92" spans="5:42" x14ac:dyDescent="0.25">
      <c r="E92" s="96"/>
      <c r="F92" s="109" t="s">
        <v>200</v>
      </c>
      <c r="G92" s="109" t="s">
        <v>120</v>
      </c>
      <c r="J92" s="279">
        <f t="array" ref="J92:Y92">TRANSPOSE('ARP_Inputs by customer type'!J975:J990)</f>
        <v>0</v>
      </c>
      <c r="K92" s="279">
        <v>0</v>
      </c>
      <c r="L92" s="273">
        <v>593.66127470052868</v>
      </c>
      <c r="M92" s="279">
        <v>0</v>
      </c>
      <c r="N92" s="273">
        <v>1726.0354349030699</v>
      </c>
      <c r="O92" s="279">
        <v>0</v>
      </c>
      <c r="P92" s="279">
        <v>0</v>
      </c>
      <c r="Q92" s="279">
        <v>0</v>
      </c>
      <c r="R92" s="279">
        <v>0</v>
      </c>
      <c r="S92" s="279">
        <v>0</v>
      </c>
      <c r="T92" s="279">
        <v>0</v>
      </c>
      <c r="U92" s="279">
        <v>0</v>
      </c>
      <c r="V92" s="279">
        <v>0</v>
      </c>
      <c r="W92" s="279">
        <v>0</v>
      </c>
      <c r="X92" s="279">
        <v>0</v>
      </c>
      <c r="Y92" s="279">
        <v>0</v>
      </c>
    </row>
    <row r="93" spans="5:42" x14ac:dyDescent="0.25">
      <c r="E93" s="96"/>
      <c r="F93" s="109" t="s">
        <v>201</v>
      </c>
      <c r="G93" s="109" t="s">
        <v>120</v>
      </c>
      <c r="J93" s="279">
        <f t="array" ref="J93:Y93">TRANSPOSE('ARP_Inputs by customer type'!J993:J1008)</f>
        <v>0</v>
      </c>
      <c r="K93" s="279">
        <v>0</v>
      </c>
      <c r="L93" s="273">
        <v>267.09054949125294</v>
      </c>
      <c r="M93" s="279">
        <v>0</v>
      </c>
      <c r="N93" s="273">
        <v>1023.4105109430498</v>
      </c>
      <c r="O93" s="279">
        <v>0</v>
      </c>
      <c r="P93" s="279">
        <v>0</v>
      </c>
      <c r="Q93" s="279">
        <v>0</v>
      </c>
      <c r="R93" s="279">
        <v>0</v>
      </c>
      <c r="S93" s="279">
        <v>0</v>
      </c>
      <c r="T93" s="279">
        <v>0</v>
      </c>
      <c r="U93" s="279">
        <v>0</v>
      </c>
      <c r="V93" s="279">
        <v>0</v>
      </c>
      <c r="W93" s="279">
        <v>0</v>
      </c>
      <c r="X93" s="279">
        <v>0</v>
      </c>
      <c r="Y93" s="279">
        <v>0</v>
      </c>
    </row>
    <row r="94" spans="5:42" x14ac:dyDescent="0.25">
      <c r="E94" s="96"/>
      <c r="F94" s="109" t="s">
        <v>74</v>
      </c>
      <c r="G94" s="109" t="s">
        <v>74</v>
      </c>
      <c r="J94" s="279">
        <f t="array" ref="J94:Y94">TRANSPOSE('ARP_Inputs by customer type'!J1011:J1026)</f>
        <v>0</v>
      </c>
      <c r="K94" s="279">
        <v>0</v>
      </c>
      <c r="L94" s="273">
        <v>128.67108086138472</v>
      </c>
      <c r="M94" s="279">
        <v>0</v>
      </c>
      <c r="N94" s="273">
        <v>33.259701129546549</v>
      </c>
      <c r="O94" s="279">
        <v>0</v>
      </c>
      <c r="P94" s="279">
        <v>0</v>
      </c>
      <c r="Q94" s="279">
        <v>0</v>
      </c>
      <c r="R94" s="279">
        <v>0</v>
      </c>
      <c r="S94" s="279">
        <v>0</v>
      </c>
      <c r="T94" s="279">
        <v>0</v>
      </c>
      <c r="U94" s="279">
        <v>0</v>
      </c>
      <c r="V94" s="279">
        <v>0</v>
      </c>
      <c r="W94" s="279">
        <v>0</v>
      </c>
      <c r="X94" s="279">
        <v>0</v>
      </c>
      <c r="Y94" s="279">
        <v>0</v>
      </c>
    </row>
    <row r="95" spans="5:42" x14ac:dyDescent="0.25">
      <c r="E95" s="96"/>
      <c r="F95" s="109" t="s">
        <v>202</v>
      </c>
      <c r="G95" s="109" t="s">
        <v>169</v>
      </c>
      <c r="J95" s="279">
        <f t="array" ref="J95:Y95">TRANSPOSE('ARP_Inputs by customer type'!J1029:J1044)</f>
        <v>0</v>
      </c>
      <c r="K95" s="279">
        <v>0</v>
      </c>
      <c r="L95" s="279">
        <v>0</v>
      </c>
      <c r="M95" s="279">
        <v>0</v>
      </c>
      <c r="N95" s="273">
        <v>3699.0667057139899</v>
      </c>
      <c r="O95" s="279">
        <v>0</v>
      </c>
      <c r="P95" s="279">
        <v>0</v>
      </c>
      <c r="Q95" s="279">
        <v>0</v>
      </c>
      <c r="R95" s="279">
        <v>0</v>
      </c>
      <c r="S95" s="279">
        <v>0</v>
      </c>
      <c r="T95" s="279">
        <v>0</v>
      </c>
      <c r="U95" s="279">
        <v>0</v>
      </c>
      <c r="V95" s="279">
        <v>0</v>
      </c>
      <c r="W95" s="279">
        <v>0</v>
      </c>
      <c r="X95" s="279">
        <v>0</v>
      </c>
      <c r="Y95" s="279">
        <v>0</v>
      </c>
    </row>
    <row r="96" spans="5:42" x14ac:dyDescent="0.25">
      <c r="E96" s="96"/>
      <c r="F96" s="109" t="s">
        <v>203</v>
      </c>
      <c r="G96" s="109" t="s">
        <v>169</v>
      </c>
      <c r="J96" s="279">
        <f t="array" ref="J96:Y96">TRANSPOSE('ARP_Inputs by customer type'!J1047:J1062)</f>
        <v>0</v>
      </c>
      <c r="K96" s="279">
        <v>0</v>
      </c>
      <c r="L96" s="279">
        <v>0</v>
      </c>
      <c r="M96" s="279">
        <v>0</v>
      </c>
      <c r="N96" s="273">
        <v>3.3433357788448905</v>
      </c>
      <c r="O96" s="279">
        <v>0</v>
      </c>
      <c r="P96" s="279">
        <v>0</v>
      </c>
      <c r="Q96" s="279">
        <v>0</v>
      </c>
      <c r="R96" s="279">
        <v>0</v>
      </c>
      <c r="S96" s="279">
        <v>0</v>
      </c>
      <c r="T96" s="279">
        <v>0</v>
      </c>
      <c r="U96" s="279">
        <v>0</v>
      </c>
      <c r="V96" s="279">
        <v>0</v>
      </c>
      <c r="W96" s="279">
        <v>0</v>
      </c>
      <c r="X96" s="279">
        <v>0</v>
      </c>
      <c r="Y96" s="279">
        <v>0</v>
      </c>
    </row>
    <row r="97" spans="5:42" x14ac:dyDescent="0.25">
      <c r="E97" s="96"/>
      <c r="F97" s="36" t="s">
        <v>204</v>
      </c>
      <c r="G97" s="36" t="s">
        <v>170</v>
      </c>
      <c r="H97" s="93"/>
      <c r="I97" s="93"/>
      <c r="J97" s="240">
        <f t="array" ref="J97:Y97">TRANSPOSE('ARP_Inputs by customer type'!J1065:J1080)</f>
        <v>0</v>
      </c>
      <c r="K97" s="240">
        <v>0</v>
      </c>
      <c r="L97" s="240">
        <v>0</v>
      </c>
      <c r="M97" s="240">
        <v>0</v>
      </c>
      <c r="N97" s="274">
        <v>354.64817524234184</v>
      </c>
      <c r="O97" s="240">
        <v>0</v>
      </c>
      <c r="P97" s="240">
        <v>0</v>
      </c>
      <c r="Q97" s="240">
        <v>0</v>
      </c>
      <c r="R97" s="240">
        <v>0</v>
      </c>
      <c r="S97" s="240">
        <v>0</v>
      </c>
      <c r="T97" s="240">
        <v>0</v>
      </c>
      <c r="U97" s="240">
        <v>0</v>
      </c>
      <c r="V97" s="240">
        <v>0</v>
      </c>
      <c r="W97" s="240">
        <v>0</v>
      </c>
      <c r="X97" s="240">
        <v>0</v>
      </c>
      <c r="Y97" s="240">
        <v>0</v>
      </c>
    </row>
    <row r="98" spans="5:42" x14ac:dyDescent="0.25">
      <c r="E98" s="376"/>
      <c r="F98" s="377"/>
      <c r="G98" s="377"/>
      <c r="H98" s="375"/>
      <c r="I98" s="375"/>
      <c r="J98" s="378"/>
      <c r="K98" s="378"/>
      <c r="L98" s="378"/>
      <c r="M98" s="378"/>
      <c r="N98" s="379"/>
      <c r="O98" s="378"/>
      <c r="P98" s="378"/>
      <c r="Q98" s="378"/>
      <c r="R98" s="378"/>
      <c r="S98" s="378"/>
      <c r="T98" s="379"/>
      <c r="U98" s="378"/>
      <c r="V98" s="379"/>
      <c r="W98" s="378"/>
      <c r="X98" s="379"/>
      <c r="Y98" s="378"/>
      <c r="Z98" s="375"/>
      <c r="AA98" s="375"/>
      <c r="AB98" s="375"/>
      <c r="AC98" s="375"/>
      <c r="AD98" s="375"/>
      <c r="AE98" s="375"/>
      <c r="AF98" s="375"/>
      <c r="AG98" s="375"/>
      <c r="AH98" s="375"/>
      <c r="AI98" s="375"/>
      <c r="AJ98" s="375"/>
      <c r="AK98" s="375"/>
      <c r="AL98" s="375"/>
      <c r="AM98" s="375"/>
      <c r="AN98" s="375"/>
      <c r="AO98" s="375"/>
      <c r="AP98" s="375"/>
    </row>
    <row r="99" spans="5:42" x14ac:dyDescent="0.25">
      <c r="E99" s="96" t="s">
        <v>1052</v>
      </c>
      <c r="G99" s="108"/>
    </row>
    <row r="100" spans="5:42" x14ac:dyDescent="0.25">
      <c r="E100" s="96"/>
      <c r="F100" s="40" t="s">
        <v>199</v>
      </c>
      <c r="G100" s="40" t="s">
        <v>120</v>
      </c>
      <c r="H100" s="91"/>
      <c r="I100" s="91"/>
      <c r="J100" s="238">
        <f t="array" ref="J100:Y100">TRANSPOSE('ARP_Inputs by customer type'!J1085:J1100)</f>
        <v>0</v>
      </c>
      <c r="K100" s="238">
        <v>0</v>
      </c>
      <c r="L100" s="272">
        <v>112.16171165127392</v>
      </c>
      <c r="M100" s="238">
        <v>0</v>
      </c>
      <c r="N100" s="272">
        <v>242.69980929989586</v>
      </c>
      <c r="O100" s="238">
        <v>0</v>
      </c>
      <c r="P100" s="238">
        <v>0</v>
      </c>
      <c r="Q100" s="238">
        <v>0</v>
      </c>
      <c r="R100" s="238">
        <v>0</v>
      </c>
      <c r="S100" s="238">
        <v>0</v>
      </c>
      <c r="T100" s="238">
        <v>0</v>
      </c>
      <c r="U100" s="238">
        <v>0</v>
      </c>
      <c r="V100" s="238">
        <v>0</v>
      </c>
      <c r="W100" s="238">
        <v>0</v>
      </c>
      <c r="X100" s="238">
        <v>0</v>
      </c>
      <c r="Y100" s="238">
        <v>0</v>
      </c>
    </row>
    <row r="101" spans="5:42" x14ac:dyDescent="0.25">
      <c r="E101" s="96"/>
      <c r="F101" s="109" t="s">
        <v>200</v>
      </c>
      <c r="G101" s="109" t="s">
        <v>120</v>
      </c>
      <c r="J101" s="279">
        <f t="array" ref="J101:Y101">TRANSPOSE('ARP_Inputs by customer type'!J1103:J1118)</f>
        <v>0</v>
      </c>
      <c r="K101" s="279">
        <v>0</v>
      </c>
      <c r="L101" s="273">
        <v>712.28674823442532</v>
      </c>
      <c r="M101" s="279">
        <v>0</v>
      </c>
      <c r="N101" s="273">
        <v>1422.0336211314986</v>
      </c>
      <c r="O101" s="279">
        <v>0</v>
      </c>
      <c r="P101" s="279">
        <v>0</v>
      </c>
      <c r="Q101" s="279">
        <v>0</v>
      </c>
      <c r="R101" s="279">
        <v>0</v>
      </c>
      <c r="S101" s="279">
        <v>0</v>
      </c>
      <c r="T101" s="279">
        <v>0</v>
      </c>
      <c r="U101" s="279">
        <v>0</v>
      </c>
      <c r="V101" s="279">
        <v>0</v>
      </c>
      <c r="W101" s="279">
        <v>0</v>
      </c>
      <c r="X101" s="279">
        <v>0</v>
      </c>
      <c r="Y101" s="279">
        <v>0</v>
      </c>
    </row>
    <row r="102" spans="5:42" x14ac:dyDescent="0.25">
      <c r="E102" s="96"/>
      <c r="F102" s="109" t="s">
        <v>201</v>
      </c>
      <c r="G102" s="109" t="s">
        <v>120</v>
      </c>
      <c r="J102" s="279">
        <f t="array" ref="J102:Y102">TRANSPOSE('ARP_Inputs by customer type'!J1121:J1136)</f>
        <v>0</v>
      </c>
      <c r="K102" s="279">
        <v>0</v>
      </c>
      <c r="L102" s="273">
        <v>320.46061801359565</v>
      </c>
      <c r="M102" s="279">
        <v>0</v>
      </c>
      <c r="N102" s="273">
        <v>843.16006806784355</v>
      </c>
      <c r="O102" s="279">
        <v>0</v>
      </c>
      <c r="P102" s="279">
        <v>0</v>
      </c>
      <c r="Q102" s="279">
        <v>0</v>
      </c>
      <c r="R102" s="279">
        <v>0</v>
      </c>
      <c r="S102" s="279">
        <v>0</v>
      </c>
      <c r="T102" s="279">
        <v>0</v>
      </c>
      <c r="U102" s="279">
        <v>0</v>
      </c>
      <c r="V102" s="279">
        <v>0</v>
      </c>
      <c r="W102" s="279">
        <v>0</v>
      </c>
      <c r="X102" s="279">
        <v>0</v>
      </c>
      <c r="Y102" s="279">
        <v>0</v>
      </c>
    </row>
    <row r="103" spans="5:42" x14ac:dyDescent="0.25">
      <c r="E103" s="96"/>
      <c r="F103" s="109" t="s">
        <v>74</v>
      </c>
      <c r="G103" s="109" t="s">
        <v>74</v>
      </c>
      <c r="J103" s="279">
        <f t="array" ref="J103:Y103">TRANSPOSE('ARP_Inputs by customer type'!J1139:J1154)</f>
        <v>0</v>
      </c>
      <c r="K103" s="279">
        <v>0</v>
      </c>
      <c r="L103" s="273">
        <v>68.11643708767167</v>
      </c>
      <c r="M103" s="279">
        <v>0</v>
      </c>
      <c r="N103" s="273">
        <v>17.713627519861646</v>
      </c>
      <c r="O103" s="279">
        <v>0</v>
      </c>
      <c r="P103" s="279">
        <v>0</v>
      </c>
      <c r="Q103" s="279">
        <v>0</v>
      </c>
      <c r="R103" s="279">
        <v>0</v>
      </c>
      <c r="S103" s="279">
        <v>0</v>
      </c>
      <c r="T103" s="279">
        <v>0</v>
      </c>
      <c r="U103" s="279">
        <v>0</v>
      </c>
      <c r="V103" s="279">
        <v>0</v>
      </c>
      <c r="W103" s="279">
        <v>0</v>
      </c>
      <c r="X103" s="279">
        <v>0</v>
      </c>
      <c r="Y103" s="279">
        <v>0</v>
      </c>
    </row>
    <row r="104" spans="5:42" x14ac:dyDescent="0.25">
      <c r="E104" s="96"/>
      <c r="F104" s="109" t="s">
        <v>202</v>
      </c>
      <c r="G104" s="109" t="s">
        <v>169</v>
      </c>
      <c r="J104" s="279">
        <f t="array" ref="J104:Y104">TRANSPOSE('ARP_Inputs by customer type'!J1157:J1172)</f>
        <v>0</v>
      </c>
      <c r="K104" s="279">
        <v>0</v>
      </c>
      <c r="L104" s="279">
        <v>0</v>
      </c>
      <c r="M104" s="279">
        <v>0</v>
      </c>
      <c r="N104" s="273">
        <v>3047.5603895286363</v>
      </c>
      <c r="O104" s="279">
        <v>0</v>
      </c>
      <c r="P104" s="279">
        <v>0</v>
      </c>
      <c r="Q104" s="279">
        <v>0</v>
      </c>
      <c r="R104" s="279">
        <v>0</v>
      </c>
      <c r="S104" s="279">
        <v>0</v>
      </c>
      <c r="T104" s="279">
        <v>0</v>
      </c>
      <c r="U104" s="279">
        <v>0</v>
      </c>
      <c r="V104" s="279">
        <v>0</v>
      </c>
      <c r="W104" s="279">
        <v>0</v>
      </c>
      <c r="X104" s="279">
        <v>0</v>
      </c>
      <c r="Y104" s="279">
        <v>0</v>
      </c>
    </row>
    <row r="105" spans="5:42" x14ac:dyDescent="0.25">
      <c r="E105" s="96"/>
      <c r="F105" s="109" t="s">
        <v>203</v>
      </c>
      <c r="G105" s="109" t="s">
        <v>169</v>
      </c>
      <c r="J105" s="279">
        <f t="array" ref="J105:Y105">TRANSPOSE('ARP_Inputs by customer type'!J1175:J1190)</f>
        <v>0</v>
      </c>
      <c r="K105" s="279">
        <v>0</v>
      </c>
      <c r="L105" s="279">
        <v>0</v>
      </c>
      <c r="M105" s="279">
        <v>0</v>
      </c>
      <c r="N105" s="273">
        <v>2.7544833600222645</v>
      </c>
      <c r="O105" s="279">
        <v>0</v>
      </c>
      <c r="P105" s="279">
        <v>0</v>
      </c>
      <c r="Q105" s="279">
        <v>0</v>
      </c>
      <c r="R105" s="279">
        <v>0</v>
      </c>
      <c r="S105" s="279">
        <v>0</v>
      </c>
      <c r="T105" s="279">
        <v>0</v>
      </c>
      <c r="U105" s="279">
        <v>0</v>
      </c>
      <c r="V105" s="279">
        <v>0</v>
      </c>
      <c r="W105" s="279">
        <v>0</v>
      </c>
      <c r="X105" s="279">
        <v>0</v>
      </c>
      <c r="Y105" s="279">
        <v>0</v>
      </c>
    </row>
    <row r="106" spans="5:42" x14ac:dyDescent="0.25">
      <c r="E106" s="96"/>
      <c r="F106" s="36" t="s">
        <v>204</v>
      </c>
      <c r="G106" s="36" t="s">
        <v>170</v>
      </c>
      <c r="H106" s="93"/>
      <c r="I106" s="93"/>
      <c r="J106" s="240">
        <f t="array" ref="J106:Y106">TRANSPOSE('ARP_Inputs by customer type'!J1193:J1208)</f>
        <v>0</v>
      </c>
      <c r="K106" s="240">
        <v>0</v>
      </c>
      <c r="L106" s="240">
        <v>0</v>
      </c>
      <c r="M106" s="240">
        <v>0</v>
      </c>
      <c r="N106" s="274">
        <v>292.18497990793986</v>
      </c>
      <c r="O106" s="240">
        <v>0</v>
      </c>
      <c r="P106" s="240">
        <v>0</v>
      </c>
      <c r="Q106" s="240">
        <v>0</v>
      </c>
      <c r="R106" s="240">
        <v>0</v>
      </c>
      <c r="S106" s="240">
        <v>0</v>
      </c>
      <c r="T106" s="240">
        <v>0</v>
      </c>
      <c r="U106" s="240">
        <v>0</v>
      </c>
      <c r="V106" s="240">
        <v>0</v>
      </c>
      <c r="W106" s="240">
        <v>0</v>
      </c>
      <c r="X106" s="240">
        <v>0</v>
      </c>
      <c r="Y106" s="240">
        <v>0</v>
      </c>
    </row>
    <row r="107" spans="5:42" x14ac:dyDescent="0.25">
      <c r="E107" s="376"/>
      <c r="F107" s="377"/>
      <c r="G107" s="377"/>
      <c r="H107" s="375"/>
      <c r="I107" s="375"/>
      <c r="J107" s="378"/>
      <c r="K107" s="378"/>
      <c r="L107" s="378"/>
      <c r="M107" s="378"/>
      <c r="N107" s="379"/>
      <c r="O107" s="378"/>
      <c r="P107" s="378"/>
      <c r="Q107" s="378"/>
      <c r="R107" s="378"/>
      <c r="S107" s="378"/>
      <c r="T107" s="379"/>
      <c r="U107" s="378"/>
      <c r="V107" s="379"/>
      <c r="W107" s="378"/>
      <c r="X107" s="379"/>
      <c r="Y107" s="378"/>
      <c r="Z107" s="375"/>
      <c r="AA107" s="375"/>
      <c r="AB107" s="375"/>
      <c r="AC107" s="375"/>
      <c r="AD107" s="375"/>
      <c r="AE107" s="375"/>
      <c r="AF107" s="375"/>
      <c r="AG107" s="375"/>
      <c r="AH107" s="375"/>
      <c r="AI107" s="375"/>
      <c r="AJ107" s="375"/>
      <c r="AK107" s="375"/>
      <c r="AL107" s="375"/>
      <c r="AM107" s="375"/>
      <c r="AN107" s="375"/>
      <c r="AO107" s="375"/>
      <c r="AP107" s="375"/>
    </row>
    <row r="108" spans="5:42" x14ac:dyDescent="0.25">
      <c r="E108" s="96" t="s">
        <v>1053</v>
      </c>
      <c r="G108" s="108"/>
    </row>
    <row r="109" spans="5:42" x14ac:dyDescent="0.25">
      <c r="E109" s="96"/>
      <c r="F109" s="40" t="s">
        <v>199</v>
      </c>
      <c r="G109" s="40" t="s">
        <v>120</v>
      </c>
      <c r="H109" s="91"/>
      <c r="I109" s="91"/>
      <c r="J109" s="238">
        <f t="array" ref="J109:Y109">TRANSPOSE('ARP_Inputs by customer type'!J1213:J1228)</f>
        <v>0</v>
      </c>
      <c r="K109" s="238">
        <v>0</v>
      </c>
      <c r="L109" s="272">
        <v>282.29158270378559</v>
      </c>
      <c r="M109" s="238">
        <v>0</v>
      </c>
      <c r="N109" s="272">
        <v>798.45764041685936</v>
      </c>
      <c r="O109" s="238">
        <v>0</v>
      </c>
      <c r="P109" s="238">
        <v>0</v>
      </c>
      <c r="Q109" s="238">
        <v>0</v>
      </c>
      <c r="R109" s="238">
        <v>0</v>
      </c>
      <c r="S109" s="238">
        <v>0</v>
      </c>
      <c r="T109" s="238">
        <v>0</v>
      </c>
      <c r="U109" s="238">
        <v>0</v>
      </c>
      <c r="V109" s="238">
        <v>0</v>
      </c>
      <c r="W109" s="238">
        <v>0</v>
      </c>
      <c r="X109" s="238">
        <v>0</v>
      </c>
      <c r="Y109" s="238">
        <v>0</v>
      </c>
    </row>
    <row r="110" spans="5:42" x14ac:dyDescent="0.25">
      <c r="E110" s="96"/>
      <c r="F110" s="109" t="s">
        <v>200</v>
      </c>
      <c r="G110" s="109" t="s">
        <v>120</v>
      </c>
      <c r="J110" s="279">
        <f t="array" ref="J110:Y110">TRANSPOSE('ARP_Inputs by customer type'!J1231:J1246)</f>
        <v>0</v>
      </c>
      <c r="K110" s="279">
        <v>0</v>
      </c>
      <c r="L110" s="273">
        <v>1792.7022558570684</v>
      </c>
      <c r="M110" s="279">
        <v>0</v>
      </c>
      <c r="N110" s="273">
        <v>4678.3457020317728</v>
      </c>
      <c r="O110" s="279">
        <v>0</v>
      </c>
      <c r="P110" s="279">
        <v>0</v>
      </c>
      <c r="Q110" s="279">
        <v>0</v>
      </c>
      <c r="R110" s="279">
        <v>0</v>
      </c>
      <c r="S110" s="279">
        <v>0</v>
      </c>
      <c r="T110" s="279">
        <v>0</v>
      </c>
      <c r="U110" s="279">
        <v>0</v>
      </c>
      <c r="V110" s="279">
        <v>0</v>
      </c>
      <c r="W110" s="279">
        <v>0</v>
      </c>
      <c r="X110" s="279">
        <v>0</v>
      </c>
      <c r="Y110" s="279">
        <v>0</v>
      </c>
    </row>
    <row r="111" spans="5:42" x14ac:dyDescent="0.25">
      <c r="E111" s="96"/>
      <c r="F111" s="109" t="s">
        <v>201</v>
      </c>
      <c r="G111" s="109" t="s">
        <v>120</v>
      </c>
      <c r="J111" s="279">
        <f t="array" ref="J111:Y111">TRANSPOSE('ARP_Inputs by customer type'!J1249:J1264)</f>
        <v>0</v>
      </c>
      <c r="K111" s="279">
        <v>0</v>
      </c>
      <c r="L111" s="273">
        <v>806.54381714995623</v>
      </c>
      <c r="M111" s="279">
        <v>0</v>
      </c>
      <c r="N111" s="273">
        <v>2773.9107022176709</v>
      </c>
      <c r="O111" s="279">
        <v>0</v>
      </c>
      <c r="P111" s="279">
        <v>0</v>
      </c>
      <c r="Q111" s="279">
        <v>0</v>
      </c>
      <c r="R111" s="279">
        <v>0</v>
      </c>
      <c r="S111" s="279">
        <v>0</v>
      </c>
      <c r="T111" s="279">
        <v>0</v>
      </c>
      <c r="U111" s="279">
        <v>0</v>
      </c>
      <c r="V111" s="279">
        <v>0</v>
      </c>
      <c r="W111" s="279">
        <v>0</v>
      </c>
      <c r="X111" s="279">
        <v>0</v>
      </c>
      <c r="Y111" s="279">
        <v>0</v>
      </c>
    </row>
    <row r="112" spans="5:42" x14ac:dyDescent="0.25">
      <c r="E112" s="96"/>
      <c r="F112" s="109" t="s">
        <v>74</v>
      </c>
      <c r="G112" s="109" t="s">
        <v>74</v>
      </c>
      <c r="J112" s="279">
        <f t="array" ref="J112:Y112">TRANSPOSE('ARP_Inputs by customer type'!J1267:J1282)</f>
        <v>0</v>
      </c>
      <c r="K112" s="279">
        <v>0</v>
      </c>
      <c r="L112" s="273">
        <v>63.012024979810668</v>
      </c>
      <c r="M112" s="279">
        <v>0</v>
      </c>
      <c r="N112" s="273">
        <v>24.106550289142305</v>
      </c>
      <c r="O112" s="279">
        <v>0</v>
      </c>
      <c r="P112" s="279">
        <v>0</v>
      </c>
      <c r="Q112" s="279">
        <v>0</v>
      </c>
      <c r="R112" s="279">
        <v>0</v>
      </c>
      <c r="S112" s="279">
        <v>0</v>
      </c>
      <c r="T112" s="279">
        <v>0</v>
      </c>
      <c r="U112" s="279">
        <v>0</v>
      </c>
      <c r="V112" s="279">
        <v>0</v>
      </c>
      <c r="W112" s="279">
        <v>0</v>
      </c>
      <c r="X112" s="279">
        <v>0</v>
      </c>
      <c r="Y112" s="279">
        <v>0</v>
      </c>
    </row>
    <row r="113" spans="4:43" x14ac:dyDescent="0.25">
      <c r="E113" s="96"/>
      <c r="F113" s="109" t="s">
        <v>202</v>
      </c>
      <c r="G113" s="109" t="s">
        <v>169</v>
      </c>
      <c r="J113" s="279">
        <f t="array" ref="J113:Y113">TRANSPOSE('ARP_Inputs by customer type'!J1285:J1300)</f>
        <v>0</v>
      </c>
      <c r="K113" s="279">
        <v>0</v>
      </c>
      <c r="L113" s="279">
        <v>0</v>
      </c>
      <c r="M113" s="279">
        <v>0</v>
      </c>
      <c r="N113" s="273">
        <v>10026.163121719288</v>
      </c>
      <c r="O113" s="279">
        <v>0</v>
      </c>
      <c r="P113" s="279">
        <v>0</v>
      </c>
      <c r="Q113" s="279">
        <v>0</v>
      </c>
      <c r="R113" s="279">
        <v>0</v>
      </c>
      <c r="S113" s="279">
        <v>0</v>
      </c>
      <c r="T113" s="279">
        <v>0</v>
      </c>
      <c r="U113" s="279">
        <v>0</v>
      </c>
      <c r="V113" s="279">
        <v>0</v>
      </c>
      <c r="W113" s="279">
        <v>0</v>
      </c>
      <c r="X113" s="279">
        <v>0</v>
      </c>
      <c r="Y113" s="279">
        <v>0</v>
      </c>
    </row>
    <row r="114" spans="4:43" x14ac:dyDescent="0.25">
      <c r="E114" s="96"/>
      <c r="F114" s="109" t="s">
        <v>203</v>
      </c>
      <c r="G114" s="109" t="s">
        <v>169</v>
      </c>
      <c r="J114" s="279">
        <f t="array" ref="J114:Y114">TRANSPOSE('ARP_Inputs by customer type'!J1303:J1318)</f>
        <v>0</v>
      </c>
      <c r="K114" s="279">
        <v>0</v>
      </c>
      <c r="L114" s="279">
        <v>0</v>
      </c>
      <c r="M114" s="279">
        <v>0</v>
      </c>
      <c r="N114" s="273">
        <v>9.0619695604838029</v>
      </c>
      <c r="O114" s="279">
        <v>0</v>
      </c>
      <c r="P114" s="279">
        <v>0</v>
      </c>
      <c r="Q114" s="279">
        <v>0</v>
      </c>
      <c r="R114" s="279">
        <v>0</v>
      </c>
      <c r="S114" s="279">
        <v>0</v>
      </c>
      <c r="T114" s="279">
        <v>0</v>
      </c>
      <c r="U114" s="279">
        <v>0</v>
      </c>
      <c r="V114" s="279">
        <v>0</v>
      </c>
      <c r="W114" s="279">
        <v>0</v>
      </c>
      <c r="X114" s="279">
        <v>0</v>
      </c>
      <c r="Y114" s="279">
        <v>0</v>
      </c>
    </row>
    <row r="115" spans="4:43" x14ac:dyDescent="0.25">
      <c r="E115" s="96"/>
      <c r="F115" s="36" t="s">
        <v>204</v>
      </c>
      <c r="G115" s="36" t="s">
        <v>170</v>
      </c>
      <c r="H115" s="93"/>
      <c r="I115" s="93"/>
      <c r="J115" s="240">
        <f t="array" ref="J115:Y115">TRANSPOSE('ARP_Inputs by customer type'!J1321:J1336)</f>
        <v>0</v>
      </c>
      <c r="K115" s="240">
        <v>0</v>
      </c>
      <c r="L115" s="240">
        <v>0</v>
      </c>
      <c r="M115" s="240">
        <v>0</v>
      </c>
      <c r="N115" s="274">
        <v>961.25880896042884</v>
      </c>
      <c r="O115" s="240">
        <v>0</v>
      </c>
      <c r="P115" s="240">
        <v>0</v>
      </c>
      <c r="Q115" s="240">
        <v>0</v>
      </c>
      <c r="R115" s="240">
        <v>0</v>
      </c>
      <c r="S115" s="240">
        <v>0</v>
      </c>
      <c r="T115" s="240">
        <v>0</v>
      </c>
      <c r="U115" s="240">
        <v>0</v>
      </c>
      <c r="V115" s="240">
        <v>0</v>
      </c>
      <c r="W115" s="240">
        <v>0</v>
      </c>
      <c r="X115" s="240">
        <v>0</v>
      </c>
      <c r="Y115" s="240">
        <v>0</v>
      </c>
    </row>
    <row r="116" spans="4:43" x14ac:dyDescent="0.25">
      <c r="E116" s="376"/>
      <c r="F116" s="377"/>
      <c r="G116" s="377"/>
      <c r="H116" s="375"/>
      <c r="I116" s="375"/>
      <c r="J116" s="378"/>
      <c r="K116" s="378"/>
      <c r="L116" s="378"/>
      <c r="M116" s="378"/>
      <c r="N116" s="379"/>
      <c r="O116" s="379"/>
      <c r="P116" s="379"/>
      <c r="Q116" s="378"/>
      <c r="R116" s="378"/>
      <c r="S116" s="378"/>
      <c r="T116" s="379"/>
      <c r="U116" s="378"/>
      <c r="V116" s="379"/>
      <c r="W116" s="378"/>
      <c r="X116" s="379"/>
      <c r="Y116" s="378"/>
      <c r="Z116" s="375"/>
      <c r="AA116" s="375"/>
      <c r="AB116" s="375"/>
      <c r="AC116" s="375"/>
      <c r="AD116" s="375"/>
      <c r="AE116" s="375"/>
      <c r="AF116" s="375"/>
      <c r="AG116" s="375"/>
      <c r="AH116" s="375"/>
      <c r="AI116" s="375"/>
      <c r="AJ116" s="375"/>
      <c r="AK116" s="375"/>
      <c r="AL116" s="375"/>
      <c r="AM116" s="375"/>
      <c r="AN116" s="375"/>
      <c r="AO116" s="375"/>
      <c r="AP116" s="375"/>
    </row>
    <row r="117" spans="4:43" x14ac:dyDescent="0.25">
      <c r="D117" s="82" t="s">
        <v>1054</v>
      </c>
      <c r="G117" s="108"/>
      <c r="I117" s="293" t="s">
        <v>359</v>
      </c>
      <c r="AQ117" s="293" t="s">
        <v>692</v>
      </c>
    </row>
    <row r="118" spans="4:43" x14ac:dyDescent="0.25">
      <c r="G118" s="108"/>
    </row>
    <row r="119" spans="4:43" x14ac:dyDescent="0.25">
      <c r="E119" s="96" t="s">
        <v>1055</v>
      </c>
      <c r="G119" s="108"/>
    </row>
    <row r="120" spans="4:43" x14ac:dyDescent="0.25">
      <c r="E120" s="96"/>
      <c r="F120" s="40" t="s">
        <v>199</v>
      </c>
      <c r="G120" s="40" t="s">
        <v>120</v>
      </c>
      <c r="H120" s="91"/>
      <c r="I120" s="91"/>
      <c r="J120" s="238">
        <f t="array" ref="J120:Y120">TRANSPOSE('ARP_Inputs by customer type'!J1341:J1356)</f>
        <v>0</v>
      </c>
      <c r="K120" s="272">
        <v>179.77446786950873</v>
      </c>
      <c r="L120" s="272">
        <v>8.5000605450719816E-2</v>
      </c>
      <c r="M120" s="272">
        <v>50.994806112427376</v>
      </c>
      <c r="N120" s="272">
        <v>2.5727093827384553</v>
      </c>
      <c r="O120" s="272">
        <v>0</v>
      </c>
      <c r="P120" s="272">
        <v>1.946449261641106</v>
      </c>
      <c r="Q120" s="238">
        <v>0</v>
      </c>
      <c r="R120" s="272">
        <v>5.4054629554655884</v>
      </c>
      <c r="S120" s="272">
        <v>3.2511697241080468</v>
      </c>
      <c r="T120" s="272">
        <v>10.272978968253968</v>
      </c>
      <c r="U120" s="238">
        <v>0</v>
      </c>
      <c r="V120" s="272">
        <v>0</v>
      </c>
      <c r="W120" s="238">
        <v>0</v>
      </c>
      <c r="X120" s="272">
        <v>25.409700000000001</v>
      </c>
      <c r="Y120" s="238">
        <v>0</v>
      </c>
    </row>
    <row r="121" spans="4:43" x14ac:dyDescent="0.25">
      <c r="E121" s="96"/>
      <c r="F121" s="109" t="s">
        <v>200</v>
      </c>
      <c r="G121" s="109" t="s">
        <v>120</v>
      </c>
      <c r="J121" s="279">
        <f t="array" ref="J121:Y121">TRANSPOSE('ARP_Inputs by customer type'!J1359:J1374)</f>
        <v>0</v>
      </c>
      <c r="K121" s="273">
        <v>844.36342956518479</v>
      </c>
      <c r="L121" s="273">
        <v>0.58630721734623636</v>
      </c>
      <c r="M121" s="273">
        <v>311.10576867355189</v>
      </c>
      <c r="N121" s="273">
        <v>13.832706372048838</v>
      </c>
      <c r="O121" s="273">
        <v>0</v>
      </c>
      <c r="P121" s="273">
        <v>8.0794601484360076</v>
      </c>
      <c r="Q121" s="279">
        <v>0</v>
      </c>
      <c r="R121" s="273">
        <v>46.327257006571251</v>
      </c>
      <c r="S121" s="273">
        <v>12.776181565765997</v>
      </c>
      <c r="T121" s="273">
        <v>44.359057142857147</v>
      </c>
      <c r="U121" s="279">
        <v>0</v>
      </c>
      <c r="V121" s="273">
        <v>0</v>
      </c>
      <c r="W121" s="279">
        <v>0</v>
      </c>
      <c r="X121" s="273">
        <v>1.0569</v>
      </c>
      <c r="Y121" s="279">
        <v>0</v>
      </c>
    </row>
    <row r="122" spans="4:43" x14ac:dyDescent="0.25">
      <c r="E122" s="96"/>
      <c r="F122" s="109" t="s">
        <v>201</v>
      </c>
      <c r="G122" s="109" t="s">
        <v>120</v>
      </c>
      <c r="J122" s="279">
        <f t="array" ref="J122:Y122">TRANSPOSE('ARP_Inputs by customer type'!J1377:J1392)</f>
        <v>0</v>
      </c>
      <c r="K122" s="273">
        <v>757.85400103071845</v>
      </c>
      <c r="L122" s="273">
        <v>0.22915121924768586</v>
      </c>
      <c r="M122" s="273">
        <v>157.64075203394657</v>
      </c>
      <c r="N122" s="273">
        <v>7.6232102440074456</v>
      </c>
      <c r="O122" s="273">
        <v>0</v>
      </c>
      <c r="P122" s="273">
        <v>5.7613474219684608</v>
      </c>
      <c r="Q122" s="279">
        <v>0</v>
      </c>
      <c r="R122" s="273">
        <v>4.5925501092132963</v>
      </c>
      <c r="S122" s="273">
        <v>4.3867903210204036</v>
      </c>
      <c r="T122" s="273">
        <v>30.278270238095242</v>
      </c>
      <c r="U122" s="279">
        <v>0</v>
      </c>
      <c r="V122" s="273">
        <v>0</v>
      </c>
      <c r="W122" s="279">
        <v>0</v>
      </c>
      <c r="X122" s="273">
        <v>0</v>
      </c>
      <c r="Y122" s="279">
        <v>0</v>
      </c>
    </row>
    <row r="123" spans="4:43" x14ac:dyDescent="0.25">
      <c r="E123" s="96"/>
      <c r="F123" s="109" t="s">
        <v>74</v>
      </c>
      <c r="G123" s="109" t="s">
        <v>74</v>
      </c>
      <c r="J123" s="279">
        <f t="array" ref="J123:Y123">TRANSPOSE('ARP_Inputs by customer type'!J1395:J1410)</f>
        <v>0</v>
      </c>
      <c r="K123" s="273">
        <v>532</v>
      </c>
      <c r="L123" s="273">
        <v>5.6530833804223767E-2</v>
      </c>
      <c r="M123" s="273">
        <v>9.5483870967741939</v>
      </c>
      <c r="N123" s="273">
        <v>0.35071356901386325</v>
      </c>
      <c r="O123" s="273">
        <v>0</v>
      </c>
      <c r="P123" s="273">
        <v>0.59631521013407429</v>
      </c>
      <c r="Q123" s="279">
        <v>0</v>
      </c>
      <c r="R123" s="273">
        <v>6</v>
      </c>
      <c r="S123" s="273">
        <v>6</v>
      </c>
      <c r="T123" s="273">
        <v>1</v>
      </c>
      <c r="U123" s="279">
        <v>0</v>
      </c>
      <c r="V123" s="273">
        <v>1</v>
      </c>
      <c r="W123" s="279">
        <v>0</v>
      </c>
      <c r="X123" s="273">
        <v>1</v>
      </c>
      <c r="Y123" s="279">
        <v>0</v>
      </c>
    </row>
    <row r="124" spans="4:43" x14ac:dyDescent="0.25">
      <c r="E124" s="96"/>
      <c r="F124" s="109" t="s">
        <v>202</v>
      </c>
      <c r="G124" s="109" t="s">
        <v>169</v>
      </c>
      <c r="J124" s="279">
        <f t="array" ref="J124:Y124">TRANSPOSE('ARP_Inputs by customer type'!J1413:J1428)</f>
        <v>0</v>
      </c>
      <c r="K124" s="279">
        <v>0</v>
      </c>
      <c r="L124" s="279">
        <v>0</v>
      </c>
      <c r="M124" s="279">
        <v>0</v>
      </c>
      <c r="N124" s="273">
        <v>28.28566208954037</v>
      </c>
      <c r="O124" s="273">
        <v>0</v>
      </c>
      <c r="P124" s="273">
        <v>15.015345819402729</v>
      </c>
      <c r="Q124" s="279">
        <v>0</v>
      </c>
      <c r="R124" s="279">
        <v>0</v>
      </c>
      <c r="S124" s="279">
        <v>0</v>
      </c>
      <c r="T124" s="279">
        <v>0</v>
      </c>
      <c r="U124" s="279">
        <v>0</v>
      </c>
      <c r="V124" s="279">
        <v>0</v>
      </c>
      <c r="W124" s="279">
        <v>0</v>
      </c>
      <c r="X124" s="279">
        <v>0</v>
      </c>
      <c r="Y124" s="279">
        <v>0</v>
      </c>
    </row>
    <row r="125" spans="4:43" x14ac:dyDescent="0.25">
      <c r="E125" s="96"/>
      <c r="F125" s="109" t="s">
        <v>203</v>
      </c>
      <c r="G125" s="109" t="s">
        <v>169</v>
      </c>
      <c r="J125" s="279">
        <f t="array" ref="J125:Y125">TRANSPOSE('ARP_Inputs by customer type'!J1431:J1446)</f>
        <v>0</v>
      </c>
      <c r="K125" s="279">
        <v>0</v>
      </c>
      <c r="L125" s="279">
        <v>0</v>
      </c>
      <c r="M125" s="279">
        <v>0</v>
      </c>
      <c r="N125" s="273">
        <v>1.6630050077685223E-2</v>
      </c>
      <c r="O125" s="273">
        <v>0</v>
      </c>
      <c r="P125" s="273">
        <v>1.9248055262022282E-2</v>
      </c>
      <c r="Q125" s="279">
        <v>0</v>
      </c>
      <c r="R125" s="279">
        <v>0</v>
      </c>
      <c r="S125" s="279">
        <v>0</v>
      </c>
      <c r="T125" s="279">
        <v>0</v>
      </c>
      <c r="U125" s="279">
        <v>0</v>
      </c>
      <c r="V125" s="279">
        <v>0</v>
      </c>
      <c r="W125" s="279">
        <v>0</v>
      </c>
      <c r="X125" s="279">
        <v>0</v>
      </c>
      <c r="Y125" s="279">
        <v>0</v>
      </c>
    </row>
    <row r="126" spans="4:43" x14ac:dyDescent="0.25">
      <c r="E126" s="96"/>
      <c r="F126" s="36" t="s">
        <v>204</v>
      </c>
      <c r="G126" s="36" t="s">
        <v>170</v>
      </c>
      <c r="H126" s="93"/>
      <c r="I126" s="93"/>
      <c r="J126" s="240">
        <f t="array" ref="J126:Y126">TRANSPOSE('ARP_Inputs by customer type'!J1449:J1464)</f>
        <v>0</v>
      </c>
      <c r="K126" s="240">
        <v>0</v>
      </c>
      <c r="L126" s="240">
        <v>0</v>
      </c>
      <c r="M126" s="240">
        <v>0</v>
      </c>
      <c r="N126" s="274">
        <v>2.4262549284479116</v>
      </c>
      <c r="O126" s="274">
        <v>0</v>
      </c>
      <c r="P126" s="274">
        <v>0.94088390787221343</v>
      </c>
      <c r="Q126" s="240">
        <v>0</v>
      </c>
      <c r="R126" s="240">
        <v>0</v>
      </c>
      <c r="S126" s="240">
        <v>0</v>
      </c>
      <c r="T126" s="274">
        <v>0</v>
      </c>
      <c r="U126" s="240">
        <v>0</v>
      </c>
      <c r="V126" s="274">
        <v>0</v>
      </c>
      <c r="W126" s="240">
        <v>0</v>
      </c>
      <c r="X126" s="274">
        <v>0</v>
      </c>
      <c r="Y126" s="240">
        <v>0</v>
      </c>
    </row>
    <row r="127" spans="4:43" x14ac:dyDescent="0.25">
      <c r="E127" s="376"/>
      <c r="F127" s="377"/>
      <c r="G127" s="377"/>
      <c r="H127" s="375"/>
      <c r="I127" s="375"/>
      <c r="J127" s="378"/>
      <c r="K127" s="378"/>
      <c r="L127" s="378"/>
      <c r="M127" s="378"/>
      <c r="N127" s="379"/>
      <c r="O127" s="379"/>
      <c r="P127" s="379"/>
      <c r="Q127" s="378"/>
      <c r="R127" s="378"/>
      <c r="S127" s="378"/>
      <c r="T127" s="379"/>
      <c r="U127" s="378"/>
      <c r="V127" s="379"/>
      <c r="W127" s="378"/>
      <c r="X127" s="379"/>
      <c r="Y127" s="378"/>
      <c r="Z127" s="375"/>
      <c r="AA127" s="375"/>
      <c r="AB127" s="375"/>
      <c r="AC127" s="375"/>
      <c r="AD127" s="375"/>
      <c r="AE127" s="375"/>
      <c r="AF127" s="375"/>
      <c r="AG127" s="375"/>
      <c r="AH127" s="375"/>
      <c r="AI127" s="375"/>
      <c r="AJ127" s="375"/>
      <c r="AK127" s="375"/>
      <c r="AL127" s="375"/>
      <c r="AM127" s="375"/>
      <c r="AN127" s="375"/>
      <c r="AO127" s="375"/>
      <c r="AP127" s="375"/>
    </row>
    <row r="128" spans="4:43" x14ac:dyDescent="0.25">
      <c r="E128" s="96" t="s">
        <v>1056</v>
      </c>
      <c r="G128" s="108"/>
    </row>
    <row r="129" spans="5:42" x14ac:dyDescent="0.25">
      <c r="E129" s="96"/>
      <c r="F129" s="40" t="s">
        <v>199</v>
      </c>
      <c r="G129" s="40" t="s">
        <v>120</v>
      </c>
      <c r="H129" s="91"/>
      <c r="I129" s="91"/>
      <c r="J129" s="272">
        <f t="array" ref="J129:Y129">TRANSPOSE('ARP_Inputs by customer type'!J1469:J1484)</f>
        <v>44670.593528846104</v>
      </c>
      <c r="K129" s="238">
        <v>0</v>
      </c>
      <c r="L129" s="272">
        <v>105.97944758038054</v>
      </c>
      <c r="M129" s="238">
        <v>0</v>
      </c>
      <c r="N129" s="272">
        <v>2564.8908079741745</v>
      </c>
      <c r="O129" s="272">
        <v>10.208910205854352</v>
      </c>
      <c r="P129" s="272">
        <v>215.5864947703501</v>
      </c>
      <c r="Q129" s="272">
        <v>93.792650881413181</v>
      </c>
      <c r="R129" s="238">
        <v>0</v>
      </c>
      <c r="S129" s="238">
        <v>0</v>
      </c>
      <c r="T129" s="238">
        <v>0</v>
      </c>
      <c r="U129" s="238">
        <v>0</v>
      </c>
      <c r="V129" s="238">
        <v>0</v>
      </c>
      <c r="W129" s="238">
        <v>0</v>
      </c>
      <c r="X129" s="238">
        <v>0</v>
      </c>
      <c r="Y129" s="238">
        <v>0</v>
      </c>
    </row>
    <row r="130" spans="5:42" x14ac:dyDescent="0.25">
      <c r="E130" s="96"/>
      <c r="F130" s="109" t="s">
        <v>200</v>
      </c>
      <c r="G130" s="109" t="s">
        <v>120</v>
      </c>
      <c r="J130" s="273">
        <f t="array" ref="J130:Y130">TRANSPOSE('ARP_Inputs by customer type'!J1487:J1502)</f>
        <v>188586.48344018924</v>
      </c>
      <c r="K130" s="279">
        <v>0</v>
      </c>
      <c r="L130" s="273">
        <v>731.01261664269748</v>
      </c>
      <c r="M130" s="239">
        <v>0</v>
      </c>
      <c r="N130" s="273">
        <v>13790.668180837714</v>
      </c>
      <c r="O130" s="273">
        <v>57.966016181635908</v>
      </c>
      <c r="P130" s="273">
        <v>894.87176848857177</v>
      </c>
      <c r="Q130" s="273">
        <v>576.08956419110757</v>
      </c>
      <c r="R130" s="279">
        <v>0</v>
      </c>
      <c r="S130" s="279">
        <v>0</v>
      </c>
      <c r="T130" s="279">
        <v>0</v>
      </c>
      <c r="U130" s="279">
        <v>0</v>
      </c>
      <c r="V130" s="279">
        <v>0</v>
      </c>
      <c r="W130" s="279">
        <v>0</v>
      </c>
      <c r="X130" s="279">
        <v>0</v>
      </c>
      <c r="Y130" s="279">
        <v>0</v>
      </c>
    </row>
    <row r="131" spans="5:42" x14ac:dyDescent="0.25">
      <c r="E131" s="96"/>
      <c r="F131" s="109" t="s">
        <v>201</v>
      </c>
      <c r="G131" s="109" t="s">
        <v>120</v>
      </c>
      <c r="J131" s="273">
        <f t="array" ref="J131:Y131">TRANSPOSE('ARP_Inputs by customer type'!J1505:J1520)</f>
        <v>86625.588105867108</v>
      </c>
      <c r="K131" s="279">
        <v>0</v>
      </c>
      <c r="L131" s="273">
        <v>285.70760760427919</v>
      </c>
      <c r="M131" s="239">
        <v>0</v>
      </c>
      <c r="N131" s="273">
        <v>7600.0429793189005</v>
      </c>
      <c r="O131" s="273">
        <v>32.406666317748588</v>
      </c>
      <c r="P131" s="273">
        <v>638.12025329093376</v>
      </c>
      <c r="Q131" s="273">
        <v>467.62435887244271</v>
      </c>
      <c r="R131" s="279">
        <v>0</v>
      </c>
      <c r="S131" s="279">
        <v>0</v>
      </c>
      <c r="T131" s="279">
        <v>0</v>
      </c>
      <c r="U131" s="279">
        <v>0</v>
      </c>
      <c r="V131" s="279">
        <v>0</v>
      </c>
      <c r="W131" s="279">
        <v>0</v>
      </c>
      <c r="X131" s="279">
        <v>0</v>
      </c>
      <c r="Y131" s="279">
        <v>0</v>
      </c>
    </row>
    <row r="132" spans="5:42" x14ac:dyDescent="0.25">
      <c r="E132" s="96"/>
      <c r="F132" s="109" t="s">
        <v>74</v>
      </c>
      <c r="G132" s="109" t="s">
        <v>74</v>
      </c>
      <c r="J132" s="273">
        <f t="array" ref="J132:Y132">TRANSPOSE('ARP_Inputs by customer type'!J1523:J1538)</f>
        <v>115145.92079188582</v>
      </c>
      <c r="K132" s="279">
        <v>0</v>
      </c>
      <c r="L132" s="273">
        <v>619.49770118179629</v>
      </c>
      <c r="M132" s="239">
        <v>0</v>
      </c>
      <c r="N132" s="273">
        <v>289.65169686899787</v>
      </c>
      <c r="O132" s="273">
        <v>0.875</v>
      </c>
      <c r="P132" s="273">
        <v>3.849071584531822</v>
      </c>
      <c r="Q132" s="273">
        <v>502</v>
      </c>
      <c r="R132" s="279">
        <v>0</v>
      </c>
      <c r="S132" s="279">
        <v>0</v>
      </c>
      <c r="T132" s="279">
        <v>0</v>
      </c>
      <c r="U132" s="279">
        <v>0</v>
      </c>
      <c r="V132" s="279">
        <v>0</v>
      </c>
      <c r="W132" s="279">
        <v>0</v>
      </c>
      <c r="X132" s="279">
        <v>0</v>
      </c>
      <c r="Y132" s="279">
        <v>0</v>
      </c>
    </row>
    <row r="133" spans="5:42" x14ac:dyDescent="0.25">
      <c r="E133" s="96"/>
      <c r="F133" s="109" t="s">
        <v>202</v>
      </c>
      <c r="G133" s="109" t="s">
        <v>169</v>
      </c>
      <c r="J133" s="279">
        <f t="array" ref="J133:Y133">TRANSPOSE('ARP_Inputs by customer type'!J1541:J1556)</f>
        <v>0</v>
      </c>
      <c r="K133" s="279">
        <v>0</v>
      </c>
      <c r="L133" s="279">
        <v>0</v>
      </c>
      <c r="M133" s="239">
        <v>0</v>
      </c>
      <c r="N133" s="273">
        <v>28199.700742608577</v>
      </c>
      <c r="O133" s="273">
        <v>118.53631342500071</v>
      </c>
      <c r="P133" s="273">
        <v>1663.0825353445739</v>
      </c>
      <c r="Q133" s="279">
        <v>0</v>
      </c>
      <c r="R133" s="279">
        <v>0</v>
      </c>
      <c r="S133" s="279">
        <v>0</v>
      </c>
      <c r="T133" s="279">
        <v>0</v>
      </c>
      <c r="U133" s="279">
        <v>0</v>
      </c>
      <c r="V133" s="279">
        <v>0</v>
      </c>
      <c r="W133" s="279">
        <v>0</v>
      </c>
      <c r="X133" s="279">
        <v>0</v>
      </c>
      <c r="Y133" s="279">
        <v>0</v>
      </c>
    </row>
    <row r="134" spans="5:42" x14ac:dyDescent="0.25">
      <c r="E134" s="96"/>
      <c r="F134" s="109" t="s">
        <v>203</v>
      </c>
      <c r="G134" s="109" t="s">
        <v>169</v>
      </c>
      <c r="J134" s="279">
        <f t="array" ref="J134:Y134">TRANSPOSE('ARP_Inputs by customer type'!J1559:J1574)</f>
        <v>0</v>
      </c>
      <c r="K134" s="279">
        <v>0</v>
      </c>
      <c r="L134" s="279">
        <v>0</v>
      </c>
      <c r="M134" s="239">
        <v>0</v>
      </c>
      <c r="N134" s="273">
        <v>16.579510638314996</v>
      </c>
      <c r="O134" s="273">
        <v>0.64913503177350218</v>
      </c>
      <c r="P134" s="273">
        <v>2.1318925937924087</v>
      </c>
      <c r="Q134" s="279">
        <v>0</v>
      </c>
      <c r="R134" s="279">
        <v>0</v>
      </c>
      <c r="S134" s="279">
        <v>0</v>
      </c>
      <c r="T134" s="279">
        <v>0</v>
      </c>
      <c r="U134" s="279">
        <v>0</v>
      </c>
      <c r="V134" s="279">
        <v>0</v>
      </c>
      <c r="W134" s="279">
        <v>0</v>
      </c>
      <c r="X134" s="279">
        <v>0</v>
      </c>
      <c r="Y134" s="279">
        <v>0</v>
      </c>
    </row>
    <row r="135" spans="5:42" x14ac:dyDescent="0.25">
      <c r="E135" s="96"/>
      <c r="F135" s="36" t="s">
        <v>204</v>
      </c>
      <c r="G135" s="36" t="s">
        <v>170</v>
      </c>
      <c r="H135" s="93"/>
      <c r="I135" s="93"/>
      <c r="J135" s="240">
        <f t="array" ref="J135:Y135">TRANSPOSE('ARP_Inputs by customer type'!J1577:J1592)</f>
        <v>0</v>
      </c>
      <c r="K135" s="240">
        <v>0</v>
      </c>
      <c r="L135" s="240">
        <v>0</v>
      </c>
      <c r="M135" s="240">
        <v>0</v>
      </c>
      <c r="N135" s="274">
        <v>2418.8814350861844</v>
      </c>
      <c r="O135" s="274">
        <v>8.9737326867486686</v>
      </c>
      <c r="P135" s="274">
        <v>104.21122588778802</v>
      </c>
      <c r="Q135" s="240">
        <v>0</v>
      </c>
      <c r="R135" s="240">
        <v>0</v>
      </c>
      <c r="S135" s="240">
        <v>0</v>
      </c>
      <c r="T135" s="240">
        <v>0</v>
      </c>
      <c r="U135" s="240">
        <v>0</v>
      </c>
      <c r="V135" s="240">
        <v>0</v>
      </c>
      <c r="W135" s="240">
        <v>0</v>
      </c>
      <c r="X135" s="240">
        <v>0</v>
      </c>
      <c r="Y135" s="240">
        <v>0</v>
      </c>
    </row>
    <row r="136" spans="5:42" x14ac:dyDescent="0.25">
      <c r="E136" s="376"/>
      <c r="F136" s="377"/>
      <c r="G136" s="377"/>
      <c r="H136" s="375"/>
      <c r="I136" s="375"/>
      <c r="J136" s="378"/>
      <c r="K136" s="378"/>
      <c r="L136" s="378"/>
      <c r="M136" s="378"/>
      <c r="N136" s="379"/>
      <c r="O136" s="379"/>
      <c r="P136" s="379"/>
      <c r="Q136" s="378"/>
      <c r="R136" s="378"/>
      <c r="S136" s="378"/>
      <c r="T136" s="379"/>
      <c r="U136" s="378"/>
      <c r="V136" s="379"/>
      <c r="W136" s="378"/>
      <c r="X136" s="379"/>
      <c r="Y136" s="378"/>
      <c r="Z136" s="375"/>
      <c r="AA136" s="375"/>
      <c r="AB136" s="375"/>
      <c r="AC136" s="375"/>
      <c r="AD136" s="375"/>
      <c r="AE136" s="375"/>
      <c r="AF136" s="375"/>
      <c r="AG136" s="375"/>
      <c r="AH136" s="375"/>
      <c r="AI136" s="375"/>
      <c r="AJ136" s="375"/>
      <c r="AK136" s="375"/>
      <c r="AL136" s="375"/>
      <c r="AM136" s="375"/>
      <c r="AN136" s="375"/>
      <c r="AO136" s="375"/>
      <c r="AP136" s="375"/>
    </row>
    <row r="137" spans="5:42" x14ac:dyDescent="0.25">
      <c r="E137" s="96" t="s">
        <v>1057</v>
      </c>
      <c r="G137" s="108"/>
    </row>
    <row r="138" spans="5:42" x14ac:dyDescent="0.25">
      <c r="E138" s="96"/>
      <c r="F138" s="40" t="s">
        <v>199</v>
      </c>
      <c r="G138" s="40" t="s">
        <v>120</v>
      </c>
      <c r="H138" s="91"/>
      <c r="I138" s="91"/>
      <c r="J138" s="238">
        <f t="array" ref="J138:Y138">TRANSPOSE('ARP_Inputs by customer type'!J1597:J1612)</f>
        <v>0</v>
      </c>
      <c r="K138" s="238">
        <v>0</v>
      </c>
      <c r="L138" s="272">
        <v>261.59466956810127</v>
      </c>
      <c r="M138" s="238">
        <v>0</v>
      </c>
      <c r="N138" s="272">
        <v>2436.3584506201018</v>
      </c>
      <c r="O138" s="272">
        <v>129.46571530946113</v>
      </c>
      <c r="P138" s="272">
        <v>747.76435380860607</v>
      </c>
      <c r="Q138" s="238">
        <v>0</v>
      </c>
      <c r="R138" s="238">
        <v>0</v>
      </c>
      <c r="S138" s="238">
        <v>0</v>
      </c>
      <c r="T138" s="238">
        <v>0</v>
      </c>
      <c r="U138" s="238">
        <v>0</v>
      </c>
      <c r="V138" s="238">
        <v>0</v>
      </c>
      <c r="W138" s="238">
        <v>0</v>
      </c>
      <c r="X138" s="238">
        <v>0</v>
      </c>
      <c r="Y138" s="238">
        <v>0</v>
      </c>
    </row>
    <row r="139" spans="5:42" x14ac:dyDescent="0.25">
      <c r="E139" s="96"/>
      <c r="F139" s="109" t="s">
        <v>200</v>
      </c>
      <c r="G139" s="109" t="s">
        <v>120</v>
      </c>
      <c r="J139" s="279">
        <f t="array" ref="J139:Y139">TRANSPOSE('ARP_Inputs by customer type'!J1615:J1630)</f>
        <v>0</v>
      </c>
      <c r="K139" s="279">
        <v>0</v>
      </c>
      <c r="L139" s="472">
        <v>1804.397062512721</v>
      </c>
      <c r="M139" s="279">
        <v>0</v>
      </c>
      <c r="N139" s="273">
        <v>13099.587264153046</v>
      </c>
      <c r="O139" s="273">
        <v>735.10409997452359</v>
      </c>
      <c r="P139" s="273">
        <v>3103.8735075600434</v>
      </c>
      <c r="Q139" s="279">
        <v>0</v>
      </c>
      <c r="R139" s="279">
        <v>0</v>
      </c>
      <c r="S139" s="279">
        <v>0</v>
      </c>
      <c r="T139" s="279">
        <v>0</v>
      </c>
      <c r="U139" s="279">
        <v>0</v>
      </c>
      <c r="V139" s="279">
        <v>0</v>
      </c>
      <c r="W139" s="279">
        <v>0</v>
      </c>
      <c r="X139" s="279">
        <v>0</v>
      </c>
      <c r="Y139" s="279">
        <v>0</v>
      </c>
    </row>
    <row r="140" spans="5:42" x14ac:dyDescent="0.25">
      <c r="E140" s="96"/>
      <c r="F140" s="109" t="s">
        <v>201</v>
      </c>
      <c r="G140" s="109" t="s">
        <v>120</v>
      </c>
      <c r="J140" s="279">
        <f t="array" ref="J140:Y140">TRANSPOSE('ARP_Inputs by customer type'!J1633:J1648)</f>
        <v>0</v>
      </c>
      <c r="K140" s="279">
        <v>0</v>
      </c>
      <c r="L140" s="472">
        <v>705.22718235200853</v>
      </c>
      <c r="M140" s="279">
        <v>0</v>
      </c>
      <c r="N140" s="273">
        <v>7219.1879982463633</v>
      </c>
      <c r="O140" s="273">
        <v>410.96964818207346</v>
      </c>
      <c r="P140" s="273">
        <v>2213.327784574677</v>
      </c>
      <c r="Q140" s="279">
        <v>0</v>
      </c>
      <c r="R140" s="279">
        <v>0</v>
      </c>
      <c r="S140" s="279">
        <v>0</v>
      </c>
      <c r="T140" s="279">
        <v>0</v>
      </c>
      <c r="U140" s="279">
        <v>0</v>
      </c>
      <c r="V140" s="279">
        <v>0</v>
      </c>
      <c r="W140" s="279">
        <v>0</v>
      </c>
      <c r="X140" s="279">
        <v>0</v>
      </c>
      <c r="Y140" s="279">
        <v>0</v>
      </c>
    </row>
    <row r="141" spans="5:42" x14ac:dyDescent="0.25">
      <c r="E141" s="96"/>
      <c r="F141" s="109" t="s">
        <v>74</v>
      </c>
      <c r="G141" s="109" t="s">
        <v>74</v>
      </c>
      <c r="J141" s="279">
        <f t="array" ref="J141:Y141">TRANSPOSE('ARP_Inputs by customer type'!J1651:J1666)</f>
        <v>0</v>
      </c>
      <c r="K141" s="279">
        <v>0</v>
      </c>
      <c r="L141" s="273">
        <v>465.5099893681957</v>
      </c>
      <c r="M141" s="279">
        <v>0</v>
      </c>
      <c r="N141" s="273">
        <v>149.72641061657978</v>
      </c>
      <c r="O141" s="273">
        <v>6.6499999999999995</v>
      </c>
      <c r="P141" s="273">
        <v>4.5758160853167809</v>
      </c>
      <c r="Q141" s="279">
        <v>0</v>
      </c>
      <c r="R141" s="279">
        <v>0</v>
      </c>
      <c r="S141" s="279">
        <v>0</v>
      </c>
      <c r="T141" s="279">
        <v>0</v>
      </c>
      <c r="U141" s="279">
        <v>0</v>
      </c>
      <c r="V141" s="279">
        <v>0</v>
      </c>
      <c r="W141" s="279">
        <v>0</v>
      </c>
      <c r="X141" s="279">
        <v>0</v>
      </c>
      <c r="Y141" s="279">
        <v>0</v>
      </c>
    </row>
    <row r="142" spans="5:42" x14ac:dyDescent="0.25">
      <c r="E142" s="96"/>
      <c r="F142" s="109" t="s">
        <v>202</v>
      </c>
      <c r="G142" s="109" t="s">
        <v>169</v>
      </c>
      <c r="J142" s="279">
        <f t="array" ref="J142:Y142">TRANSPOSE('ARP_Inputs by customer type'!J1669:J1684)</f>
        <v>0</v>
      </c>
      <c r="K142" s="279">
        <v>0</v>
      </c>
      <c r="L142" s="279">
        <v>0</v>
      </c>
      <c r="M142" s="279">
        <v>0</v>
      </c>
      <c r="N142" s="273">
        <v>26786.551300980038</v>
      </c>
      <c r="O142" s="273">
        <v>1503.2347526099047</v>
      </c>
      <c r="P142" s="273">
        <v>5768.4218053502436</v>
      </c>
      <c r="Q142" s="279">
        <v>0</v>
      </c>
      <c r="R142" s="279">
        <v>0</v>
      </c>
      <c r="S142" s="279">
        <v>0</v>
      </c>
      <c r="T142" s="279">
        <v>0</v>
      </c>
      <c r="U142" s="279">
        <v>0</v>
      </c>
      <c r="V142" s="279">
        <v>0</v>
      </c>
      <c r="W142" s="279">
        <v>0</v>
      </c>
      <c r="X142" s="279">
        <v>0</v>
      </c>
      <c r="Y142" s="279">
        <v>0</v>
      </c>
    </row>
    <row r="143" spans="5:42" x14ac:dyDescent="0.25">
      <c r="E143" s="96"/>
      <c r="F143" s="109" t="s">
        <v>203</v>
      </c>
      <c r="G143" s="109" t="s">
        <v>169</v>
      </c>
      <c r="J143" s="279">
        <f t="array" ref="J143:Y143">TRANSPOSE('ARP_Inputs by customer type'!J1687:J1702)</f>
        <v>0</v>
      </c>
      <c r="K143" s="279">
        <v>0</v>
      </c>
      <c r="L143" s="279">
        <v>0</v>
      </c>
      <c r="M143" s="279">
        <v>0</v>
      </c>
      <c r="N143" s="273">
        <v>15.748674651264663</v>
      </c>
      <c r="O143" s="273">
        <v>8.2320962302903453</v>
      </c>
      <c r="P143" s="273">
        <v>7.3944951398030696</v>
      </c>
      <c r="Q143" s="279">
        <v>0</v>
      </c>
      <c r="R143" s="279">
        <v>0</v>
      </c>
      <c r="S143" s="279">
        <v>0</v>
      </c>
      <c r="T143" s="279">
        <v>0</v>
      </c>
      <c r="U143" s="279">
        <v>0</v>
      </c>
      <c r="V143" s="279">
        <v>0</v>
      </c>
      <c r="W143" s="279">
        <v>0</v>
      </c>
      <c r="X143" s="279">
        <v>0</v>
      </c>
      <c r="Y143" s="279">
        <v>0</v>
      </c>
    </row>
    <row r="144" spans="5:42" x14ac:dyDescent="0.25">
      <c r="E144" s="96"/>
      <c r="F144" s="36" t="s">
        <v>204</v>
      </c>
      <c r="G144" s="36" t="s">
        <v>170</v>
      </c>
      <c r="H144" s="93"/>
      <c r="I144" s="93"/>
      <c r="J144" s="240">
        <f t="array" ref="J144:Y144">TRANSPOSE('ARP_Inputs by customer type'!J1705:J1720)</f>
        <v>0</v>
      </c>
      <c r="K144" s="240">
        <v>0</v>
      </c>
      <c r="L144" s="240">
        <v>0</v>
      </c>
      <c r="M144" s="240">
        <v>0</v>
      </c>
      <c r="N144" s="274">
        <v>2297.6659306892579</v>
      </c>
      <c r="O144" s="274">
        <v>113.80163973031853</v>
      </c>
      <c r="P144" s="274">
        <v>361.45789219585976</v>
      </c>
      <c r="Q144" s="240">
        <v>0</v>
      </c>
      <c r="R144" s="240">
        <v>0</v>
      </c>
      <c r="S144" s="240">
        <v>0</v>
      </c>
      <c r="T144" s="240">
        <v>0</v>
      </c>
      <c r="U144" s="240">
        <v>0</v>
      </c>
      <c r="V144" s="240">
        <v>0</v>
      </c>
      <c r="W144" s="240">
        <v>0</v>
      </c>
      <c r="X144" s="240">
        <v>0</v>
      </c>
      <c r="Y144" s="240">
        <v>0</v>
      </c>
    </row>
    <row r="145" spans="5:42" x14ac:dyDescent="0.25">
      <c r="E145" s="376"/>
      <c r="F145" s="377"/>
      <c r="G145" s="377"/>
      <c r="H145" s="375"/>
      <c r="I145" s="375"/>
      <c r="J145" s="378"/>
      <c r="K145" s="378"/>
      <c r="L145" s="378"/>
      <c r="M145" s="378"/>
      <c r="N145" s="379"/>
      <c r="O145" s="379"/>
      <c r="P145" s="379"/>
      <c r="Q145" s="378"/>
      <c r="R145" s="378"/>
      <c r="S145" s="378"/>
      <c r="T145" s="379"/>
      <c r="U145" s="378"/>
      <c r="V145" s="379"/>
      <c r="W145" s="378"/>
      <c r="X145" s="379"/>
      <c r="Y145" s="378"/>
      <c r="Z145" s="375"/>
      <c r="AA145" s="375"/>
      <c r="AB145" s="375"/>
      <c r="AC145" s="375"/>
      <c r="AD145" s="375"/>
      <c r="AE145" s="375"/>
      <c r="AF145" s="375"/>
      <c r="AG145" s="375"/>
      <c r="AH145" s="375"/>
      <c r="AI145" s="375"/>
      <c r="AJ145" s="375"/>
      <c r="AK145" s="375"/>
      <c r="AL145" s="375"/>
      <c r="AM145" s="375"/>
      <c r="AN145" s="375"/>
      <c r="AO145" s="375"/>
      <c r="AP145" s="375"/>
    </row>
    <row r="146" spans="5:42" x14ac:dyDescent="0.25">
      <c r="E146" s="96" t="s">
        <v>1058</v>
      </c>
      <c r="G146" s="108"/>
    </row>
    <row r="147" spans="5:42" x14ac:dyDescent="0.25">
      <c r="E147" s="96"/>
      <c r="F147" s="40" t="s">
        <v>199</v>
      </c>
      <c r="G147" s="40" t="s">
        <v>120</v>
      </c>
      <c r="H147" s="91"/>
      <c r="I147" s="91"/>
      <c r="J147" s="238">
        <f t="array" ref="J147:Y147">TRANSPOSE('ARP_Inputs by customer type'!J1725:J1740)</f>
        <v>0</v>
      </c>
      <c r="K147" s="238">
        <v>0</v>
      </c>
      <c r="L147" s="272">
        <v>313.86655064559477</v>
      </c>
      <c r="M147" s="238">
        <v>0</v>
      </c>
      <c r="N147" s="272">
        <v>2007.2494224918353</v>
      </c>
      <c r="O147" s="272">
        <v>159.77103261868257</v>
      </c>
      <c r="P147" s="272">
        <v>593.51122118205615</v>
      </c>
      <c r="Q147" s="238">
        <v>0</v>
      </c>
      <c r="R147" s="238">
        <v>0</v>
      </c>
      <c r="S147" s="238">
        <v>0</v>
      </c>
      <c r="T147" s="238">
        <v>0</v>
      </c>
      <c r="U147" s="238">
        <v>0</v>
      </c>
      <c r="V147" s="238">
        <v>0</v>
      </c>
      <c r="W147" s="238">
        <v>0</v>
      </c>
      <c r="X147" s="238">
        <v>0</v>
      </c>
      <c r="Y147" s="238">
        <v>0</v>
      </c>
    </row>
    <row r="148" spans="5:42" x14ac:dyDescent="0.25">
      <c r="E148" s="96"/>
      <c r="F148" s="109" t="s">
        <v>200</v>
      </c>
      <c r="G148" s="109" t="s">
        <v>120</v>
      </c>
      <c r="J148" s="279">
        <f t="array" ref="J148:Y148">TRANSPOSE('ARP_Inputs by customer type'!J1743:J1758)</f>
        <v>0</v>
      </c>
      <c r="K148" s="279">
        <v>0</v>
      </c>
      <c r="L148" s="273">
        <v>2164.9519194750847</v>
      </c>
      <c r="M148" s="279">
        <v>0</v>
      </c>
      <c r="N148" s="273">
        <v>10792.393444470463</v>
      </c>
      <c r="O148" s="273">
        <v>907.17716929474977</v>
      </c>
      <c r="P148" s="273">
        <v>2463.5886245228921</v>
      </c>
      <c r="Q148" s="279">
        <v>0</v>
      </c>
      <c r="R148" s="279">
        <v>0</v>
      </c>
      <c r="S148" s="279">
        <v>0</v>
      </c>
      <c r="T148" s="279">
        <v>0</v>
      </c>
      <c r="U148" s="279">
        <v>0</v>
      </c>
      <c r="V148" s="279">
        <v>0</v>
      </c>
      <c r="W148" s="279">
        <v>0</v>
      </c>
      <c r="X148" s="279">
        <v>0</v>
      </c>
      <c r="Y148" s="279">
        <v>0</v>
      </c>
    </row>
    <row r="149" spans="5:42" x14ac:dyDescent="0.25">
      <c r="E149" s="96"/>
      <c r="F149" s="109" t="s">
        <v>201</v>
      </c>
      <c r="G149" s="109" t="s">
        <v>120</v>
      </c>
      <c r="J149" s="279">
        <f t="array" ref="J149:Y149">TRANSPOSE('ARP_Inputs by customer type'!J1761:J1776)</f>
        <v>0</v>
      </c>
      <c r="K149" s="279">
        <v>0</v>
      </c>
      <c r="L149" s="273">
        <v>846.14577014044687</v>
      </c>
      <c r="M149" s="279">
        <v>0</v>
      </c>
      <c r="N149" s="273">
        <v>5947.6925230980796</v>
      </c>
      <c r="O149" s="273">
        <v>507.16936841570254</v>
      </c>
      <c r="P149" s="273">
        <v>1756.7497963874894</v>
      </c>
      <c r="Q149" s="279">
        <v>0</v>
      </c>
      <c r="R149" s="279">
        <v>0</v>
      </c>
      <c r="S149" s="279">
        <v>0</v>
      </c>
      <c r="T149" s="279">
        <v>0</v>
      </c>
      <c r="U149" s="279">
        <v>0</v>
      </c>
      <c r="V149" s="279">
        <v>0</v>
      </c>
      <c r="W149" s="279">
        <v>0</v>
      </c>
      <c r="X149" s="279">
        <v>0</v>
      </c>
      <c r="Y149" s="279">
        <v>0</v>
      </c>
    </row>
    <row r="150" spans="5:42" x14ac:dyDescent="0.25">
      <c r="E150" s="96"/>
      <c r="F150" s="109" t="s">
        <v>74</v>
      </c>
      <c r="G150" s="109" t="s">
        <v>74</v>
      </c>
      <c r="J150" s="279">
        <f t="array" ref="J150:Y150">TRANSPOSE('ARP_Inputs by customer type'!J1779:J1794)</f>
        <v>0</v>
      </c>
      <c r="K150" s="279">
        <v>0</v>
      </c>
      <c r="L150" s="273">
        <v>246.43363288943598</v>
      </c>
      <c r="M150" s="279">
        <v>0</v>
      </c>
      <c r="N150" s="273">
        <v>79.742083586910155</v>
      </c>
      <c r="O150" s="273">
        <v>7.875</v>
      </c>
      <c r="P150" s="273">
        <v>1.978724940000361</v>
      </c>
      <c r="Q150" s="279">
        <v>0</v>
      </c>
      <c r="R150" s="279">
        <v>0</v>
      </c>
      <c r="S150" s="279">
        <v>0</v>
      </c>
      <c r="T150" s="279">
        <v>0</v>
      </c>
      <c r="U150" s="279">
        <v>0</v>
      </c>
      <c r="V150" s="279">
        <v>0</v>
      </c>
      <c r="W150" s="279">
        <v>0</v>
      </c>
      <c r="X150" s="279">
        <v>0</v>
      </c>
      <c r="Y150" s="279">
        <v>0</v>
      </c>
    </row>
    <row r="151" spans="5:42" x14ac:dyDescent="0.25">
      <c r="E151" s="96"/>
      <c r="F151" s="109" t="s">
        <v>202</v>
      </c>
      <c r="G151" s="109" t="s">
        <v>169</v>
      </c>
      <c r="J151" s="279">
        <f t="array" ref="J151:Y151">TRANSPOSE('ARP_Inputs by customer type'!J1797:J1812)</f>
        <v>0</v>
      </c>
      <c r="K151" s="279">
        <v>0</v>
      </c>
      <c r="L151" s="279">
        <v>0</v>
      </c>
      <c r="M151" s="279">
        <v>0</v>
      </c>
      <c r="N151" s="273">
        <v>22068.710626613771</v>
      </c>
      <c r="O151" s="273">
        <v>1855.1117422762413</v>
      </c>
      <c r="P151" s="273">
        <v>4578.4785708880108</v>
      </c>
      <c r="Q151" s="279">
        <v>0</v>
      </c>
      <c r="R151" s="279">
        <v>0</v>
      </c>
      <c r="S151" s="279">
        <v>0</v>
      </c>
      <c r="T151" s="279">
        <v>0</v>
      </c>
      <c r="U151" s="279">
        <v>0</v>
      </c>
      <c r="V151" s="279">
        <v>0</v>
      </c>
      <c r="W151" s="279">
        <v>0</v>
      </c>
      <c r="X151" s="279">
        <v>0</v>
      </c>
      <c r="Y151" s="279">
        <v>0</v>
      </c>
    </row>
    <row r="152" spans="5:42" x14ac:dyDescent="0.25">
      <c r="E152" s="96"/>
      <c r="F152" s="109" t="s">
        <v>203</v>
      </c>
      <c r="G152" s="109" t="s">
        <v>169</v>
      </c>
      <c r="J152" s="279">
        <f t="array" ref="J152:Y152">TRANSPOSE('ARP_Inputs by customer type'!J1815:J1830)</f>
        <v>0</v>
      </c>
      <c r="K152" s="279">
        <v>0</v>
      </c>
      <c r="L152" s="279">
        <v>0</v>
      </c>
      <c r="M152" s="279">
        <v>0</v>
      </c>
      <c r="N152" s="273">
        <v>12.974904448365157</v>
      </c>
      <c r="O152" s="273">
        <v>10.159064213919624</v>
      </c>
      <c r="P152" s="273">
        <v>5.8691161434697268</v>
      </c>
      <c r="Q152" s="279">
        <v>0</v>
      </c>
      <c r="R152" s="279">
        <v>0</v>
      </c>
      <c r="S152" s="279">
        <v>0</v>
      </c>
      <c r="T152" s="279">
        <v>0</v>
      </c>
      <c r="U152" s="279">
        <v>0</v>
      </c>
      <c r="V152" s="279">
        <v>0</v>
      </c>
      <c r="W152" s="279">
        <v>0</v>
      </c>
      <c r="X152" s="279">
        <v>0</v>
      </c>
      <c r="Y152" s="279">
        <v>0</v>
      </c>
    </row>
    <row r="153" spans="5:42" x14ac:dyDescent="0.25">
      <c r="E153" s="96"/>
      <c r="F153" s="36" t="s">
        <v>204</v>
      </c>
      <c r="G153" s="36" t="s">
        <v>170</v>
      </c>
      <c r="H153" s="93"/>
      <c r="I153" s="93"/>
      <c r="J153" s="240">
        <f t="array" ref="J153:Y153">TRANSPOSE('ARP_Inputs by customer type'!J1833:J1848)</f>
        <v>0</v>
      </c>
      <c r="K153" s="240">
        <v>0</v>
      </c>
      <c r="L153" s="240">
        <v>0</v>
      </c>
      <c r="M153" s="240">
        <v>0</v>
      </c>
      <c r="N153" s="274">
        <v>1892.984429808075</v>
      </c>
      <c r="O153" s="274">
        <v>140.44031232478395</v>
      </c>
      <c r="P153" s="274">
        <v>286.89427880640397</v>
      </c>
      <c r="Q153" s="240">
        <v>0</v>
      </c>
      <c r="R153" s="240">
        <v>0</v>
      </c>
      <c r="S153" s="240">
        <v>0</v>
      </c>
      <c r="T153" s="240">
        <v>0</v>
      </c>
      <c r="U153" s="240">
        <v>0</v>
      </c>
      <c r="V153" s="240">
        <v>0</v>
      </c>
      <c r="W153" s="240">
        <v>0</v>
      </c>
      <c r="X153" s="240">
        <v>0</v>
      </c>
      <c r="Y153" s="240">
        <v>0</v>
      </c>
    </row>
    <row r="154" spans="5:42" x14ac:dyDescent="0.25">
      <c r="E154" s="376"/>
      <c r="F154" s="377"/>
      <c r="G154" s="377"/>
      <c r="H154" s="375"/>
      <c r="I154" s="375"/>
      <c r="J154" s="378"/>
      <c r="K154" s="378"/>
      <c r="L154" s="378"/>
      <c r="M154" s="378"/>
      <c r="N154" s="379"/>
      <c r="O154" s="379"/>
      <c r="P154" s="379"/>
      <c r="Q154" s="378"/>
      <c r="R154" s="378"/>
      <c r="S154" s="378"/>
      <c r="T154" s="379"/>
      <c r="U154" s="378"/>
      <c r="V154" s="379"/>
      <c r="W154" s="378"/>
      <c r="X154" s="379"/>
      <c r="Y154" s="378"/>
      <c r="Z154" s="375"/>
      <c r="AA154" s="375"/>
      <c r="AB154" s="375"/>
      <c r="AC154" s="375"/>
      <c r="AD154" s="375"/>
      <c r="AE154" s="375"/>
      <c r="AF154" s="375"/>
      <c r="AG154" s="375"/>
      <c r="AH154" s="375"/>
      <c r="AI154" s="375"/>
      <c r="AJ154" s="375"/>
      <c r="AK154" s="375"/>
      <c r="AL154" s="375"/>
      <c r="AM154" s="375"/>
      <c r="AN154" s="375"/>
      <c r="AO154" s="375"/>
      <c r="AP154" s="375"/>
    </row>
    <row r="155" spans="5:42" x14ac:dyDescent="0.25">
      <c r="E155" s="96" t="s">
        <v>1059</v>
      </c>
      <c r="G155" s="108"/>
    </row>
    <row r="156" spans="5:42" x14ac:dyDescent="0.25">
      <c r="E156" s="96"/>
      <c r="F156" s="40" t="s">
        <v>199</v>
      </c>
      <c r="G156" s="40" t="s">
        <v>120</v>
      </c>
      <c r="H156" s="91"/>
      <c r="I156" s="91"/>
      <c r="J156" s="238">
        <f t="array" ref="J156:Y156">TRANSPOSE('ARP_Inputs by customer type'!J1853:J1868)</f>
        <v>0</v>
      </c>
      <c r="K156" s="238">
        <v>0</v>
      </c>
      <c r="L156" s="272">
        <v>789.94769280089258</v>
      </c>
      <c r="M156" s="238">
        <v>0</v>
      </c>
      <c r="N156" s="272">
        <v>6603.6460524389131</v>
      </c>
      <c r="O156" s="272">
        <v>2125.561714021183</v>
      </c>
      <c r="P156" s="272">
        <v>1576.0498492369738</v>
      </c>
      <c r="Q156" s="238">
        <v>0</v>
      </c>
      <c r="R156" s="238">
        <v>0</v>
      </c>
      <c r="S156" s="238">
        <v>0</v>
      </c>
      <c r="T156" s="238">
        <v>0</v>
      </c>
      <c r="U156" s="238">
        <v>0</v>
      </c>
      <c r="V156" s="238">
        <v>0</v>
      </c>
      <c r="W156" s="238">
        <v>0</v>
      </c>
      <c r="X156" s="238">
        <v>0</v>
      </c>
      <c r="Y156" s="238">
        <v>0</v>
      </c>
    </row>
    <row r="157" spans="5:42" x14ac:dyDescent="0.25">
      <c r="E157" s="96"/>
      <c r="F157" s="109" t="s">
        <v>200</v>
      </c>
      <c r="G157" s="109" t="s">
        <v>120</v>
      </c>
      <c r="J157" s="279">
        <f t="array" ref="J157:Y157">TRANSPOSE('ARP_Inputs by customer type'!J1871:J1886)</f>
        <v>0</v>
      </c>
      <c r="K157" s="279">
        <v>0</v>
      </c>
      <c r="L157" s="273">
        <v>5448.8086427065409</v>
      </c>
      <c r="M157" s="279">
        <v>0</v>
      </c>
      <c r="N157" s="273">
        <v>35505.874639869216</v>
      </c>
      <c r="O157" s="273">
        <v>12068.902774692056</v>
      </c>
      <c r="P157" s="273">
        <v>6541.9799014553437</v>
      </c>
      <c r="Q157" s="279">
        <v>0</v>
      </c>
      <c r="R157" s="279">
        <v>0</v>
      </c>
      <c r="S157" s="279">
        <v>0</v>
      </c>
      <c r="T157" s="279">
        <v>0</v>
      </c>
      <c r="U157" s="279">
        <v>0</v>
      </c>
      <c r="V157" s="279">
        <v>0</v>
      </c>
      <c r="W157" s="279">
        <v>0</v>
      </c>
      <c r="X157" s="279">
        <v>0</v>
      </c>
      <c r="Y157" s="279">
        <v>0</v>
      </c>
    </row>
    <row r="158" spans="5:42" x14ac:dyDescent="0.25">
      <c r="E158" s="96"/>
      <c r="F158" s="109" t="s">
        <v>201</v>
      </c>
      <c r="G158" s="109" t="s">
        <v>120</v>
      </c>
      <c r="J158" s="279">
        <f t="array" ref="J158:Y158">TRANSPOSE('ARP_Inputs by customer type'!J1889:J1904)</f>
        <v>0</v>
      </c>
      <c r="K158" s="279">
        <v>0</v>
      </c>
      <c r="L158" s="273">
        <v>2129.6022068003754</v>
      </c>
      <c r="M158" s="279">
        <v>0</v>
      </c>
      <c r="N158" s="273">
        <v>19567.302304921617</v>
      </c>
      <c r="O158" s="273">
        <v>6747.2793682292622</v>
      </c>
      <c r="P158" s="273">
        <v>4664.992257820003</v>
      </c>
      <c r="Q158" s="279">
        <v>0</v>
      </c>
      <c r="R158" s="279">
        <v>0</v>
      </c>
      <c r="S158" s="279">
        <v>0</v>
      </c>
      <c r="T158" s="279">
        <v>0</v>
      </c>
      <c r="U158" s="279">
        <v>0</v>
      </c>
      <c r="V158" s="279">
        <v>0</v>
      </c>
      <c r="W158" s="279">
        <v>0</v>
      </c>
      <c r="X158" s="279">
        <v>0</v>
      </c>
      <c r="Y158" s="279">
        <v>0</v>
      </c>
    </row>
    <row r="159" spans="5:42" x14ac:dyDescent="0.25">
      <c r="E159" s="96"/>
      <c r="F159" s="109" t="s">
        <v>74</v>
      </c>
      <c r="G159" s="109" t="s">
        <v>74</v>
      </c>
      <c r="J159" s="279">
        <f t="array" ref="J159:Y159">TRANSPOSE('ARP_Inputs by customer type'!J1907:J1922)</f>
        <v>0</v>
      </c>
      <c r="K159" s="279">
        <v>0</v>
      </c>
      <c r="L159" s="273">
        <v>227.96674188211585</v>
      </c>
      <c r="M159" s="279">
        <v>0</v>
      </c>
      <c r="N159" s="273">
        <v>108.52133737109615</v>
      </c>
      <c r="O159" s="273">
        <v>30.099999999999998</v>
      </c>
      <c r="P159" s="273">
        <v>2.0000721800169625</v>
      </c>
      <c r="Q159" s="279">
        <v>0</v>
      </c>
      <c r="R159" s="279">
        <v>0</v>
      </c>
      <c r="S159" s="279">
        <v>0</v>
      </c>
      <c r="T159" s="279">
        <v>0</v>
      </c>
      <c r="U159" s="279">
        <v>0</v>
      </c>
      <c r="V159" s="279">
        <v>0</v>
      </c>
      <c r="W159" s="279">
        <v>0</v>
      </c>
      <c r="X159" s="279">
        <v>0</v>
      </c>
      <c r="Y159" s="279">
        <v>0</v>
      </c>
    </row>
    <row r="160" spans="5:42" x14ac:dyDescent="0.25">
      <c r="E160" s="96"/>
      <c r="F160" s="109" t="s">
        <v>202</v>
      </c>
      <c r="G160" s="109" t="s">
        <v>169</v>
      </c>
      <c r="J160" s="279">
        <f t="array" ref="J160:Y160">TRANSPOSE('ARP_Inputs by customer type'!J1925:J1940)</f>
        <v>0</v>
      </c>
      <c r="K160" s="279">
        <v>0</v>
      </c>
      <c r="L160" s="279">
        <v>0</v>
      </c>
      <c r="M160" s="279">
        <v>0</v>
      </c>
      <c r="N160" s="273">
        <v>72603.809062721266</v>
      </c>
      <c r="O160" s="273">
        <v>24680.03385835552</v>
      </c>
      <c r="P160" s="273">
        <v>12158.001742597764</v>
      </c>
      <c r="Q160" s="279">
        <v>0</v>
      </c>
      <c r="R160" s="279">
        <v>0</v>
      </c>
      <c r="S160" s="279">
        <v>0</v>
      </c>
      <c r="T160" s="279">
        <v>0</v>
      </c>
      <c r="U160" s="279">
        <v>0</v>
      </c>
      <c r="V160" s="279">
        <v>0</v>
      </c>
      <c r="W160" s="279">
        <v>0</v>
      </c>
      <c r="X160" s="279">
        <v>0</v>
      </c>
      <c r="Y160" s="279">
        <v>0</v>
      </c>
    </row>
    <row r="161" spans="3:43" x14ac:dyDescent="0.25">
      <c r="E161" s="96"/>
      <c r="F161" s="109" t="s">
        <v>203</v>
      </c>
      <c r="G161" s="109" t="s">
        <v>169</v>
      </c>
      <c r="J161" s="279">
        <f t="array" ref="J161:Y161">TRANSPOSE('ARP_Inputs by customer type'!J1943:J1958)</f>
        <v>0</v>
      </c>
      <c r="K161" s="279">
        <v>0</v>
      </c>
      <c r="L161" s="279">
        <v>0</v>
      </c>
      <c r="M161" s="279">
        <v>0</v>
      </c>
      <c r="N161" s="273">
        <v>42.686113435196262</v>
      </c>
      <c r="O161" s="273">
        <v>135.15414896846093</v>
      </c>
      <c r="P161" s="273">
        <v>15.585248067672781</v>
      </c>
      <c r="Q161" s="279">
        <v>0</v>
      </c>
      <c r="R161" s="279">
        <v>0</v>
      </c>
      <c r="S161" s="279">
        <v>0</v>
      </c>
      <c r="T161" s="279">
        <v>0</v>
      </c>
      <c r="U161" s="279">
        <v>0</v>
      </c>
      <c r="V161" s="279">
        <v>0</v>
      </c>
      <c r="W161" s="279">
        <v>0</v>
      </c>
      <c r="X161" s="279">
        <v>0</v>
      </c>
      <c r="Y161" s="279">
        <v>0</v>
      </c>
    </row>
    <row r="162" spans="3:43" x14ac:dyDescent="0.25">
      <c r="E162" s="96"/>
      <c r="F162" s="36" t="s">
        <v>204</v>
      </c>
      <c r="G162" s="36" t="s">
        <v>170</v>
      </c>
      <c r="H162" s="93"/>
      <c r="I162" s="93"/>
      <c r="J162" s="240">
        <f t="array" ref="J162:Y162">TRANSPOSE('ARP_Inputs by customer type'!J1961:J1976)</f>
        <v>0</v>
      </c>
      <c r="K162" s="240">
        <v>0</v>
      </c>
      <c r="L162" s="240">
        <v>0</v>
      </c>
      <c r="M162" s="240">
        <v>0</v>
      </c>
      <c r="N162" s="274">
        <v>6227.7258706154989</v>
      </c>
      <c r="O162" s="274">
        <v>1868.3896954912193</v>
      </c>
      <c r="P162" s="274">
        <v>761.83847705397625</v>
      </c>
      <c r="Q162" s="240">
        <v>0</v>
      </c>
      <c r="R162" s="240">
        <v>0</v>
      </c>
      <c r="S162" s="240">
        <v>0</v>
      </c>
      <c r="T162" s="240">
        <v>0</v>
      </c>
      <c r="U162" s="240">
        <v>0</v>
      </c>
      <c r="V162" s="240">
        <v>0</v>
      </c>
      <c r="W162" s="240">
        <v>0</v>
      </c>
      <c r="X162" s="240">
        <v>0</v>
      </c>
      <c r="Y162" s="240">
        <v>0</v>
      </c>
    </row>
    <row r="163" spans="3:43" x14ac:dyDescent="0.25">
      <c r="E163" s="376"/>
      <c r="F163" s="377"/>
      <c r="G163" s="377"/>
      <c r="H163" s="375"/>
      <c r="I163" s="375"/>
      <c r="J163" s="378"/>
      <c r="K163" s="378"/>
      <c r="L163" s="378"/>
      <c r="M163" s="378"/>
      <c r="N163" s="379"/>
      <c r="O163" s="379"/>
      <c r="P163" s="379"/>
      <c r="Q163" s="378"/>
      <c r="R163" s="378"/>
      <c r="S163" s="378"/>
      <c r="T163" s="379"/>
      <c r="U163" s="378"/>
      <c r="V163" s="379"/>
      <c r="W163" s="378"/>
      <c r="X163" s="379"/>
      <c r="Y163" s="378"/>
      <c r="Z163" s="375"/>
      <c r="AA163" s="375"/>
      <c r="AB163" s="375"/>
      <c r="AC163" s="375"/>
      <c r="AD163" s="375"/>
      <c r="AE163" s="375"/>
      <c r="AF163" s="375"/>
      <c r="AG163" s="375"/>
      <c r="AH163" s="375"/>
      <c r="AI163" s="375"/>
      <c r="AJ163" s="375"/>
      <c r="AK163" s="375"/>
      <c r="AL163" s="375"/>
      <c r="AM163" s="375"/>
      <c r="AN163" s="375"/>
      <c r="AO163" s="375"/>
      <c r="AP163" s="375"/>
    </row>
    <row r="164" spans="3:43" x14ac:dyDescent="0.25">
      <c r="E164" s="96" t="s">
        <v>957</v>
      </c>
      <c r="G164" s="108" t="s">
        <v>74</v>
      </c>
      <c r="I164" s="293" t="s">
        <v>359</v>
      </c>
      <c r="J164" s="517">
        <f t="array" ref="J164:Y164">TRANSPOSE('ARP_Inputs by customer type'!J1981:J1996)</f>
        <v>0</v>
      </c>
      <c r="K164" s="517">
        <v>0</v>
      </c>
      <c r="L164" s="517">
        <v>0</v>
      </c>
      <c r="M164" s="517">
        <v>0</v>
      </c>
      <c r="N164" s="517">
        <v>5</v>
      </c>
      <c r="O164" s="517">
        <v>0</v>
      </c>
      <c r="P164" s="517">
        <v>17</v>
      </c>
      <c r="Q164" s="517">
        <v>0</v>
      </c>
      <c r="R164" s="517">
        <v>0</v>
      </c>
      <c r="S164" s="517">
        <v>0</v>
      </c>
      <c r="T164" s="517">
        <v>0</v>
      </c>
      <c r="U164" s="517">
        <v>0</v>
      </c>
      <c r="V164" s="517">
        <v>0</v>
      </c>
      <c r="W164" s="517">
        <v>0</v>
      </c>
      <c r="X164" s="517">
        <v>0</v>
      </c>
      <c r="Y164" s="517">
        <v>0</v>
      </c>
      <c r="AQ164" s="293" t="s">
        <v>993</v>
      </c>
    </row>
    <row r="165" spans="3:43" x14ac:dyDescent="0.25">
      <c r="G165" s="108"/>
    </row>
    <row r="166" spans="3:43" x14ac:dyDescent="0.25">
      <c r="C166" s="7" t="str">
        <f ca="1">INDEX('Version control'!$H$35:$H$61,MATCH($A$1,'Version control'!$F$35:$F$61,0),1)&amp;"-C: Non-Domestic Aggregated (Related MPAN) distribution by bands"</f>
        <v>Section 501-C: Non-Domestic Aggregated (Related MPAN) distribution by bands</v>
      </c>
      <c r="D166" s="7"/>
      <c r="E166" s="7"/>
      <c r="F166" s="7"/>
      <c r="G166" s="172"/>
      <c r="H166" s="7"/>
      <c r="I166" s="7"/>
      <c r="J166" s="7"/>
      <c r="K166" s="7"/>
      <c r="L166" s="7"/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  <c r="Z166" s="7"/>
      <c r="AA166" s="7"/>
      <c r="AB166" s="7"/>
      <c r="AC166" s="7"/>
      <c r="AD166" s="7"/>
      <c r="AE166" s="7"/>
      <c r="AF166" s="7"/>
      <c r="AG166" s="7"/>
      <c r="AH166" s="7"/>
      <c r="AI166" s="7"/>
      <c r="AJ166" s="7"/>
      <c r="AK166" s="7"/>
      <c r="AL166" s="7"/>
      <c r="AM166" s="7"/>
      <c r="AN166" s="7"/>
      <c r="AO166" s="7"/>
      <c r="AP166" s="7"/>
      <c r="AQ166" s="7"/>
    </row>
    <row r="167" spans="3:43" x14ac:dyDescent="0.25">
      <c r="G167" s="108"/>
    </row>
    <row r="168" spans="3:43" x14ac:dyDescent="0.25">
      <c r="D168" s="82" t="s">
        <v>1223</v>
      </c>
      <c r="H168" s="90"/>
      <c r="I168" s="293" t="s">
        <v>359</v>
      </c>
      <c r="AQ168" s="293" t="s">
        <v>1234</v>
      </c>
    </row>
    <row r="169" spans="3:43" x14ac:dyDescent="0.25">
      <c r="D169" s="82" t="s">
        <v>1224</v>
      </c>
      <c r="H169" s="90"/>
    </row>
    <row r="170" spans="3:43" x14ac:dyDescent="0.25">
      <c r="G170" s="108"/>
    </row>
    <row r="171" spans="3:43" x14ac:dyDescent="0.25">
      <c r="E171" s="96" t="s">
        <v>1060</v>
      </c>
      <c r="G171" s="108"/>
      <c r="J171" s="11" t="s">
        <v>1061</v>
      </c>
      <c r="K171" s="11" t="s">
        <v>1062</v>
      </c>
      <c r="L171" s="11" t="s">
        <v>1063</v>
      </c>
      <c r="M171" s="11" t="s">
        <v>1064</v>
      </c>
      <c r="N171" s="11" t="s">
        <v>1065</v>
      </c>
    </row>
    <row r="172" spans="3:43" x14ac:dyDescent="0.25">
      <c r="E172" s="96"/>
      <c r="F172" s="40" t="s">
        <v>199</v>
      </c>
      <c r="G172" s="40" t="s">
        <v>94</v>
      </c>
      <c r="H172" s="471"/>
      <c r="I172" s="91"/>
      <c r="J172" s="479">
        <f t="array" ref="J172:N172">TRANSPOSE('ARP_Inputs by customer type'!J2006:J2010)</f>
        <v>5.7765643396613575E-5</v>
      </c>
      <c r="K172" s="479">
        <v>7.2022674942564424E-2</v>
      </c>
      <c r="L172" s="479">
        <v>0.17777737366220056</v>
      </c>
      <c r="M172" s="479">
        <v>0.21330087171237957</v>
      </c>
      <c r="N172" s="479">
        <v>0.53684131403945878</v>
      </c>
    </row>
    <row r="173" spans="3:43" x14ac:dyDescent="0.25">
      <c r="E173" s="96"/>
      <c r="F173" s="39" t="s">
        <v>200</v>
      </c>
      <c r="G173" s="39" t="s">
        <v>94</v>
      </c>
      <c r="H173" s="432"/>
      <c r="J173" s="480">
        <f t="array" ref="J173:N173">TRANSPOSE('ARP_Inputs by customer type'!J2013:J2017)</f>
        <v>5.7765643396613575E-5</v>
      </c>
      <c r="K173" s="480">
        <v>7.2022674942564424E-2</v>
      </c>
      <c r="L173" s="480">
        <v>0.17777737366220056</v>
      </c>
      <c r="M173" s="480">
        <v>0.21330087171237957</v>
      </c>
      <c r="N173" s="480">
        <v>0.53684131403945878</v>
      </c>
    </row>
    <row r="174" spans="3:43" x14ac:dyDescent="0.25">
      <c r="E174" s="96"/>
      <c r="F174" s="36" t="s">
        <v>201</v>
      </c>
      <c r="G174" s="36" t="s">
        <v>94</v>
      </c>
      <c r="H174" s="308"/>
      <c r="I174" s="93"/>
      <c r="J174" s="481">
        <f t="array" ref="J174:N174">TRANSPOSE('ARP_Inputs by customer type'!J2020:J2024)</f>
        <v>5.7765643396613575E-5</v>
      </c>
      <c r="K174" s="481">
        <v>7.2022674942564424E-2</v>
      </c>
      <c r="L174" s="481">
        <v>0.17777737366220056</v>
      </c>
      <c r="M174" s="481">
        <v>0.21330087171237957</v>
      </c>
      <c r="N174" s="481">
        <v>0.53684131403945878</v>
      </c>
    </row>
    <row r="175" spans="3:43" x14ac:dyDescent="0.25">
      <c r="E175" s="376"/>
      <c r="F175" s="377"/>
      <c r="G175" s="377"/>
      <c r="H175" s="375"/>
      <c r="I175" s="375"/>
      <c r="J175" s="378"/>
      <c r="K175" s="378"/>
      <c r="L175" s="378"/>
      <c r="M175" s="378"/>
      <c r="N175" s="378"/>
    </row>
    <row r="176" spans="3:43" x14ac:dyDescent="0.25">
      <c r="E176" s="96" t="s">
        <v>1066</v>
      </c>
      <c r="G176" s="108"/>
      <c r="J176" s="11" t="s">
        <v>1061</v>
      </c>
      <c r="K176" s="11" t="s">
        <v>1062</v>
      </c>
      <c r="L176" s="11" t="s">
        <v>1063</v>
      </c>
      <c r="M176" s="11" t="s">
        <v>1064</v>
      </c>
      <c r="N176" s="11" t="s">
        <v>1065</v>
      </c>
    </row>
    <row r="177" spans="3:43" x14ac:dyDescent="0.25">
      <c r="E177" s="96"/>
      <c r="F177" s="40" t="s">
        <v>199</v>
      </c>
      <c r="G177" s="40" t="s">
        <v>94</v>
      </c>
      <c r="H177" s="471"/>
      <c r="I177" s="91"/>
      <c r="J177" s="479">
        <f t="array" ref="J177:N177">TRANSPOSE('ARP_Inputs by customer type'!J2029:J2033)</f>
        <v>5.7765643396613575E-5</v>
      </c>
      <c r="K177" s="479">
        <v>7.2022674942564424E-2</v>
      </c>
      <c r="L177" s="479">
        <v>0.17777737366220056</v>
      </c>
      <c r="M177" s="479">
        <v>0.21330087171237957</v>
      </c>
      <c r="N177" s="479">
        <v>0.53684131403945878</v>
      </c>
    </row>
    <row r="178" spans="3:43" x14ac:dyDescent="0.25">
      <c r="E178" s="96"/>
      <c r="F178" s="39" t="s">
        <v>200</v>
      </c>
      <c r="G178" s="39" t="s">
        <v>94</v>
      </c>
      <c r="H178" s="432"/>
      <c r="J178" s="480">
        <f t="array" ref="J178:N178">TRANSPOSE('ARP_Inputs by customer type'!J2036:J2040)</f>
        <v>5.7765643396613575E-5</v>
      </c>
      <c r="K178" s="480">
        <v>7.2022674942564424E-2</v>
      </c>
      <c r="L178" s="480">
        <v>0.17777737366220056</v>
      </c>
      <c r="M178" s="480">
        <v>0.21330087171237957</v>
      </c>
      <c r="N178" s="480">
        <v>0.53684131403945878</v>
      </c>
    </row>
    <row r="179" spans="3:43" x14ac:dyDescent="0.25">
      <c r="E179" s="96"/>
      <c r="F179" s="36" t="s">
        <v>201</v>
      </c>
      <c r="G179" s="36" t="s">
        <v>94</v>
      </c>
      <c r="H179" s="308"/>
      <c r="I179" s="93"/>
      <c r="J179" s="481">
        <f t="array" ref="J179:N179">TRANSPOSE('ARP_Inputs by customer type'!J2043:J2047)</f>
        <v>5.7765643396613575E-5</v>
      </c>
      <c r="K179" s="481">
        <v>7.2022674942564424E-2</v>
      </c>
      <c r="L179" s="481">
        <v>0.17777737366220056</v>
      </c>
      <c r="M179" s="481">
        <v>0.21330087171237957</v>
      </c>
      <c r="N179" s="481">
        <v>0.53684131403945878</v>
      </c>
    </row>
    <row r="180" spans="3:43" x14ac:dyDescent="0.25">
      <c r="E180" s="376"/>
      <c r="F180" s="377"/>
      <c r="G180" s="377"/>
      <c r="H180" s="375"/>
      <c r="I180" s="375"/>
      <c r="J180" s="378"/>
      <c r="K180" s="378"/>
      <c r="L180" s="378"/>
      <c r="M180" s="378"/>
      <c r="N180" s="378"/>
    </row>
    <row r="181" spans="3:43" x14ac:dyDescent="0.25">
      <c r="E181" s="96" t="s">
        <v>1067</v>
      </c>
      <c r="G181" s="108"/>
      <c r="J181" s="11" t="s">
        <v>1061</v>
      </c>
      <c r="K181" s="11" t="s">
        <v>1062</v>
      </c>
      <c r="L181" s="11" t="s">
        <v>1063</v>
      </c>
      <c r="M181" s="11" t="s">
        <v>1064</v>
      </c>
      <c r="N181" s="11" t="s">
        <v>1065</v>
      </c>
    </row>
    <row r="182" spans="3:43" x14ac:dyDescent="0.25">
      <c r="E182" s="96"/>
      <c r="F182" s="40" t="s">
        <v>199</v>
      </c>
      <c r="G182" s="40" t="s">
        <v>94</v>
      </c>
      <c r="H182" s="471"/>
      <c r="I182" s="91"/>
      <c r="J182" s="479">
        <f t="array" ref="J182:N182">TRANSPOSE('ARP_Inputs by customer type'!J2052:J2056)</f>
        <v>5.7765643396613575E-5</v>
      </c>
      <c r="K182" s="479">
        <v>7.2022674942564424E-2</v>
      </c>
      <c r="L182" s="479">
        <v>0.17777737366220056</v>
      </c>
      <c r="M182" s="479">
        <v>0.21330087171237957</v>
      </c>
      <c r="N182" s="479">
        <v>0.53684131403945878</v>
      </c>
    </row>
    <row r="183" spans="3:43" x14ac:dyDescent="0.25">
      <c r="E183" s="96"/>
      <c r="F183" s="39" t="s">
        <v>200</v>
      </c>
      <c r="G183" s="39" t="s">
        <v>94</v>
      </c>
      <c r="H183" s="432"/>
      <c r="J183" s="480">
        <f t="array" ref="J183:N183">TRANSPOSE('ARP_Inputs by customer type'!J2059:J2063)</f>
        <v>5.7765643396613575E-5</v>
      </c>
      <c r="K183" s="480">
        <v>7.2022674942564424E-2</v>
      </c>
      <c r="L183" s="480">
        <v>0.17777737366220056</v>
      </c>
      <c r="M183" s="480">
        <v>0.21330087171237957</v>
      </c>
      <c r="N183" s="480">
        <v>0.53684131403945878</v>
      </c>
    </row>
    <row r="184" spans="3:43" x14ac:dyDescent="0.25">
      <c r="E184" s="96"/>
      <c r="F184" s="36" t="s">
        <v>201</v>
      </c>
      <c r="G184" s="36" t="s">
        <v>94</v>
      </c>
      <c r="H184" s="308"/>
      <c r="I184" s="93"/>
      <c r="J184" s="481">
        <f t="array" ref="J184:N184">TRANSPOSE('ARP_Inputs by customer type'!J2066:J2070)</f>
        <v>5.7765643396613575E-5</v>
      </c>
      <c r="K184" s="481">
        <v>7.2022674942564424E-2</v>
      </c>
      <c r="L184" s="481">
        <v>0.17777737366220056</v>
      </c>
      <c r="M184" s="481">
        <v>0.21330087171237957</v>
      </c>
      <c r="N184" s="481">
        <v>0.53684131403945878</v>
      </c>
    </row>
    <row r="185" spans="3:43" x14ac:dyDescent="0.25">
      <c r="E185" s="376"/>
      <c r="F185" s="377"/>
      <c r="G185" s="377"/>
      <c r="H185" s="375"/>
      <c r="I185" s="375"/>
      <c r="J185" s="378"/>
      <c r="K185" s="378"/>
      <c r="L185" s="378"/>
      <c r="M185" s="378"/>
      <c r="N185" s="379"/>
      <c r="O185" s="379"/>
      <c r="P185" s="379"/>
      <c r="Q185" s="378"/>
      <c r="R185" s="378"/>
      <c r="S185" s="378"/>
      <c r="T185" s="379"/>
      <c r="U185" s="378"/>
      <c r="V185" s="379"/>
      <c r="W185" s="378"/>
      <c r="X185" s="379"/>
      <c r="Y185" s="378"/>
      <c r="Z185" s="375"/>
      <c r="AA185" s="375"/>
      <c r="AB185" s="375"/>
      <c r="AC185" s="375"/>
      <c r="AD185" s="375"/>
      <c r="AE185" s="375"/>
      <c r="AF185" s="375"/>
      <c r="AG185" s="375"/>
      <c r="AH185" s="375"/>
      <c r="AI185" s="375"/>
      <c r="AJ185" s="375"/>
      <c r="AK185" s="375"/>
      <c r="AL185" s="375"/>
      <c r="AM185" s="375"/>
      <c r="AN185" s="375"/>
      <c r="AO185" s="375"/>
      <c r="AP185" s="375"/>
    </row>
    <row r="186" spans="3:43" x14ac:dyDescent="0.25">
      <c r="C186" s="7" t="str">
        <f ca="1">INDEX('Version control'!$H$35:$H$61,MATCH($A$1,'Version control'!$F$35:$F$61,0),1)&amp;"-D: Service model asset values"</f>
        <v>Section 501-D: Service model asset values</v>
      </c>
      <c r="D186" s="7"/>
      <c r="E186" s="7"/>
      <c r="F186" s="7"/>
      <c r="G186" s="7"/>
      <c r="H186" s="7"/>
      <c r="I186" s="7"/>
      <c r="J186" s="7"/>
      <c r="K186" s="7"/>
      <c r="L186" s="7"/>
      <c r="M186" s="7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  <c r="Z186" s="7"/>
      <c r="AA186" s="7"/>
      <c r="AB186" s="7"/>
      <c r="AC186" s="7"/>
      <c r="AD186" s="7"/>
      <c r="AE186" s="7"/>
      <c r="AF186" s="7"/>
      <c r="AG186" s="7"/>
      <c r="AH186" s="7"/>
      <c r="AI186" s="7"/>
      <c r="AJ186" s="7"/>
      <c r="AK186" s="7"/>
      <c r="AL186" s="7"/>
      <c r="AM186" s="7"/>
      <c r="AN186" s="7"/>
      <c r="AO186" s="7"/>
      <c r="AP186" s="7"/>
      <c r="AQ186" s="7"/>
    </row>
    <row r="187" spans="3:43" x14ac:dyDescent="0.25">
      <c r="G187" s="108"/>
    </row>
    <row r="188" spans="3:43" x14ac:dyDescent="0.25">
      <c r="D188" s="82" t="s">
        <v>637</v>
      </c>
      <c r="H188" s="90"/>
    </row>
    <row r="189" spans="3:43" x14ac:dyDescent="0.25">
      <c r="G189" s="108"/>
      <c r="I189" s="293" t="s">
        <v>359</v>
      </c>
      <c r="AQ189" s="293" t="s">
        <v>816</v>
      </c>
    </row>
    <row r="190" spans="3:43" x14ac:dyDescent="0.25">
      <c r="D190" s="86"/>
      <c r="E190" s="293" t="s">
        <v>638</v>
      </c>
      <c r="G190" s="293" t="s">
        <v>509</v>
      </c>
      <c r="H190" s="380"/>
      <c r="J190" s="516">
        <f t="array" ref="J190:Y190">TRANSPOSE('ARP_Inputs by customer type'!J2079:J2094)</f>
        <v>379.45506561896252</v>
      </c>
      <c r="K190" s="453">
        <v>0</v>
      </c>
      <c r="L190" s="516">
        <v>789.60088178174999</v>
      </c>
      <c r="M190" s="453">
        <v>0</v>
      </c>
      <c r="N190" s="516">
        <v>2290.8202987987502</v>
      </c>
      <c r="O190" s="516">
        <v>5371.7792662500005</v>
      </c>
      <c r="P190" s="453">
        <v>0</v>
      </c>
      <c r="Q190" s="453">
        <v>0</v>
      </c>
      <c r="R190" s="516">
        <v>0</v>
      </c>
      <c r="S190" s="516">
        <v>0</v>
      </c>
      <c r="T190" s="516">
        <v>0</v>
      </c>
      <c r="U190" s="516">
        <v>0</v>
      </c>
      <c r="V190" s="516">
        <v>0</v>
      </c>
      <c r="W190" s="516">
        <v>0</v>
      </c>
      <c r="X190" s="453">
        <v>0</v>
      </c>
      <c r="Y190" s="453">
        <v>0</v>
      </c>
    </row>
    <row r="191" spans="3:43" x14ac:dyDescent="0.25">
      <c r="D191" s="86"/>
      <c r="E191" s="293" t="s">
        <v>639</v>
      </c>
      <c r="G191" s="293" t="s">
        <v>509</v>
      </c>
      <c r="H191" s="380"/>
      <c r="J191" s="453">
        <f t="array" ref="J191:Y191">TRANSPOSE('ARP_Inputs by customer type'!J2099:J2114)</f>
        <v>0</v>
      </c>
      <c r="K191" s="453">
        <v>0</v>
      </c>
      <c r="L191" s="453">
        <v>0</v>
      </c>
      <c r="M191" s="453">
        <v>0</v>
      </c>
      <c r="N191" s="453">
        <v>0</v>
      </c>
      <c r="O191" s="453">
        <v>0</v>
      </c>
      <c r="P191" s="516">
        <v>23333.1646654</v>
      </c>
      <c r="Q191" s="453">
        <v>0</v>
      </c>
      <c r="R191" s="453">
        <v>0</v>
      </c>
      <c r="S191" s="453">
        <v>0</v>
      </c>
      <c r="T191" s="453">
        <v>0</v>
      </c>
      <c r="U191" s="453">
        <v>0</v>
      </c>
      <c r="V191" s="453">
        <v>0</v>
      </c>
      <c r="W191" s="453">
        <v>0</v>
      </c>
      <c r="X191" s="516">
        <v>46691.536333672499</v>
      </c>
      <c r="Y191" s="516">
        <v>46691.536333672499</v>
      </c>
    </row>
    <row r="192" spans="3:43" x14ac:dyDescent="0.25">
      <c r="G192" s="108"/>
      <c r="J192" s="252"/>
      <c r="K192" s="252"/>
      <c r="L192" s="252"/>
      <c r="M192" s="252"/>
      <c r="N192" s="252"/>
      <c r="O192" s="252"/>
      <c r="P192" s="252"/>
      <c r="Q192" s="252"/>
      <c r="R192" s="252"/>
      <c r="S192" s="252"/>
      <c r="T192" s="252"/>
      <c r="U192" s="252"/>
      <c r="V192" s="252"/>
      <c r="W192" s="252"/>
      <c r="X192" s="252"/>
      <c r="Y192" s="252"/>
    </row>
    <row r="193" spans="2:43" x14ac:dyDescent="0.25">
      <c r="D193" s="86"/>
      <c r="E193" s="293" t="s">
        <v>640</v>
      </c>
      <c r="G193" s="293" t="s">
        <v>271</v>
      </c>
      <c r="I193" s="293" t="s">
        <v>359</v>
      </c>
      <c r="J193" s="453">
        <f t="array" ref="J193:Y193">TRANSPOSE('ARP_Inputs by customer type'!J2119:J2134)</f>
        <v>0</v>
      </c>
      <c r="K193" s="453">
        <v>0</v>
      </c>
      <c r="L193" s="453">
        <v>0</v>
      </c>
      <c r="M193" s="453">
        <v>0</v>
      </c>
      <c r="N193" s="453">
        <v>0</v>
      </c>
      <c r="O193" s="453">
        <v>0</v>
      </c>
      <c r="P193" s="453">
        <v>0</v>
      </c>
      <c r="Q193" s="516">
        <v>808.07138150962226</v>
      </c>
      <c r="R193" s="453">
        <v>0</v>
      </c>
      <c r="S193" s="453">
        <v>0</v>
      </c>
      <c r="T193" s="453">
        <v>0</v>
      </c>
      <c r="U193" s="453">
        <v>0</v>
      </c>
      <c r="V193" s="453">
        <v>0</v>
      </c>
      <c r="W193" s="453">
        <v>0</v>
      </c>
      <c r="X193" s="453">
        <v>0</v>
      </c>
      <c r="Y193" s="453">
        <v>0</v>
      </c>
      <c r="AQ193" s="293" t="s">
        <v>705</v>
      </c>
    </row>
    <row r="194" spans="2:43" x14ac:dyDescent="0.25">
      <c r="D194" s="86"/>
      <c r="J194" s="252"/>
      <c r="K194" s="252"/>
      <c r="L194" s="252"/>
      <c r="M194" s="252"/>
      <c r="N194" s="252"/>
      <c r="O194" s="252"/>
      <c r="P194" s="252"/>
      <c r="Q194" s="252"/>
      <c r="R194" s="252"/>
      <c r="S194" s="252"/>
      <c r="T194" s="252"/>
      <c r="U194" s="252"/>
      <c r="V194" s="252"/>
      <c r="W194" s="252"/>
      <c r="X194" s="252"/>
      <c r="Y194" s="252"/>
    </row>
    <row r="195" spans="2:43" x14ac:dyDescent="0.25">
      <c r="B195" s="95" t="s">
        <v>109</v>
      </c>
      <c r="C195" s="95"/>
      <c r="D195" s="95"/>
      <c r="E195" s="95"/>
      <c r="F195" s="95"/>
      <c r="G195" s="128"/>
      <c r="H195" s="95"/>
      <c r="I195" s="95"/>
      <c r="J195" s="95"/>
      <c r="K195" s="95"/>
      <c r="L195" s="95"/>
      <c r="M195" s="95"/>
      <c r="N195" s="95"/>
      <c r="O195" s="95"/>
      <c r="P195" s="95"/>
      <c r="Q195" s="95"/>
      <c r="R195" s="95"/>
      <c r="S195" s="95"/>
      <c r="T195" s="95"/>
      <c r="U195" s="95"/>
      <c r="V195" s="95"/>
      <c r="W195" s="95"/>
      <c r="X195" s="95"/>
      <c r="Y195" s="95"/>
      <c r="Z195" s="95"/>
      <c r="AA195" s="95"/>
      <c r="AB195" s="95"/>
      <c r="AC195" s="95"/>
      <c r="AD195" s="95"/>
      <c r="AE195" s="95"/>
      <c r="AF195" s="95"/>
      <c r="AG195" s="95"/>
      <c r="AH195" s="95"/>
      <c r="AI195" s="95"/>
      <c r="AJ195" s="95"/>
      <c r="AK195" s="95"/>
      <c r="AL195" s="95"/>
      <c r="AM195" s="95"/>
      <c r="AN195" s="95"/>
      <c r="AO195" s="95"/>
      <c r="AP195" s="95"/>
      <c r="AQ195" s="95"/>
    </row>
    <row r="196" spans="2:43" x14ac:dyDescent="0.25">
      <c r="G196" s="108"/>
    </row>
    <row r="197" spans="2:43" x14ac:dyDescent="0.25">
      <c r="E197" s="96" t="s">
        <v>1068</v>
      </c>
      <c r="G197" s="108"/>
    </row>
    <row r="198" spans="2:43" x14ac:dyDescent="0.25">
      <c r="E198" s="96"/>
      <c r="F198" s="40" t="s">
        <v>199</v>
      </c>
      <c r="G198" s="40" t="s">
        <v>174</v>
      </c>
      <c r="H198" s="471" t="b">
        <f>SUM(J172:N172)=1</f>
        <v>1</v>
      </c>
    </row>
    <row r="199" spans="2:43" x14ac:dyDescent="0.25">
      <c r="E199" s="96"/>
      <c r="F199" s="39" t="s">
        <v>200</v>
      </c>
      <c r="G199" s="39" t="s">
        <v>174</v>
      </c>
      <c r="H199" s="432" t="b">
        <f t="shared" ref="H199:H200" si="0">SUM(J173:N173)=1</f>
        <v>1</v>
      </c>
    </row>
    <row r="200" spans="2:43" x14ac:dyDescent="0.25">
      <c r="E200" s="96"/>
      <c r="F200" s="36" t="s">
        <v>201</v>
      </c>
      <c r="G200" s="36" t="s">
        <v>174</v>
      </c>
      <c r="H200" s="308" t="b">
        <f t="shared" si="0"/>
        <v>1</v>
      </c>
    </row>
    <row r="201" spans="2:43" x14ac:dyDescent="0.25">
      <c r="E201" s="376"/>
      <c r="F201" s="377"/>
      <c r="G201" s="377"/>
      <c r="H201" s="375"/>
    </row>
    <row r="202" spans="2:43" x14ac:dyDescent="0.25">
      <c r="E202" s="96" t="s">
        <v>1069</v>
      </c>
      <c r="G202" s="108"/>
    </row>
    <row r="203" spans="2:43" x14ac:dyDescent="0.25">
      <c r="E203" s="96"/>
      <c r="F203" s="40" t="s">
        <v>199</v>
      </c>
      <c r="G203" s="40" t="s">
        <v>174</v>
      </c>
      <c r="H203" s="471" t="b">
        <f>SUM(J177:N177)=1</f>
        <v>1</v>
      </c>
    </row>
    <row r="204" spans="2:43" x14ac:dyDescent="0.25">
      <c r="E204" s="96"/>
      <c r="F204" s="39" t="s">
        <v>200</v>
      </c>
      <c r="G204" s="39" t="s">
        <v>174</v>
      </c>
      <c r="H204" s="432" t="b">
        <f t="shared" ref="H204:H205" si="1">SUM(J178:N178)=1</f>
        <v>1</v>
      </c>
    </row>
    <row r="205" spans="2:43" x14ac:dyDescent="0.25">
      <c r="E205" s="96"/>
      <c r="F205" s="36" t="s">
        <v>201</v>
      </c>
      <c r="G205" s="36" t="s">
        <v>174</v>
      </c>
      <c r="H205" s="308" t="b">
        <f t="shared" si="1"/>
        <v>1</v>
      </c>
    </row>
    <row r="206" spans="2:43" x14ac:dyDescent="0.25">
      <c r="E206" s="376"/>
      <c r="F206" s="377"/>
      <c r="G206" s="377"/>
      <c r="H206" s="375"/>
    </row>
    <row r="207" spans="2:43" x14ac:dyDescent="0.25">
      <c r="E207" s="96" t="s">
        <v>1070</v>
      </c>
      <c r="G207" s="108"/>
    </row>
    <row r="208" spans="2:43" x14ac:dyDescent="0.25">
      <c r="E208" s="96"/>
      <c r="F208" s="40" t="s">
        <v>199</v>
      </c>
      <c r="G208" s="40" t="s">
        <v>174</v>
      </c>
      <c r="H208" s="471" t="b">
        <f>SUM(J182:N182)=1</f>
        <v>1</v>
      </c>
    </row>
    <row r="209" spans="2:43" x14ac:dyDescent="0.25">
      <c r="E209" s="96"/>
      <c r="F209" s="39" t="s">
        <v>200</v>
      </c>
      <c r="G209" s="39" t="s">
        <v>174</v>
      </c>
      <c r="H209" s="432" t="b">
        <f t="shared" ref="H209:H210" si="2">SUM(J183:N183)=1</f>
        <v>1</v>
      </c>
    </row>
    <row r="210" spans="2:43" x14ac:dyDescent="0.25">
      <c r="E210" s="96"/>
      <c r="F210" s="36" t="s">
        <v>201</v>
      </c>
      <c r="G210" s="36" t="s">
        <v>174</v>
      </c>
      <c r="H210" s="308" t="b">
        <f t="shared" si="2"/>
        <v>1</v>
      </c>
    </row>
    <row r="211" spans="2:43" x14ac:dyDescent="0.25">
      <c r="G211" s="108"/>
    </row>
    <row r="212" spans="2:43" x14ac:dyDescent="0.25">
      <c r="E212" s="293" t="s">
        <v>1071</v>
      </c>
      <c r="G212" s="122" t="s">
        <v>588</v>
      </c>
      <c r="H212" s="373">
        <f>COUNTIF(H198:H210,FALSE)</f>
        <v>0</v>
      </c>
    </row>
    <row r="213" spans="2:43" x14ac:dyDescent="0.25">
      <c r="G213" s="108"/>
    </row>
    <row r="214" spans="2:43" x14ac:dyDescent="0.25">
      <c r="E214" s="293" t="s">
        <v>415</v>
      </c>
      <c r="G214" s="122" t="s">
        <v>588</v>
      </c>
      <c r="H214" s="373">
        <f t="array" ref="H214">SUM(IF(ISERROR(H16:Y194), 1))</f>
        <v>0</v>
      </c>
    </row>
    <row r="215" spans="2:43" x14ac:dyDescent="0.25">
      <c r="G215" s="108"/>
    </row>
    <row r="216" spans="2:43" x14ac:dyDescent="0.25">
      <c r="E216" s="293" t="s">
        <v>374</v>
      </c>
      <c r="G216" s="122" t="s">
        <v>588</v>
      </c>
      <c r="H216" s="310">
        <f xml:space="preserve"> H212 + H214</f>
        <v>0</v>
      </c>
    </row>
    <row r="218" spans="2:43" x14ac:dyDescent="0.25">
      <c r="B218" s="95" t="s">
        <v>110</v>
      </c>
      <c r="C218" s="95"/>
      <c r="D218" s="95"/>
      <c r="E218" s="95"/>
      <c r="F218" s="95"/>
      <c r="G218" s="95"/>
      <c r="H218" s="95"/>
      <c r="I218" s="95"/>
      <c r="J218" s="95"/>
      <c r="K218" s="95"/>
      <c r="L218" s="95"/>
      <c r="M218" s="95"/>
      <c r="N218" s="95"/>
      <c r="O218" s="95"/>
      <c r="P218" s="95"/>
      <c r="Q218" s="95"/>
      <c r="R218" s="95"/>
      <c r="S218" s="95"/>
      <c r="T218" s="95"/>
      <c r="U218" s="95"/>
      <c r="V218" s="95"/>
      <c r="W218" s="95"/>
      <c r="X218" s="95"/>
      <c r="Y218" s="95"/>
      <c r="Z218" s="95"/>
      <c r="AA218" s="95"/>
      <c r="AB218" s="95"/>
      <c r="AC218" s="95"/>
      <c r="AD218" s="95"/>
      <c r="AE218" s="95"/>
      <c r="AF218" s="95"/>
      <c r="AG218" s="95"/>
      <c r="AH218" s="95"/>
      <c r="AI218" s="95"/>
      <c r="AJ218" s="95"/>
      <c r="AK218" s="95"/>
      <c r="AL218" s="95"/>
      <c r="AM218" s="95"/>
      <c r="AN218" s="95"/>
      <c r="AO218" s="95"/>
      <c r="AP218" s="95"/>
      <c r="AQ218" s="95"/>
    </row>
  </sheetData>
  <sheetProtection sheet="1" objects="1" formatCells="0" formatColumns="0" formatRows="0" sort="0" autoFilter="0"/>
  <conditionalFormatting sqref="A4:I4 AP4:XFD4">
    <cfRule type="expression" dxfId="206" priority="15">
      <formula>LEFT($A$4,1) &lt;&gt; "0"</formula>
    </cfRule>
  </conditionalFormatting>
  <conditionalFormatting sqref="N4:P4">
    <cfRule type="expression" dxfId="205" priority="14">
      <formula>LEFT($A$4,1) &lt;&gt; "0"</formula>
    </cfRule>
  </conditionalFormatting>
  <conditionalFormatting sqref="L4:M4">
    <cfRule type="expression" dxfId="204" priority="13">
      <formula>LEFT($A$4,1) &lt;&gt; "0"</formula>
    </cfRule>
  </conditionalFormatting>
  <conditionalFormatting sqref="J4:K4">
    <cfRule type="expression" dxfId="203" priority="12">
      <formula>LEFT($A$4,1) &lt;&gt; "0"</formula>
    </cfRule>
  </conditionalFormatting>
  <conditionalFormatting sqref="Q4">
    <cfRule type="expression" dxfId="202" priority="11">
      <formula>LEFT($A$4,1) &lt;&gt; "0"</formula>
    </cfRule>
  </conditionalFormatting>
  <conditionalFormatting sqref="R4:S4">
    <cfRule type="expression" dxfId="201" priority="10">
      <formula>LEFT($A$4,1) &lt;&gt; "0"</formula>
    </cfRule>
  </conditionalFormatting>
  <conditionalFormatting sqref="T4:U4">
    <cfRule type="expression" dxfId="200" priority="9">
      <formula>LEFT($A$4,1) &lt;&gt; "0"</formula>
    </cfRule>
  </conditionalFormatting>
  <conditionalFormatting sqref="V4:W4">
    <cfRule type="expression" dxfId="199" priority="8">
      <formula>LEFT($A$4,1) &lt;&gt; "0"</formula>
    </cfRule>
  </conditionalFormatting>
  <conditionalFormatting sqref="X4:AO4">
    <cfRule type="expression" dxfId="198" priority="7">
      <formula>LEFT($A$4,1) &lt;&gt; "0"</formula>
    </cfRule>
  </conditionalFormatting>
  <conditionalFormatting sqref="H216">
    <cfRule type="cellIs" dxfId="197" priority="3" operator="greaterThan">
      <formula>0</formula>
    </cfRule>
  </conditionalFormatting>
  <conditionalFormatting sqref="H212">
    <cfRule type="cellIs" dxfId="196" priority="2" operator="greaterThan">
      <formula>0</formula>
    </cfRule>
  </conditionalFormatting>
  <conditionalFormatting sqref="H214">
    <cfRule type="cellIs" dxfId="195" priority="1" operator="greaterThan">
      <formula>0</formula>
    </cfRule>
  </conditionalFormatting>
  <dataValidations count="5">
    <dataValidation type="decimal" allowBlank="1" showInputMessage="1" showErrorMessage="1" errorTitle="Invalid load factor" error="The load factor must be between 0% and 100%." sqref="J18:P18 Q18:Q19" xr:uid="{3592F1C6-91C9-4B27-9047-BC48E4F95DD6}">
      <formula1>0</formula1>
      <formula2>1</formula2>
    </dataValidation>
    <dataValidation type="decimal" operator="greaterThanOrEqual" allowBlank="1" showInputMessage="1" showErrorMessage="1" sqref="Y185 Y18:Y119 Y127:Y128 Y136:Y137 Y145:Y146 Y154:Y155 Y163" xr:uid="{19A91421-A85D-4CE0-9F56-510C32B19195}">
      <formula1>0</formula1>
    </dataValidation>
    <dataValidation type="decimal" operator="greaterThanOrEqual" allowBlank="1" showInputMessage="1" showErrorMessage="1" errorTitle="Invalid volume data" error="Invalid volume data (negative number or unused cell)." sqref="J190:Y191 J188:Y188 J193:Y194 J44:Y51 J129:Y136 J35:Y42 J62:Y69 J53:Y60 J73:Y80 J100:Y107 J26:Y33 J109:Y116 J138:Y145 J147:Y154 J168:Y169 K172:N175 K177:N180 K182:N184 J185:Y185 J82:Y89 J91:Y98 J120:Y127 J156:Y163" xr:uid="{D4DA0A33-4E49-4EDA-B643-5031F7BA4A29}">
      <formula1>0</formula1>
    </dataValidation>
    <dataValidation type="textLength" operator="equal" allowBlank="1" showInputMessage="1" showErrorMessage="1" error="This cell is not in use." sqref="Y188 Y193:Y194 Y168:Y169" xr:uid="{E0F61B66-5DD8-4AB6-BD21-FF0F8DAA403A}">
      <formula1>0</formula1>
    </dataValidation>
    <dataValidation type="decimal" allowBlank="1" showInputMessage="1" showErrorMessage="1" errorTitle="Invalid coincidence factor" error="Invalid coincidence factor (unused cell or not between 0% and 100%)." sqref="J19:P19 R18:Y19" xr:uid="{5C77F515-79B4-4924-8E50-60FAAF1BB4DC}">
      <formula1>0</formula1>
      <formula2>1</formula2>
    </dataValidation>
  </dataValidations>
  <hyperlinks>
    <hyperlink ref="B5:F5" location="'Model map'!A1" display="Click here to return to model map" xr:uid="{E8BC6ACF-5C57-40AC-8FE6-9429CB367473}"/>
  </hyperlinks>
  <pageMargins left="0.7" right="0.7" top="0.75" bottom="0.75" header="0.3" footer="0.3"/>
  <pageSetup paperSize="9" fitToHeight="0" orientation="portrait" r:id="rId1"/>
  <headerFooter>
    <oddHeader>&amp;L&amp;A&amp;C&amp;R&amp;P of &amp;N</oddHeader>
    <oddFooter>&amp;F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5C4853-0365-4456-A730-9467647C8CA7}">
  <sheetPr codeName="Sheet31">
    <tabColor theme="4" tint="0.59999389629810485"/>
    <pageSetUpPr fitToPage="1"/>
  </sheetPr>
  <dimension ref="A1:IV61"/>
  <sheetViews>
    <sheetView showGridLines="0" zoomScale="80" zoomScaleNormal="80" workbookViewId="0">
      <pane xSplit="9" ySplit="5" topLeftCell="J6" activePane="bottomRight" state="frozen"/>
      <selection pane="topRight"/>
      <selection pane="bottomLeft"/>
      <selection pane="bottomRight"/>
    </sheetView>
  </sheetViews>
  <sheetFormatPr defaultColWidth="0" defaultRowHeight="15" x14ac:dyDescent="0.25"/>
  <cols>
    <col min="1" max="5" width="2.5703125" style="293" customWidth="1"/>
    <col min="6" max="6" width="59.5703125" style="293" customWidth="1"/>
    <col min="7" max="8" width="20.5703125" style="293" customWidth="1"/>
    <col min="9" max="9" width="2.42578125" style="293" customWidth="1"/>
    <col min="10" max="19" width="17" style="293" customWidth="1"/>
    <col min="20" max="20" width="2.42578125" style="293" customWidth="1"/>
    <col min="21" max="21" width="50.5703125" style="293" customWidth="1"/>
    <col min="22" max="22" width="2.42578125" style="293" customWidth="1"/>
    <col min="23" max="27" width="20.5703125" style="293" hidden="1" customWidth="1"/>
    <col min="28" max="28" width="2.5703125" style="293" hidden="1" customWidth="1"/>
    <col min="29" max="256" width="20.5703125" style="293" hidden="1" customWidth="1"/>
    <col min="257" max="16384" width="9.42578125" style="293" hidden="1"/>
  </cols>
  <sheetData>
    <row r="1" spans="1:27" s="10" customFormat="1" x14ac:dyDescent="0.25">
      <c r="A1" s="10" t="str">
        <f ca="1">MID(CELL("filename",A1),FIND("]",CELL("filename",A1))+1,255)</f>
        <v>Inputs by network level</v>
      </c>
    </row>
    <row r="2" spans="1:27" s="10" customFormat="1" x14ac:dyDescent="0.25">
      <c r="A2" s="10" t="str">
        <f>Cover!D21&amp;" - "&amp;Cover!D23</f>
        <v>Southern Electric Power Distribution plc - Final</v>
      </c>
    </row>
    <row r="3" spans="1:27" s="46" customFormat="1" x14ac:dyDescent="0.25">
      <c r="A3" s="46" t="str">
        <f>Cover!D2&amp;" - "&amp;Cover!D8&amp;" v"&amp;Cover!D10&amp;" - "&amp;Cover!D19</f>
        <v>ARP model - Release for charge setting v7 - 2023/24</v>
      </c>
    </row>
    <row r="4" spans="1:27" x14ac:dyDescent="0.25">
      <c r="A4" s="366" t="str">
        <f>H59 &amp; IF(H59 = 1, " issue", " issues") &amp;" identified in checks on this sheet"</f>
        <v>0 issues identified in checks on this sheet</v>
      </c>
      <c r="B4" s="108"/>
      <c r="C4" s="108"/>
      <c r="D4" s="108"/>
      <c r="E4" s="108"/>
      <c r="F4" s="108"/>
      <c r="G4" s="108"/>
      <c r="H4" s="111"/>
      <c r="I4" s="111"/>
      <c r="J4" s="108"/>
    </row>
    <row r="5" spans="1:27" x14ac:dyDescent="0.25">
      <c r="B5" s="367" t="s">
        <v>451</v>
      </c>
      <c r="C5" s="368"/>
      <c r="D5" s="368"/>
      <c r="E5" s="368"/>
      <c r="F5" s="368"/>
      <c r="G5" s="10" t="s">
        <v>91</v>
      </c>
      <c r="H5" s="8" t="s">
        <v>92</v>
      </c>
      <c r="I5" s="111"/>
      <c r="J5" s="8" t="s">
        <v>267</v>
      </c>
      <c r="K5" s="8" t="s">
        <v>43</v>
      </c>
      <c r="L5" s="8" t="s">
        <v>44</v>
      </c>
      <c r="M5" s="8" t="s">
        <v>45</v>
      </c>
      <c r="N5" s="8" t="s">
        <v>46</v>
      </c>
      <c r="O5" s="8" t="s">
        <v>47</v>
      </c>
      <c r="P5" s="8" t="s">
        <v>51</v>
      </c>
      <c r="Q5" s="8" t="s">
        <v>48</v>
      </c>
      <c r="R5" s="8" t="s">
        <v>49</v>
      </c>
      <c r="S5" s="8" t="s">
        <v>50</v>
      </c>
      <c r="U5" s="1" t="s">
        <v>93</v>
      </c>
    </row>
    <row r="7" spans="1:27" x14ac:dyDescent="0.25">
      <c r="B7" s="95" t="s">
        <v>90</v>
      </c>
      <c r="C7" s="95"/>
      <c r="D7" s="95"/>
      <c r="E7" s="95"/>
      <c r="F7" s="95"/>
      <c r="G7" s="95"/>
      <c r="H7" s="95"/>
      <c r="I7" s="95"/>
      <c r="J7" s="95"/>
      <c r="K7" s="95"/>
      <c r="L7" s="95"/>
      <c r="M7" s="95"/>
      <c r="N7" s="95"/>
      <c r="O7" s="95"/>
      <c r="P7" s="95"/>
      <c r="Q7" s="95"/>
      <c r="R7" s="95"/>
      <c r="S7" s="95"/>
      <c r="T7" s="95"/>
      <c r="U7" s="95"/>
      <c r="W7" s="95"/>
      <c r="X7" s="95"/>
      <c r="Y7" s="95"/>
      <c r="Z7" s="95"/>
      <c r="AA7" s="95"/>
    </row>
    <row r="9" spans="1:27" x14ac:dyDescent="0.25">
      <c r="C9" s="82" t="s">
        <v>786</v>
      </c>
    </row>
    <row r="11" spans="1:27" x14ac:dyDescent="0.25">
      <c r="C11" s="82"/>
      <c r="E11" s="293" t="s">
        <v>481</v>
      </c>
      <c r="G11" s="293" t="s">
        <v>482</v>
      </c>
      <c r="H11" s="397" t="str">
        <f>charging_year_selected</f>
        <v>2023/24</v>
      </c>
    </row>
    <row r="12" spans="1:27" x14ac:dyDescent="0.25">
      <c r="C12" s="82"/>
      <c r="E12" s="293" t="s">
        <v>466</v>
      </c>
      <c r="G12" s="293" t="s">
        <v>312</v>
      </c>
      <c r="H12" s="444" t="str">
        <f>'ARP_User control'!$H$36</f>
        <v>Current</v>
      </c>
    </row>
    <row r="14" spans="1:27" x14ac:dyDescent="0.25">
      <c r="B14" s="95" t="s">
        <v>195</v>
      </c>
      <c r="C14" s="95"/>
      <c r="D14" s="95"/>
      <c r="E14" s="95"/>
      <c r="F14" s="95"/>
      <c r="G14" s="95"/>
      <c r="H14" s="95"/>
      <c r="I14" s="95"/>
      <c r="J14" s="95"/>
      <c r="K14" s="95"/>
      <c r="L14" s="95"/>
      <c r="M14" s="95"/>
      <c r="N14" s="95"/>
      <c r="O14" s="95"/>
      <c r="P14" s="95"/>
      <c r="Q14" s="95"/>
      <c r="R14" s="95"/>
      <c r="S14" s="95"/>
      <c r="T14" s="95"/>
      <c r="U14" s="95"/>
      <c r="W14" s="95"/>
      <c r="X14" s="95"/>
      <c r="Y14" s="95"/>
      <c r="Z14" s="95"/>
      <c r="AA14" s="95"/>
    </row>
    <row r="16" spans="1:27" x14ac:dyDescent="0.25">
      <c r="C16" s="7" t="str">
        <f ca="1">INDEX('Version control'!$H$35:$H$61,MATCH($A$1,'Version control'!$F$35:$F$61,0),1)&amp;"-A: Network and load inputs"</f>
        <v>Section 502-A: Network and load inputs</v>
      </c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W16" s="95"/>
      <c r="X16" s="95"/>
      <c r="Y16" s="95"/>
      <c r="Z16" s="95"/>
      <c r="AA16" s="95"/>
    </row>
    <row r="18" spans="3:27" x14ac:dyDescent="0.25">
      <c r="E18" s="14" t="s">
        <v>42</v>
      </c>
      <c r="G18" s="14" t="s">
        <v>94</v>
      </c>
      <c r="I18" s="293" t="s">
        <v>359</v>
      </c>
      <c r="J18" s="381"/>
      <c r="K18" s="384">
        <f>'ARP_Inputs by network level'!J20</f>
        <v>4.949939187329E-2</v>
      </c>
      <c r="L18" s="384">
        <f>'ARP_Inputs by network level'!J21</f>
        <v>3.3738252973129823E-2</v>
      </c>
      <c r="M18" s="381"/>
      <c r="N18" s="384">
        <f>'ARP_Inputs by network level'!J23</f>
        <v>8.0109547383761193E-2</v>
      </c>
      <c r="O18" s="381"/>
      <c r="P18" s="374"/>
      <c r="Q18" s="384">
        <f>'ARP_Inputs by network level'!J26</f>
        <v>0.37</v>
      </c>
      <c r="R18" s="79"/>
      <c r="S18" s="79"/>
      <c r="U18" s="90" t="s">
        <v>809</v>
      </c>
    </row>
    <row r="20" spans="3:27" x14ac:dyDescent="0.25">
      <c r="E20" s="14" t="s">
        <v>538</v>
      </c>
      <c r="G20" s="14" t="s">
        <v>94</v>
      </c>
      <c r="H20" s="14"/>
      <c r="I20" s="442"/>
      <c r="J20" s="381"/>
      <c r="K20" s="79"/>
      <c r="L20" s="79"/>
      <c r="M20" s="79"/>
      <c r="N20" s="79"/>
      <c r="O20" s="79"/>
      <c r="P20" s="384">
        <f>'ARP_Inputs by network level'!J39</f>
        <v>0</v>
      </c>
      <c r="Q20" s="79"/>
      <c r="R20" s="79"/>
      <c r="S20" s="79"/>
    </row>
    <row r="22" spans="3:27" x14ac:dyDescent="0.25">
      <c r="E22" s="14" t="s">
        <v>196</v>
      </c>
      <c r="G22" s="14" t="s">
        <v>427</v>
      </c>
      <c r="I22" s="293" t="s">
        <v>359</v>
      </c>
      <c r="J22" s="279"/>
      <c r="K22" s="273">
        <f>'ARP_Inputs by network level'!J48</f>
        <v>1</v>
      </c>
      <c r="L22" s="273">
        <f>'ARP_Inputs by network level'!J49</f>
        <v>1.004</v>
      </c>
      <c r="M22" s="273">
        <f>'ARP_Inputs by network level'!J50</f>
        <v>1.008</v>
      </c>
      <c r="N22" s="273">
        <f>'ARP_Inputs by network level'!J51</f>
        <v>1.014</v>
      </c>
      <c r="O22" s="273">
        <f>'ARP_Inputs by network level'!J52</f>
        <v>1.02</v>
      </c>
      <c r="P22" s="279"/>
      <c r="Q22" s="273">
        <f>'ARP_Inputs by network level'!J54</f>
        <v>1.0289999999999999</v>
      </c>
      <c r="R22" s="273">
        <f>'ARP_Inputs by network level'!J55</f>
        <v>1.044</v>
      </c>
      <c r="S22" s="273">
        <f>'ARP_Inputs by network level'!J56</f>
        <v>1.0880000000000001</v>
      </c>
      <c r="U22" s="90" t="s">
        <v>693</v>
      </c>
    </row>
    <row r="23" spans="3:27" x14ac:dyDescent="0.25">
      <c r="J23" s="252"/>
      <c r="K23" s="252"/>
      <c r="L23" s="252"/>
      <c r="M23" s="252"/>
      <c r="N23" s="252"/>
      <c r="O23" s="252"/>
      <c r="P23" s="252"/>
      <c r="Q23" s="252"/>
      <c r="R23" s="252"/>
      <c r="S23" s="252"/>
    </row>
    <row r="24" spans="3:27" x14ac:dyDescent="0.25">
      <c r="E24" s="14" t="s">
        <v>89</v>
      </c>
      <c r="G24" s="14" t="s">
        <v>507</v>
      </c>
      <c r="I24" s="293" t="s">
        <v>359</v>
      </c>
      <c r="J24" s="279"/>
      <c r="K24" s="273">
        <f>'ARP_Inputs by network level'!J62</f>
        <v>0.22971048873866273</v>
      </c>
      <c r="L24" s="273">
        <f>'ARP_Inputs by network level'!J63</f>
        <v>0.22971048873866273</v>
      </c>
      <c r="M24" s="273">
        <f>'ARP_Inputs by network level'!J64</f>
        <v>0.22971048873866273</v>
      </c>
      <c r="N24" s="273">
        <f>'ARP_Inputs by network level'!J65</f>
        <v>0.22971048873866273</v>
      </c>
      <c r="O24" s="273">
        <f>'ARP_Inputs by network level'!J66</f>
        <v>0.22971048873866273</v>
      </c>
      <c r="P24" s="273">
        <f>'ARP_Inputs by network level'!J67</f>
        <v>0</v>
      </c>
      <c r="Q24" s="273">
        <f>'ARP_Inputs by network level'!J68</f>
        <v>0.22971048873866273</v>
      </c>
      <c r="R24" s="273">
        <f>'ARP_Inputs by network level'!J69</f>
        <v>0.22971048873866273</v>
      </c>
      <c r="S24" s="273">
        <f>'ARP_Inputs by network level'!J70</f>
        <v>0.22971048873866273</v>
      </c>
      <c r="U24" s="90" t="s">
        <v>810</v>
      </c>
    </row>
    <row r="26" spans="3:27" x14ac:dyDescent="0.25">
      <c r="C26" s="7" t="str">
        <f ca="1">INDEX('Version control'!$H$35:$H$61,MATCH($A$1,'Version control'!$F$35:$F$61,0),1)&amp;"-B: Customer contributions under current connection charging policy"</f>
        <v>Section 502-B: Customer contributions under current connection charging policy</v>
      </c>
      <c r="D26" s="7"/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W26" s="95"/>
      <c r="X26" s="95"/>
      <c r="Y26" s="95"/>
      <c r="Z26" s="95"/>
      <c r="AA26" s="95"/>
    </row>
    <row r="27" spans="3:27" x14ac:dyDescent="0.25">
      <c r="C27" s="96"/>
      <c r="I27" s="293" t="s">
        <v>359</v>
      </c>
      <c r="U27" s="293" t="s">
        <v>811</v>
      </c>
    </row>
    <row r="28" spans="3:27" x14ac:dyDescent="0.25">
      <c r="C28" s="96"/>
      <c r="E28" s="96" t="s">
        <v>205</v>
      </c>
    </row>
    <row r="29" spans="3:27" x14ac:dyDescent="0.25">
      <c r="F29" s="16" t="s">
        <v>80</v>
      </c>
      <c r="G29" s="16" t="s">
        <v>94</v>
      </c>
      <c r="H29" s="91"/>
      <c r="I29" s="91"/>
      <c r="J29" s="106"/>
      <c r="K29" s="106"/>
      <c r="L29" s="137">
        <f>'ARP_Inputs by network level'!J78</f>
        <v>0</v>
      </c>
      <c r="M29" s="137">
        <f>'ARP_Inputs by network level'!J79</f>
        <v>0</v>
      </c>
      <c r="N29" s="137">
        <f>'ARP_Inputs by network level'!J80</f>
        <v>1.2370413198693E-2</v>
      </c>
      <c r="O29" s="137">
        <f>'ARP_Inputs by network level'!J81</f>
        <v>2.4400925983857801E-2</v>
      </c>
      <c r="P29" s="137">
        <f>'ARP_Inputs by network level'!J82</f>
        <v>0</v>
      </c>
      <c r="Q29" s="137">
        <f>'ARP_Inputs by network level'!J83</f>
        <v>0.34379931777325301</v>
      </c>
      <c r="R29" s="137">
        <f>'ARP_Inputs by network level'!J84</f>
        <v>0.42351973684210498</v>
      </c>
      <c r="S29" s="137">
        <f>'ARP_Inputs by network level'!J85</f>
        <v>0.95595667870036105</v>
      </c>
    </row>
    <row r="30" spans="3:27" x14ac:dyDescent="0.25">
      <c r="F30" s="14" t="s">
        <v>81</v>
      </c>
      <c r="G30" s="14" t="s">
        <v>94</v>
      </c>
      <c r="J30" s="79"/>
      <c r="K30" s="79"/>
      <c r="L30" s="143">
        <f>'ARP_Inputs by network level'!J89</f>
        <v>0</v>
      </c>
      <c r="M30" s="143">
        <f>'ARP_Inputs by network level'!J90</f>
        <v>0</v>
      </c>
      <c r="N30" s="143">
        <f>'ARP_Inputs by network level'!J91</f>
        <v>1.2370413198693E-2</v>
      </c>
      <c r="O30" s="143">
        <f>'ARP_Inputs by network level'!J92</f>
        <v>2.4400925983857801E-2</v>
      </c>
      <c r="P30" s="143">
        <f>'ARP_Inputs by network level'!J93</f>
        <v>0</v>
      </c>
      <c r="Q30" s="143">
        <f>'ARP_Inputs by network level'!J94</f>
        <v>0.34379931777325301</v>
      </c>
      <c r="R30" s="143">
        <f>'ARP_Inputs by network level'!J95</f>
        <v>0.42351973684210498</v>
      </c>
      <c r="S30" s="370"/>
    </row>
    <row r="31" spans="3:27" x14ac:dyDescent="0.25">
      <c r="F31" s="14" t="s">
        <v>82</v>
      </c>
      <c r="G31" s="14" t="s">
        <v>94</v>
      </c>
      <c r="J31" s="79"/>
      <c r="K31" s="79"/>
      <c r="L31" s="143">
        <f>'ARP_Inputs by network level'!J100</f>
        <v>0</v>
      </c>
      <c r="M31" s="143">
        <f>'ARP_Inputs by network level'!J101</f>
        <v>0</v>
      </c>
      <c r="N31" s="143">
        <f>'ARP_Inputs by network level'!J102</f>
        <v>3.4530744799792602E-2</v>
      </c>
      <c r="O31" s="143">
        <f>'ARP_Inputs by network level'!J103</f>
        <v>6.6381013698021907E-2</v>
      </c>
      <c r="P31" s="143">
        <f>'ARP_Inputs by network level'!J104</f>
        <v>0</v>
      </c>
      <c r="Q31" s="143">
        <f>'ARP_Inputs by network level'!J105</f>
        <v>0.38323267678152101</v>
      </c>
      <c r="R31" s="370"/>
      <c r="S31" s="370"/>
    </row>
    <row r="32" spans="3:27" x14ac:dyDescent="0.25">
      <c r="F32" s="15" t="s">
        <v>83</v>
      </c>
      <c r="G32" s="15" t="s">
        <v>94</v>
      </c>
      <c r="H32" s="93"/>
      <c r="I32" s="93"/>
      <c r="J32" s="102"/>
      <c r="K32" s="102"/>
      <c r="L32" s="390">
        <f>'ARP_Inputs by network level'!J111</f>
        <v>0</v>
      </c>
      <c r="M32" s="390">
        <f>'ARP_Inputs by network level'!J112</f>
        <v>0</v>
      </c>
      <c r="N32" s="390">
        <f>'ARP_Inputs by network level'!J113</f>
        <v>3.4530744799792602E-2</v>
      </c>
      <c r="O32" s="390">
        <f>'ARP_Inputs by network level'!J114</f>
        <v>6.6381013698021907E-2</v>
      </c>
      <c r="P32" s="38"/>
      <c r="Q32" s="38"/>
      <c r="R32" s="38"/>
      <c r="S32" s="38"/>
    </row>
    <row r="34" spans="2:27" x14ac:dyDescent="0.25">
      <c r="C34" s="7" t="str">
        <f ca="1">INDEX('Version control'!$H$35:$H$61,MATCH($A$1,'Version control'!$F$35:$F$61,0),1)&amp;"-C: DRM asset costs"</f>
        <v>Section 502-C: DRM asset costs</v>
      </c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W34" s="95"/>
      <c r="X34" s="95"/>
      <c r="Y34" s="95"/>
      <c r="Z34" s="95"/>
      <c r="AA34" s="95"/>
    </row>
    <row r="36" spans="2:27" x14ac:dyDescent="0.25">
      <c r="E36" s="14" t="s">
        <v>194</v>
      </c>
      <c r="G36" s="14" t="s">
        <v>107</v>
      </c>
      <c r="I36" s="293" t="s">
        <v>359</v>
      </c>
      <c r="J36" s="279"/>
      <c r="K36" s="279"/>
      <c r="L36" s="273">
        <f>'ARP_Inputs by network level'!J125</f>
        <v>106296948.70410222</v>
      </c>
      <c r="M36" s="273">
        <f>'ARP_Inputs by network level'!J126</f>
        <v>27504108.472574044</v>
      </c>
      <c r="N36" s="273">
        <f>'ARP_Inputs by network level'!J127</f>
        <v>75773309.614287958</v>
      </c>
      <c r="O36" s="273">
        <f>'ARP_Inputs by network level'!J128</f>
        <v>53609022.22269015</v>
      </c>
      <c r="P36" s="273">
        <f>'ARP_Inputs by network level'!J129</f>
        <v>0</v>
      </c>
      <c r="Q36" s="273">
        <f>'ARP_Inputs by network level'!J130</f>
        <v>173497342.67406029</v>
      </c>
      <c r="R36" s="273">
        <f>'ARP_Inputs by network level'!J131</f>
        <v>65404989.463258825</v>
      </c>
      <c r="S36" s="273">
        <f>'ARP_Inputs by network level'!J132</f>
        <v>172162555.77410966</v>
      </c>
    </row>
    <row r="38" spans="2:27" x14ac:dyDescent="0.25">
      <c r="C38" s="7" t="str">
        <f ca="1">INDEX('Version control'!$H$35:$H$61,MATCH($A$1,'Version control'!$F$35:$F$61,0),1)&amp;"-D: Peaking probabilities by network level"</f>
        <v>Section 502-D: Peaking probabilities by network level</v>
      </c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W38" s="95"/>
      <c r="X38" s="95"/>
      <c r="Y38" s="95"/>
      <c r="Z38" s="95"/>
      <c r="AA38" s="95"/>
    </row>
    <row r="40" spans="2:27" x14ac:dyDescent="0.25">
      <c r="D40" s="82" t="s">
        <v>624</v>
      </c>
    </row>
    <row r="41" spans="2:27" x14ac:dyDescent="0.25">
      <c r="C41" s="82"/>
    </row>
    <row r="42" spans="2:27" x14ac:dyDescent="0.25">
      <c r="D42" s="96"/>
      <c r="E42" s="96" t="s">
        <v>787</v>
      </c>
      <c r="I42" s="293" t="s">
        <v>359</v>
      </c>
      <c r="U42" s="293" t="s">
        <v>812</v>
      </c>
    </row>
    <row r="43" spans="2:27" x14ac:dyDescent="0.25">
      <c r="F43" s="91" t="s">
        <v>84</v>
      </c>
      <c r="G43" s="40" t="s">
        <v>94</v>
      </c>
      <c r="H43" s="91"/>
      <c r="I43" s="91"/>
      <c r="J43" s="106"/>
      <c r="K43" s="137">
        <f>'ARP_Inputs by network level'!J140</f>
        <v>0.85246164448733908</v>
      </c>
      <c r="L43" s="137">
        <f>'ARP_Inputs by network level'!J141</f>
        <v>0.74473134722277601</v>
      </c>
      <c r="M43" s="137">
        <f>'ARP_Inputs by network level'!J142</f>
        <v>0.74473134722277601</v>
      </c>
      <c r="N43" s="137">
        <f>'ARP_Inputs by network level'!J143</f>
        <v>0.61498575708306913</v>
      </c>
      <c r="O43" s="137">
        <f>'ARP_Inputs by network level'!J144</f>
        <v>0.61498575708306913</v>
      </c>
      <c r="P43" s="137">
        <f>'ARP_Inputs by network level'!J145</f>
        <v>0</v>
      </c>
      <c r="Q43" s="137">
        <f>'ARP_Inputs by network level'!J146</f>
        <v>0.3799428329392241</v>
      </c>
      <c r="R43" s="137">
        <f>'ARP_Inputs by network level'!J147</f>
        <v>0.3799428329392241</v>
      </c>
      <c r="S43" s="137">
        <f>'ARP_Inputs by network level'!J148</f>
        <v>0.3799428329392241</v>
      </c>
    </row>
    <row r="44" spans="2:27" x14ac:dyDescent="0.25">
      <c r="F44" s="293" t="s">
        <v>85</v>
      </c>
      <c r="G44" s="109" t="s">
        <v>94</v>
      </c>
      <c r="J44" s="79"/>
      <c r="K44" s="143">
        <f>'ARP_Inputs by network level'!J152</f>
        <v>0.14753835551266087</v>
      </c>
      <c r="L44" s="143">
        <f>'ARP_Inputs by network level'!J153</f>
        <v>0.24659319962112539</v>
      </c>
      <c r="M44" s="143">
        <f>'ARP_Inputs by network level'!J154</f>
        <v>0.24659319962112539</v>
      </c>
      <c r="N44" s="143">
        <f>'ARP_Inputs by network level'!J155</f>
        <v>0.37180191456713002</v>
      </c>
      <c r="O44" s="143">
        <f>'ARP_Inputs by network level'!J156</f>
        <v>0.37180191456713002</v>
      </c>
      <c r="P44" s="143">
        <f>'ARP_Inputs by network level'!J157</f>
        <v>0</v>
      </c>
      <c r="Q44" s="143">
        <f>'ARP_Inputs by network level'!J158</f>
        <v>0.59387927082595571</v>
      </c>
      <c r="R44" s="143">
        <f>'ARP_Inputs by network level'!J159</f>
        <v>0.59387927082595571</v>
      </c>
      <c r="S44" s="143">
        <f>'ARP_Inputs by network level'!J160</f>
        <v>0.59387927082595571</v>
      </c>
    </row>
    <row r="45" spans="2:27" x14ac:dyDescent="0.25">
      <c r="F45" s="93" t="s">
        <v>86</v>
      </c>
      <c r="G45" s="36" t="s">
        <v>94</v>
      </c>
      <c r="H45" s="93"/>
      <c r="I45" s="93"/>
      <c r="J45" s="102"/>
      <c r="K45" s="390">
        <f>'ARP_Inputs by network level'!J164</f>
        <v>0</v>
      </c>
      <c r="L45" s="390">
        <f>'ARP_Inputs by network level'!J165</f>
        <v>8.6754531560986579E-3</v>
      </c>
      <c r="M45" s="390">
        <f>'ARP_Inputs by network level'!J166</f>
        <v>8.6754531560986579E-3</v>
      </c>
      <c r="N45" s="390">
        <f>'ARP_Inputs by network level'!J167</f>
        <v>1.3212328349800849E-2</v>
      </c>
      <c r="O45" s="390">
        <f>'ARP_Inputs by network level'!J168</f>
        <v>1.3212328349800849E-2</v>
      </c>
      <c r="P45" s="390">
        <f>'ARP_Inputs by network level'!J169</f>
        <v>0</v>
      </c>
      <c r="Q45" s="390">
        <f>'ARP_Inputs by network level'!J170</f>
        <v>2.6177896234820221E-2</v>
      </c>
      <c r="R45" s="390">
        <f>'ARP_Inputs by network level'!J171</f>
        <v>2.6177896234820221E-2</v>
      </c>
      <c r="S45" s="390">
        <f>'ARP_Inputs by network level'!J172</f>
        <v>2.6177896234820221E-2</v>
      </c>
    </row>
    <row r="46" spans="2:27" x14ac:dyDescent="0.25">
      <c r="F46" s="93" t="s">
        <v>87</v>
      </c>
      <c r="G46" s="36" t="s">
        <v>94</v>
      </c>
      <c r="H46" s="93"/>
      <c r="I46" s="93"/>
      <c r="J46" s="102"/>
      <c r="K46" s="390">
        <f>'ARP_Inputs by network level'!J176</f>
        <v>0.67294975519428046</v>
      </c>
      <c r="L46" s="390">
        <f>'ARP_Inputs by network level'!J177</f>
        <v>0.69187454995110576</v>
      </c>
      <c r="M46" s="390">
        <f>'ARP_Inputs by network level'!J178</f>
        <v>0.69187454995110576</v>
      </c>
      <c r="N46" s="390">
        <f>'ARP_Inputs by network level'!J179</f>
        <v>0.5731442069319812</v>
      </c>
      <c r="O46" s="390">
        <f>'ARP_Inputs by network level'!J180</f>
        <v>0.5731442069319812</v>
      </c>
      <c r="P46" s="390">
        <f>'ARP_Inputs by network level'!J181</f>
        <v>0</v>
      </c>
      <c r="Q46" s="390">
        <f>'ARP_Inputs by network level'!J182</f>
        <v>0.33748362018361128</v>
      </c>
      <c r="R46" s="390">
        <f>'ARP_Inputs by network level'!J183</f>
        <v>0.33748362018361128</v>
      </c>
      <c r="S46" s="390">
        <f>'ARP_Inputs by network level'!J184</f>
        <v>0.33748362018361128</v>
      </c>
    </row>
    <row r="48" spans="2:27" x14ac:dyDescent="0.25">
      <c r="B48" s="95" t="s">
        <v>109</v>
      </c>
      <c r="C48" s="95"/>
      <c r="D48" s="95"/>
      <c r="E48" s="95"/>
      <c r="F48" s="95"/>
      <c r="G48" s="95"/>
      <c r="H48" s="95"/>
      <c r="I48" s="95"/>
      <c r="J48" s="95"/>
      <c r="K48" s="95"/>
      <c r="L48" s="95"/>
      <c r="M48" s="95"/>
      <c r="N48" s="95"/>
      <c r="O48" s="95"/>
      <c r="P48" s="95"/>
      <c r="Q48" s="95"/>
      <c r="R48" s="95"/>
      <c r="S48" s="95"/>
      <c r="T48" s="95"/>
      <c r="U48" s="95"/>
      <c r="W48" s="95"/>
      <c r="X48" s="95"/>
      <c r="Y48" s="95"/>
      <c r="Z48" s="95"/>
      <c r="AA48" s="95"/>
    </row>
    <row r="50" spans="2:27" x14ac:dyDescent="0.25">
      <c r="E50" s="293" t="s">
        <v>415</v>
      </c>
      <c r="G50" s="122" t="s">
        <v>588</v>
      </c>
      <c r="H50" s="373">
        <f t="array" ref="H50">SUM(IF(ISERROR(H18:AA47), 1))</f>
        <v>0</v>
      </c>
    </row>
    <row r="52" spans="2:27" x14ac:dyDescent="0.25">
      <c r="E52" s="293" t="s">
        <v>644</v>
      </c>
      <c r="G52" s="122" t="s">
        <v>588</v>
      </c>
      <c r="H52" s="373">
        <f>IF(K22 = 1, 0, 1)</f>
        <v>0</v>
      </c>
    </row>
    <row r="54" spans="2:27" x14ac:dyDescent="0.25">
      <c r="E54" s="96" t="s">
        <v>788</v>
      </c>
    </row>
    <row r="55" spans="2:27" x14ac:dyDescent="0.25">
      <c r="E55" s="82" t="s">
        <v>625</v>
      </c>
    </row>
    <row r="56" spans="2:27" x14ac:dyDescent="0.25">
      <c r="F56" s="91" t="s">
        <v>789</v>
      </c>
      <c r="G56" s="58" t="s">
        <v>588</v>
      </c>
      <c r="H56" s="177">
        <f>SUM(K56:S56)</f>
        <v>0</v>
      </c>
      <c r="I56" s="91"/>
      <c r="J56" s="106"/>
      <c r="K56" s="177">
        <f>IF(ABS(SUM(K43:K45) - 1) &lt; 10^-check_decimals, 0, 1)</f>
        <v>0</v>
      </c>
      <c r="L56" s="106"/>
      <c r="M56" s="106"/>
      <c r="N56" s="177">
        <f>IF(ABS(SUM(N43:N45) - 1) &lt; 10^-check_decimals, 0, 1)</f>
        <v>0</v>
      </c>
      <c r="O56" s="177">
        <f>IF(ABS(SUM(O43:O45) - 1) &lt; 10^-check_decimals, 0, 1)</f>
        <v>0</v>
      </c>
      <c r="P56" s="106"/>
      <c r="Q56" s="177">
        <f>IF(ABS(SUM(Q43:Q45) - 1) &lt; 10^-check_decimals, 0, 1)</f>
        <v>0</v>
      </c>
      <c r="R56" s="177">
        <f>IF(ABS(SUM(R43:R45) - 1) &lt; 10^-check_decimals, 0, 1)</f>
        <v>0</v>
      </c>
      <c r="S56" s="177">
        <f>IF(ABS(SUM(S43:S45) - 1) &lt; 10^-check_decimals, 0, 1)</f>
        <v>0</v>
      </c>
    </row>
    <row r="57" spans="2:27" x14ac:dyDescent="0.25">
      <c r="F57" s="93" t="s">
        <v>44</v>
      </c>
      <c r="G57" s="61" t="s">
        <v>588</v>
      </c>
      <c r="H57" s="179">
        <f>SUM(K57:S57)</f>
        <v>0</v>
      </c>
      <c r="I57" s="93"/>
      <c r="J57" s="102"/>
      <c r="K57" s="102"/>
      <c r="L57" s="179">
        <f>IF(OR(ABS(SUM(L43:L45) - 1) &lt; 10^-check_decimals, ABS(SUM(L43:L45) - 0) &lt; 10^-check_decimals), 0, 1)</f>
        <v>0</v>
      </c>
      <c r="M57" s="179">
        <f>IF(OR(ABS(SUM(M43:M45) - 1) &lt; 10^-check_decimals, ABS(SUM(M43:M45) - 0) &lt; 10^-check_decimals), 0, 1)</f>
        <v>0</v>
      </c>
      <c r="N57" s="102"/>
      <c r="O57" s="102"/>
      <c r="P57" s="179">
        <f>IF(OR(ABS(SUM(P43:P45) - 1) &lt; 10^-check_decimals, ABS(SUM(P43:P45) - 0) &lt; 10^-check_decimals), 0, 1)</f>
        <v>0</v>
      </c>
      <c r="Q57" s="102"/>
      <c r="R57" s="102"/>
      <c r="S57" s="102"/>
    </row>
    <row r="59" spans="2:27" x14ac:dyDescent="0.25">
      <c r="E59" s="293" t="s">
        <v>374</v>
      </c>
      <c r="G59" s="122" t="s">
        <v>588</v>
      </c>
      <c r="H59" s="310">
        <f>SUM(H50:H57)</f>
        <v>0</v>
      </c>
    </row>
    <row r="61" spans="2:27" x14ac:dyDescent="0.25">
      <c r="B61" s="95" t="s">
        <v>110</v>
      </c>
      <c r="C61" s="95"/>
      <c r="D61" s="95"/>
      <c r="E61" s="95"/>
      <c r="F61" s="95"/>
      <c r="G61" s="95"/>
      <c r="H61" s="95"/>
      <c r="I61" s="95"/>
      <c r="J61" s="95"/>
      <c r="K61" s="95"/>
      <c r="L61" s="95"/>
      <c r="M61" s="95"/>
      <c r="N61" s="95"/>
      <c r="O61" s="95"/>
      <c r="P61" s="95"/>
      <c r="Q61" s="95"/>
      <c r="R61" s="95"/>
      <c r="S61" s="95"/>
      <c r="T61" s="95"/>
      <c r="U61" s="95"/>
      <c r="W61" s="95"/>
      <c r="X61" s="95"/>
      <c r="Y61" s="95"/>
      <c r="Z61" s="95"/>
      <c r="AA61" s="95"/>
    </row>
  </sheetData>
  <sheetProtection sheet="1" objects="1" formatCells="0" formatColumns="0" formatRows="0" sort="0" autoFilter="0"/>
  <conditionalFormatting sqref="H56 K56 N56:O56">
    <cfRule type="cellIs" dxfId="194" priority="11" operator="greaterThan">
      <formula>0</formula>
    </cfRule>
  </conditionalFormatting>
  <conditionalFormatting sqref="H50">
    <cfRule type="cellIs" dxfId="193" priority="10" operator="greaterThan">
      <formula>0</formula>
    </cfRule>
  </conditionalFormatting>
  <conditionalFormatting sqref="Q56:S56">
    <cfRule type="cellIs" dxfId="192" priority="9" operator="greaterThan">
      <formula>0</formula>
    </cfRule>
  </conditionalFormatting>
  <conditionalFormatting sqref="H57">
    <cfRule type="cellIs" dxfId="191" priority="7" operator="greaterThan">
      <formula>0</formula>
    </cfRule>
  </conditionalFormatting>
  <conditionalFormatting sqref="P57">
    <cfRule type="cellIs" dxfId="190" priority="6" operator="greaterThan">
      <formula>0</formula>
    </cfRule>
  </conditionalFormatting>
  <conditionalFormatting sqref="M57">
    <cfRule type="cellIs" dxfId="189" priority="5" operator="greaterThan">
      <formula>0</formula>
    </cfRule>
  </conditionalFormatting>
  <conditionalFormatting sqref="L57">
    <cfRule type="cellIs" dxfId="188" priority="4" operator="greaterThan">
      <formula>0</formula>
    </cfRule>
  </conditionalFormatting>
  <conditionalFormatting sqref="H52">
    <cfRule type="cellIs" dxfId="187" priority="3" operator="greaterThan">
      <formula>0</formula>
    </cfRule>
  </conditionalFormatting>
  <conditionalFormatting sqref="A4:XFD4">
    <cfRule type="expression" dxfId="186" priority="2">
      <formula>LEFT($A$4,1) &lt;&gt; "0"</formula>
    </cfRule>
  </conditionalFormatting>
  <conditionalFormatting sqref="H59">
    <cfRule type="cellIs" dxfId="185" priority="1" operator="greaterThan">
      <formula>0</formula>
    </cfRule>
  </conditionalFormatting>
  <dataValidations count="8">
    <dataValidation type="decimal" operator="greaterThan" allowBlank="1" showInputMessage="1" showErrorMessage="1" errorTitle="Invalid diversity allowance" error="Invalid diversity allowance (negative number or unused cell)." sqref="N18 K18:L18 Q18" xr:uid="{0E4ED793-3D26-4BD7-AAB3-0D1E901C1931}">
      <formula1>0</formula1>
    </dataValidation>
    <dataValidation type="decimal" allowBlank="1" showErrorMessage="1" prompt="Red, Amber and Green must sum to 100%." sqref="K43:S45" xr:uid="{94F3B2D5-9310-4640-B5DC-0294027A89F5}">
      <formula1>0</formula1>
      <formula2>1</formula2>
    </dataValidation>
    <dataValidation type="decimal" allowBlank="1" showInputMessage="1" showErrorMessage="1" sqref="P22 P18 K46:S46" xr:uid="{99529AA0-7D20-4C6E-BBEE-94ED2B1C9119}">
      <formula1>0</formula1>
      <formula2>1</formula2>
    </dataValidation>
    <dataValidation type="decimal" operator="greaterThanOrEqual" allowBlank="1" showInputMessage="1" showErrorMessage="1" sqref="L36:S36" xr:uid="{56515216-1260-434A-8D60-A2E64DD52DFF}">
      <formula1>0</formula1>
    </dataValidation>
    <dataValidation type="decimal" allowBlank="1" showInputMessage="1" showErrorMessage="1" errorTitle="Invalid customer contribution" error="Invalid customer contribution (negative number or unused cell)." sqref="L29:S32" xr:uid="{383DE19D-C091-4661-82A7-0278B508ED24}">
      <formula1>0</formula1>
      <formula2>1</formula2>
    </dataValidation>
    <dataValidation type="decimal" allowBlank="1" showInputMessage="1" showErrorMessage="1" sqref="L22:O22 Q22:S22" xr:uid="{457E3C8F-274D-4FC2-AA61-1872E1E94FB4}">
      <formula1>0.001</formula1>
      <formula2>999999.999</formula2>
    </dataValidation>
    <dataValidation type="decimal" allowBlank="1" showInputMessage="1" showErrorMessage="1" errorTitle="Invalid diversity allowance" error="Invalid diversity allowance (negative number or unused cell)." sqref="I20:J20 J22 J18 P20 M18 R18:S18 O18 J24" xr:uid="{09E5F19B-F0F0-476B-A190-9C9201B221CD}">
      <formula1>0</formula1>
      <formula2>4</formula2>
    </dataValidation>
    <dataValidation type="decimal" operator="greaterThan" allowBlank="1" showInputMessage="1" showErrorMessage="1" sqref="K22" xr:uid="{CB14A337-B2B2-43C4-8666-8A4B93A3683A}">
      <formula1>0</formula1>
    </dataValidation>
  </dataValidations>
  <hyperlinks>
    <hyperlink ref="B5:F5" location="'Model map'!A1" display="Click here to return to model map" xr:uid="{21C3E80B-C0C7-456D-986F-A04271950DF9}"/>
  </hyperlinks>
  <pageMargins left="0.7" right="0.7" top="0.75" bottom="0.75" header="0.3" footer="0.3"/>
  <pageSetup paperSize="9" fitToHeight="0" orientation="portrait" r:id="rId1"/>
  <headerFooter>
    <oddHeader>&amp;L&amp;A&amp;C&amp;R&amp;P of &amp;N</oddHeader>
    <oddFooter>&amp;F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893FEE-31F7-4E5E-AEF1-39570AE7D97B}">
  <sheetPr codeName="Sheet32">
    <tabColor theme="4" tint="0.59999389629810485"/>
    <pageSetUpPr fitToPage="1"/>
  </sheetPr>
  <dimension ref="A1:IV120"/>
  <sheetViews>
    <sheetView showGridLines="0" zoomScale="80" zoomScaleNormal="80" workbookViewId="0">
      <pane ySplit="5" topLeftCell="A6" activePane="bottomLeft" state="frozen"/>
      <selection pane="bottomLeft"/>
    </sheetView>
  </sheetViews>
  <sheetFormatPr defaultColWidth="0" defaultRowHeight="15" x14ac:dyDescent="0.25"/>
  <cols>
    <col min="1" max="5" width="2.5703125" style="293" customWidth="1"/>
    <col min="6" max="6" width="59.5703125" style="293" customWidth="1"/>
    <col min="7" max="8" width="20.5703125" style="293" customWidth="1"/>
    <col min="9" max="9" width="2.42578125" style="293" customWidth="1"/>
    <col min="10" max="10" width="50.5703125" style="293" customWidth="1"/>
    <col min="11" max="11" width="2.42578125" style="293" customWidth="1"/>
    <col min="12" max="17" width="15.42578125" style="293" hidden="1" customWidth="1"/>
    <col min="18" max="27" width="20.5703125" style="293" hidden="1" customWidth="1"/>
    <col min="28" max="28" width="2.5703125" style="293" hidden="1" customWidth="1"/>
    <col min="29" max="256" width="20.5703125" style="293" hidden="1" customWidth="1"/>
    <col min="257" max="16384" width="9.42578125" style="293" hidden="1"/>
  </cols>
  <sheetData>
    <row r="1" spans="1:27" s="10" customFormat="1" x14ac:dyDescent="0.25">
      <c r="A1" s="10" t="str">
        <f ca="1">MID(CELL("filename",A1),FIND("]",CELL("filename",A1))+1,255)</f>
        <v>General inputs</v>
      </c>
    </row>
    <row r="2" spans="1:27" s="10" customFormat="1" x14ac:dyDescent="0.25">
      <c r="A2" s="10" t="str">
        <f>Cover!D21&amp;" - "&amp;Cover!D23</f>
        <v>Southern Electric Power Distribution plc - Final</v>
      </c>
    </row>
    <row r="3" spans="1:27" s="46" customFormat="1" x14ac:dyDescent="0.25">
      <c r="A3" s="46" t="str">
        <f>Cover!D2&amp;" - "&amp;Cover!D8&amp;" v"&amp;Cover!D10&amp;" - "&amp;Cover!D19</f>
        <v>ARP model - Release for charge setting v7 - 2023/24</v>
      </c>
    </row>
    <row r="4" spans="1:27" x14ac:dyDescent="0.25">
      <c r="A4" s="366" t="str">
        <f>H118 &amp; IF(H118 = 1, " issue", " issues") &amp;" identified in checks on this sheet"</f>
        <v>0 issues identified in checks on this sheet</v>
      </c>
      <c r="B4" s="108"/>
      <c r="C4" s="108"/>
      <c r="D4" s="108"/>
      <c r="E4" s="108"/>
      <c r="F4" s="108"/>
      <c r="G4" s="108"/>
      <c r="H4" s="111"/>
      <c r="I4" s="111"/>
      <c r="J4" s="108"/>
    </row>
    <row r="5" spans="1:27" x14ac:dyDescent="0.25">
      <c r="B5" s="367" t="s">
        <v>451</v>
      </c>
      <c r="C5" s="368"/>
      <c r="D5" s="368"/>
      <c r="E5" s="368"/>
      <c r="F5" s="368"/>
      <c r="G5" s="188" t="s">
        <v>91</v>
      </c>
      <c r="H5" s="8" t="s">
        <v>92</v>
      </c>
      <c r="J5" s="1" t="s">
        <v>93</v>
      </c>
    </row>
    <row r="6" spans="1:27" x14ac:dyDescent="0.25">
      <c r="G6" s="108"/>
    </row>
    <row r="7" spans="1:27" x14ac:dyDescent="0.25">
      <c r="B7" s="95" t="s">
        <v>90</v>
      </c>
      <c r="C7" s="95"/>
      <c r="D7" s="95"/>
      <c r="E7" s="95"/>
      <c r="F7" s="95"/>
      <c r="G7" s="128"/>
      <c r="H7" s="95"/>
      <c r="I7" s="95"/>
      <c r="J7" s="95"/>
      <c r="L7" s="95"/>
      <c r="M7" s="95"/>
      <c r="N7" s="95"/>
      <c r="O7" s="95"/>
      <c r="P7" s="95"/>
      <c r="Q7" s="95"/>
      <c r="R7" s="95"/>
      <c r="S7" s="95"/>
      <c r="T7" s="95"/>
      <c r="U7" s="95"/>
      <c r="V7" s="95"/>
      <c r="W7" s="95"/>
      <c r="X7" s="95"/>
      <c r="Y7" s="95"/>
      <c r="Z7" s="95"/>
      <c r="AA7" s="95"/>
    </row>
    <row r="8" spans="1:27" x14ac:dyDescent="0.25">
      <c r="G8" s="108"/>
    </row>
    <row r="9" spans="1:27" x14ac:dyDescent="0.25">
      <c r="C9" s="82" t="s">
        <v>438</v>
      </c>
      <c r="G9" s="108"/>
    </row>
    <row r="10" spans="1:27" x14ac:dyDescent="0.25">
      <c r="G10" s="108"/>
    </row>
    <row r="11" spans="1:27" x14ac:dyDescent="0.25">
      <c r="C11" s="82"/>
      <c r="E11" s="293" t="s">
        <v>481</v>
      </c>
      <c r="G11" s="293" t="s">
        <v>482</v>
      </c>
      <c r="H11" s="397" t="str">
        <f>charging_year_selected</f>
        <v>2023/24</v>
      </c>
    </row>
    <row r="12" spans="1:27" x14ac:dyDescent="0.25">
      <c r="C12" s="82"/>
      <c r="E12" s="293" t="s">
        <v>466</v>
      </c>
      <c r="G12" s="293" t="s">
        <v>312</v>
      </c>
      <c r="H12" s="444" t="str">
        <f>'ARP_User control'!$H$36</f>
        <v>Current</v>
      </c>
    </row>
    <row r="13" spans="1:27" x14ac:dyDescent="0.25">
      <c r="G13" s="108"/>
    </row>
    <row r="14" spans="1:27" x14ac:dyDescent="0.25">
      <c r="B14" s="95" t="s">
        <v>552</v>
      </c>
      <c r="C14" s="95"/>
      <c r="D14" s="95"/>
      <c r="E14" s="95"/>
      <c r="F14" s="95"/>
      <c r="G14" s="128"/>
      <c r="H14" s="95"/>
      <c r="I14" s="95"/>
      <c r="J14" s="95"/>
      <c r="L14" s="95"/>
      <c r="M14" s="95"/>
      <c r="N14" s="95"/>
      <c r="O14" s="95"/>
      <c r="P14" s="95"/>
      <c r="Q14" s="95"/>
      <c r="R14" s="95"/>
      <c r="S14" s="95"/>
      <c r="T14" s="95"/>
      <c r="U14" s="95"/>
      <c r="V14" s="95"/>
      <c r="W14" s="95"/>
      <c r="X14" s="95"/>
      <c r="Y14" s="95"/>
      <c r="Z14" s="95"/>
      <c r="AA14" s="95"/>
    </row>
    <row r="15" spans="1:27" x14ac:dyDescent="0.25">
      <c r="G15" s="108"/>
    </row>
    <row r="16" spans="1:27" x14ac:dyDescent="0.25">
      <c r="C16" s="7" t="str">
        <f ca="1">INDEX('Version control'!$H$35:$H$61,MATCH($A$1,'Version control'!$F$35:$F$61,0),1)&amp;"-A: Inputs by distribution timeband"</f>
        <v>Section 503-A: Inputs by distribution timeband</v>
      </c>
      <c r="D16" s="7"/>
      <c r="E16" s="7"/>
      <c r="F16" s="7"/>
      <c r="G16" s="172"/>
      <c r="H16" s="7"/>
      <c r="I16" s="7"/>
      <c r="J16" s="7"/>
      <c r="L16" s="95"/>
      <c r="M16" s="95"/>
      <c r="N16" s="95"/>
      <c r="O16" s="95"/>
      <c r="P16" s="95"/>
      <c r="Q16" s="95"/>
      <c r="R16" s="95"/>
      <c r="S16" s="95"/>
      <c r="T16" s="95"/>
      <c r="U16" s="95"/>
      <c r="V16" s="95"/>
      <c r="W16" s="95"/>
      <c r="X16" s="95"/>
      <c r="Y16" s="95"/>
      <c r="Z16" s="95"/>
      <c r="AA16" s="95"/>
    </row>
    <row r="17" spans="3:27" x14ac:dyDescent="0.25">
      <c r="G17" s="108"/>
    </row>
    <row r="18" spans="3:27" x14ac:dyDescent="0.25">
      <c r="D18" s="96" t="s">
        <v>206</v>
      </c>
      <c r="E18" s="96"/>
      <c r="G18" s="108"/>
      <c r="I18" s="293" t="s">
        <v>359</v>
      </c>
      <c r="J18" s="293" t="s">
        <v>813</v>
      </c>
    </row>
    <row r="19" spans="3:27" x14ac:dyDescent="0.25">
      <c r="E19" s="16" t="s">
        <v>87</v>
      </c>
      <c r="F19" s="16"/>
      <c r="G19" s="129" t="s">
        <v>506</v>
      </c>
      <c r="H19" s="272">
        <f>'ARP_General inputs'!J19</f>
        <v>261</v>
      </c>
    </row>
    <row r="20" spans="3:27" x14ac:dyDescent="0.25">
      <c r="E20" s="14" t="s">
        <v>88</v>
      </c>
      <c r="F20" s="14"/>
      <c r="G20" s="108" t="s">
        <v>506</v>
      </c>
      <c r="H20" s="273">
        <f>'ARP_General inputs'!J20</f>
        <v>4911</v>
      </c>
    </row>
    <row r="21" spans="3:27" x14ac:dyDescent="0.25">
      <c r="E21" s="15" t="s">
        <v>86</v>
      </c>
      <c r="F21" s="15"/>
      <c r="G21" s="131" t="s">
        <v>506</v>
      </c>
      <c r="H21" s="274">
        <f>'ARP_General inputs'!J21</f>
        <v>3612</v>
      </c>
    </row>
    <row r="22" spans="3:27" x14ac:dyDescent="0.25">
      <c r="G22" s="108"/>
      <c r="H22" s="252"/>
    </row>
    <row r="23" spans="3:27" x14ac:dyDescent="0.25">
      <c r="D23" s="96" t="s">
        <v>207</v>
      </c>
      <c r="E23" s="96"/>
      <c r="G23" s="108"/>
      <c r="H23" s="252"/>
      <c r="I23" s="293" t="s">
        <v>359</v>
      </c>
      <c r="J23" s="293" t="s">
        <v>813</v>
      </c>
    </row>
    <row r="24" spans="3:27" x14ac:dyDescent="0.25">
      <c r="E24" s="91" t="s">
        <v>84</v>
      </c>
      <c r="F24" s="91"/>
      <c r="G24" s="129" t="s">
        <v>506</v>
      </c>
      <c r="H24" s="272">
        <f>'ARP_General inputs'!J24</f>
        <v>780</v>
      </c>
    </row>
    <row r="25" spans="3:27" x14ac:dyDescent="0.25">
      <c r="E25" s="293" t="s">
        <v>85</v>
      </c>
      <c r="G25" s="108" t="s">
        <v>506</v>
      </c>
      <c r="H25" s="273">
        <f>'ARP_General inputs'!J25</f>
        <v>4392</v>
      </c>
    </row>
    <row r="26" spans="3:27" x14ac:dyDescent="0.25">
      <c r="E26" s="93" t="s">
        <v>86</v>
      </c>
      <c r="F26" s="93"/>
      <c r="G26" s="131" t="s">
        <v>506</v>
      </c>
      <c r="H26" s="274">
        <f>'ARP_General inputs'!J26</f>
        <v>3612</v>
      </c>
    </row>
    <row r="27" spans="3:27" x14ac:dyDescent="0.25">
      <c r="G27" s="108"/>
    </row>
    <row r="28" spans="3:27" x14ac:dyDescent="0.25">
      <c r="C28" s="7" t="str">
        <f ca="1">INDEX('Version control'!$H$35:$H$61,MATCH($A$1,'Version control'!$F$35:$F$61,0),1)&amp;"-B: LDNO discount inputs"</f>
        <v>Section 503-B: LDNO discount inputs</v>
      </c>
      <c r="D28" s="7"/>
      <c r="E28" s="7"/>
      <c r="F28" s="7"/>
      <c r="G28" s="172"/>
      <c r="H28" s="7"/>
      <c r="I28" s="7"/>
      <c r="J28" s="7"/>
      <c r="L28" s="95"/>
      <c r="M28" s="95"/>
      <c r="N28" s="95"/>
      <c r="O28" s="95"/>
      <c r="P28" s="95"/>
      <c r="Q28" s="95"/>
      <c r="R28" s="95"/>
      <c r="S28" s="95"/>
      <c r="T28" s="95"/>
      <c r="U28" s="95"/>
      <c r="V28" s="95"/>
      <c r="W28" s="95"/>
      <c r="X28" s="95"/>
      <c r="Y28" s="95"/>
      <c r="Z28" s="95"/>
      <c r="AA28" s="95"/>
    </row>
    <row r="29" spans="3:27" x14ac:dyDescent="0.25">
      <c r="G29" s="108"/>
    </row>
    <row r="30" spans="3:27" x14ac:dyDescent="0.25">
      <c r="D30" s="82" t="s">
        <v>790</v>
      </c>
      <c r="E30" s="82"/>
      <c r="G30" s="108"/>
    </row>
    <row r="31" spans="3:27" x14ac:dyDescent="0.25">
      <c r="D31" s="82"/>
      <c r="E31" s="82"/>
      <c r="G31" s="108"/>
    </row>
    <row r="32" spans="3:27" x14ac:dyDescent="0.25">
      <c r="D32" s="96" t="s">
        <v>198</v>
      </c>
      <c r="E32" s="96"/>
      <c r="G32" s="108"/>
      <c r="I32" s="293" t="s">
        <v>359</v>
      </c>
      <c r="J32" s="293" t="s">
        <v>694</v>
      </c>
    </row>
    <row r="33" spans="3:27" x14ac:dyDescent="0.25">
      <c r="E33" s="16" t="s">
        <v>66</v>
      </c>
      <c r="F33" s="91"/>
      <c r="G33" s="40" t="s">
        <v>94</v>
      </c>
      <c r="H33" s="137">
        <f>'ARP_General inputs'!J33</f>
        <v>0.35419813587175775</v>
      </c>
    </row>
    <row r="34" spans="3:27" x14ac:dyDescent="0.25">
      <c r="E34" s="14" t="s">
        <v>67</v>
      </c>
      <c r="G34" s="109" t="s">
        <v>94</v>
      </c>
      <c r="H34" s="143">
        <f>'ARP_General inputs'!J34</f>
        <v>0.53678178408311983</v>
      </c>
    </row>
    <row r="35" spans="3:27" x14ac:dyDescent="0.25">
      <c r="E35" s="14" t="s">
        <v>68</v>
      </c>
      <c r="G35" s="109" t="s">
        <v>94</v>
      </c>
      <c r="H35" s="143">
        <f>'ARP_General inputs'!J35</f>
        <v>0.26008027391458188</v>
      </c>
    </row>
    <row r="36" spans="3:27" x14ac:dyDescent="0.25">
      <c r="E36" s="15" t="s">
        <v>69</v>
      </c>
      <c r="F36" s="93"/>
      <c r="G36" s="36" t="s">
        <v>94</v>
      </c>
      <c r="H36" s="390">
        <f>'ARP_General inputs'!J36</f>
        <v>0.15233473843264977</v>
      </c>
    </row>
    <row r="37" spans="3:27" x14ac:dyDescent="0.25">
      <c r="G37" s="108"/>
    </row>
    <row r="38" spans="3:27" x14ac:dyDescent="0.25">
      <c r="C38" s="7" t="str">
        <f ca="1">INDEX('Version control'!$H$35:$H$61,MATCH($A$1,'Version control'!$F$35:$F$61,0),1)&amp;"-C: CDCM target revenue"</f>
        <v>Section 503-C: CDCM target revenue</v>
      </c>
      <c r="D38" s="7"/>
      <c r="E38" s="7"/>
      <c r="F38" s="7"/>
      <c r="G38" s="172"/>
      <c r="H38" s="7"/>
      <c r="I38" s="7"/>
      <c r="J38" s="7"/>
      <c r="L38" s="95"/>
      <c r="M38" s="95"/>
      <c r="N38" s="95"/>
      <c r="O38" s="95"/>
      <c r="P38" s="95"/>
      <c r="Q38" s="95"/>
      <c r="R38" s="95"/>
      <c r="S38" s="95"/>
      <c r="T38" s="95"/>
      <c r="U38" s="95"/>
      <c r="V38" s="95"/>
      <c r="W38" s="95"/>
      <c r="X38" s="95"/>
      <c r="Y38" s="95"/>
      <c r="Z38" s="95"/>
      <c r="AA38" s="95"/>
    </row>
    <row r="40" spans="3:27" x14ac:dyDescent="0.25">
      <c r="D40" s="82" t="s">
        <v>695</v>
      </c>
      <c r="E40" s="82"/>
      <c r="G40" s="108"/>
      <c r="H40" s="108"/>
      <c r="I40" s="293" t="s">
        <v>359</v>
      </c>
      <c r="J40" s="293" t="s">
        <v>1256</v>
      </c>
      <c r="K40" s="108"/>
      <c r="L40" s="108"/>
      <c r="M40" s="108"/>
      <c r="N40" s="108"/>
      <c r="O40" s="108"/>
      <c r="P40" s="108"/>
      <c r="Q40" s="108"/>
      <c r="R40" s="108"/>
      <c r="S40" s="108"/>
    </row>
    <row r="41" spans="3:27" x14ac:dyDescent="0.25">
      <c r="D41" s="82" t="s">
        <v>1250</v>
      </c>
      <c r="E41" s="82"/>
      <c r="G41" s="108"/>
      <c r="H41" s="108"/>
      <c r="I41" s="108"/>
      <c r="J41" s="151"/>
      <c r="K41" s="108"/>
      <c r="L41" s="108"/>
      <c r="M41" s="108"/>
      <c r="N41" s="108"/>
      <c r="O41" s="108"/>
      <c r="P41" s="108"/>
      <c r="Q41" s="108"/>
      <c r="R41" s="108"/>
      <c r="S41" s="108"/>
    </row>
    <row r="42" spans="3:27" x14ac:dyDescent="0.25">
      <c r="E42" s="96"/>
    </row>
    <row r="43" spans="3:27" x14ac:dyDescent="0.25">
      <c r="E43" s="293" t="s">
        <v>0</v>
      </c>
      <c r="G43" s="293" t="s">
        <v>107</v>
      </c>
      <c r="H43" s="273">
        <f>'ARP_General inputs'!J43</f>
        <v>587955333.83009136</v>
      </c>
    </row>
    <row r="44" spans="3:27" x14ac:dyDescent="0.25">
      <c r="E44" s="293" t="s">
        <v>1</v>
      </c>
      <c r="G44" s="293" t="s">
        <v>107</v>
      </c>
      <c r="H44" s="273">
        <f>'ARP_General inputs'!J44</f>
        <v>-35120848.863590263</v>
      </c>
    </row>
    <row r="45" spans="3:27" x14ac:dyDescent="0.25">
      <c r="E45" s="293" t="s">
        <v>2</v>
      </c>
      <c r="G45" s="293" t="s">
        <v>107</v>
      </c>
      <c r="H45" s="273">
        <f>'ARP_General inputs'!J45</f>
        <v>7482174.7678057449</v>
      </c>
    </row>
    <row r="46" spans="3:27" x14ac:dyDescent="0.25">
      <c r="E46" s="93" t="s">
        <v>3</v>
      </c>
      <c r="F46" s="93"/>
      <c r="G46" s="93" t="s">
        <v>427</v>
      </c>
      <c r="H46" s="274">
        <f>'ARP_General inputs'!J46</f>
        <v>1.12664425349423</v>
      </c>
    </row>
    <row r="47" spans="3:27" x14ac:dyDescent="0.25">
      <c r="E47" s="293" t="s">
        <v>4</v>
      </c>
      <c r="G47" s="293" t="s">
        <v>107</v>
      </c>
      <c r="H47" s="275">
        <f>SUM(H43:H45)</f>
        <v>560316659.73430681</v>
      </c>
    </row>
    <row r="48" spans="3:27" x14ac:dyDescent="0.25">
      <c r="E48" s="293" t="s">
        <v>437</v>
      </c>
      <c r="G48" s="293" t="s">
        <v>107</v>
      </c>
      <c r="H48" s="275">
        <f>H47 * (H46 - 1)</f>
        <v>70960885.092431784</v>
      </c>
    </row>
    <row r="49" spans="5:8" x14ac:dyDescent="0.25">
      <c r="H49" s="252"/>
    </row>
    <row r="50" spans="5:8" x14ac:dyDescent="0.25">
      <c r="E50" s="293" t="s">
        <v>5</v>
      </c>
      <c r="G50" s="293" t="s">
        <v>107</v>
      </c>
      <c r="H50" s="273">
        <f>'ARP_General inputs'!J50</f>
        <v>590093.11653628666</v>
      </c>
    </row>
    <row r="51" spans="5:8" x14ac:dyDescent="0.25">
      <c r="E51" s="293" t="s">
        <v>6</v>
      </c>
      <c r="G51" s="293" t="s">
        <v>107</v>
      </c>
      <c r="H51" s="273">
        <f>'ARP_General inputs'!J51</f>
        <v>-11657735.722477706</v>
      </c>
    </row>
    <row r="52" spans="5:8" x14ac:dyDescent="0.25">
      <c r="E52" s="293" t="s">
        <v>7</v>
      </c>
      <c r="G52" s="293" t="s">
        <v>107</v>
      </c>
      <c r="H52" s="273">
        <f>'ARP_General inputs'!J52</f>
        <v>-3826735.6116276723</v>
      </c>
    </row>
    <row r="53" spans="5:8" x14ac:dyDescent="0.25">
      <c r="E53" s="293" t="s">
        <v>8</v>
      </c>
      <c r="G53" s="293" t="s">
        <v>107</v>
      </c>
      <c r="H53" s="273">
        <f>'ARP_General inputs'!J53</f>
        <v>4814345.8075422384</v>
      </c>
    </row>
    <row r="54" spans="5:8" x14ac:dyDescent="0.25">
      <c r="E54" s="293" t="s">
        <v>9</v>
      </c>
      <c r="G54" s="293" t="s">
        <v>107</v>
      </c>
      <c r="H54" s="273">
        <f>'ARP_General inputs'!J54</f>
        <v>446167.60032032902</v>
      </c>
    </row>
    <row r="55" spans="5:8" x14ac:dyDescent="0.25">
      <c r="E55" s="293" t="s">
        <v>10</v>
      </c>
      <c r="G55" s="293" t="s">
        <v>107</v>
      </c>
      <c r="H55" s="273">
        <f>'ARP_General inputs'!J55</f>
        <v>-146035.21225992002</v>
      </c>
    </row>
    <row r="56" spans="5:8" x14ac:dyDescent="0.25">
      <c r="E56" s="293" t="s">
        <v>958</v>
      </c>
      <c r="G56" s="293" t="s">
        <v>107</v>
      </c>
      <c r="H56" s="273">
        <f>'ARP_General inputs'!J56</f>
        <v>1119102.4670971127</v>
      </c>
    </row>
    <row r="57" spans="5:8" x14ac:dyDescent="0.25">
      <c r="E57" s="293" t="s">
        <v>959</v>
      </c>
      <c r="G57" s="293" t="s">
        <v>107</v>
      </c>
      <c r="H57" s="273">
        <f>'ARP_General inputs'!J57</f>
        <v>1989788.1281364006</v>
      </c>
    </row>
    <row r="58" spans="5:8" x14ac:dyDescent="0.25">
      <c r="E58" s="293" t="s">
        <v>1248</v>
      </c>
      <c r="G58" s="293" t="s">
        <v>107</v>
      </c>
      <c r="H58" s="273">
        <f>'ARP_General inputs'!J58</f>
        <v>0</v>
      </c>
    </row>
    <row r="59" spans="5:8" x14ac:dyDescent="0.25">
      <c r="E59" s="93" t="s">
        <v>11</v>
      </c>
      <c r="F59" s="93"/>
      <c r="G59" s="93" t="s">
        <v>107</v>
      </c>
      <c r="H59" s="274">
        <f>'ARP_General inputs'!J59</f>
        <v>0</v>
      </c>
    </row>
    <row r="60" spans="5:8" x14ac:dyDescent="0.25">
      <c r="E60" s="293" t="s">
        <v>12</v>
      </c>
      <c r="G60" s="293" t="s">
        <v>107</v>
      </c>
      <c r="H60" s="269">
        <f>SUM(H50:H59)</f>
        <v>-6671009.4267329294</v>
      </c>
    </row>
    <row r="61" spans="5:8" x14ac:dyDescent="0.25">
      <c r="H61" s="252"/>
    </row>
    <row r="62" spans="5:8" x14ac:dyDescent="0.25">
      <c r="E62" s="293" t="s">
        <v>13</v>
      </c>
      <c r="G62" s="293" t="s">
        <v>107</v>
      </c>
      <c r="H62" s="273">
        <f>'ARP_General inputs'!J62</f>
        <v>2246242.9786451422</v>
      </c>
    </row>
    <row r="63" spans="5:8" x14ac:dyDescent="0.25">
      <c r="E63" s="293" t="s">
        <v>14</v>
      </c>
      <c r="G63" s="293" t="s">
        <v>107</v>
      </c>
      <c r="H63" s="273">
        <f>'ARP_General inputs'!J63</f>
        <v>6019850.1239122804</v>
      </c>
    </row>
    <row r="64" spans="5:8" x14ac:dyDescent="0.25">
      <c r="E64" s="293" t="s">
        <v>15</v>
      </c>
      <c r="G64" s="293" t="s">
        <v>107</v>
      </c>
      <c r="H64" s="273">
        <f>'ARP_General inputs'!J64</f>
        <v>0</v>
      </c>
    </row>
    <row r="65" spans="5:8" x14ac:dyDescent="0.25">
      <c r="E65" s="293" t="s">
        <v>16</v>
      </c>
      <c r="G65" s="293" t="s">
        <v>107</v>
      </c>
      <c r="H65" s="273">
        <f>'ARP_General inputs'!J65</f>
        <v>487712.13041430479</v>
      </c>
    </row>
    <row r="66" spans="5:8" x14ac:dyDescent="0.25">
      <c r="E66" s="293" t="s">
        <v>17</v>
      </c>
      <c r="G66" s="293" t="s">
        <v>107</v>
      </c>
      <c r="H66" s="273">
        <f>'ARP_General inputs'!J66</f>
        <v>0</v>
      </c>
    </row>
    <row r="67" spans="5:8" x14ac:dyDescent="0.25">
      <c r="E67" s="293" t="s">
        <v>18</v>
      </c>
      <c r="G67" s="293" t="s">
        <v>107</v>
      </c>
      <c r="H67" s="273">
        <f>'ARP_General inputs'!J67</f>
        <v>0</v>
      </c>
    </row>
    <row r="68" spans="5:8" x14ac:dyDescent="0.25">
      <c r="E68" s="293" t="s">
        <v>19</v>
      </c>
      <c r="G68" s="293" t="s">
        <v>107</v>
      </c>
      <c r="H68" s="273">
        <f>'ARP_General inputs'!J68</f>
        <v>0</v>
      </c>
    </row>
    <row r="69" spans="5:8" x14ac:dyDescent="0.25">
      <c r="E69" s="293" t="s">
        <v>20</v>
      </c>
      <c r="G69" s="293" t="s">
        <v>107</v>
      </c>
      <c r="H69" s="273">
        <f>'ARP_General inputs'!J69</f>
        <v>0</v>
      </c>
    </row>
    <row r="70" spans="5:8" x14ac:dyDescent="0.25">
      <c r="E70" s="293" t="s">
        <v>21</v>
      </c>
      <c r="G70" s="293" t="s">
        <v>107</v>
      </c>
      <c r="H70" s="273">
        <f>'ARP_General inputs'!J70</f>
        <v>0</v>
      </c>
    </row>
    <row r="71" spans="5:8" x14ac:dyDescent="0.25">
      <c r="E71" s="293" t="s">
        <v>22</v>
      </c>
      <c r="G71" s="293" t="s">
        <v>107</v>
      </c>
      <c r="H71" s="273">
        <f>'ARP_General inputs'!J71</f>
        <v>0</v>
      </c>
    </row>
    <row r="72" spans="5:8" x14ac:dyDescent="0.25">
      <c r="E72" s="93" t="s">
        <v>23</v>
      </c>
      <c r="F72" s="93"/>
      <c r="G72" s="93" t="s">
        <v>107</v>
      </c>
      <c r="H72" s="274">
        <f>'ARP_General inputs'!J72</f>
        <v>0</v>
      </c>
    </row>
    <row r="73" spans="5:8" x14ac:dyDescent="0.25">
      <c r="E73" s="293" t="s">
        <v>24</v>
      </c>
      <c r="G73" s="293" t="s">
        <v>107</v>
      </c>
      <c r="H73" s="275">
        <f>SUM(H62:H72)</f>
        <v>8753805.2329717278</v>
      </c>
    </row>
    <row r="74" spans="5:8" x14ac:dyDescent="0.25">
      <c r="H74" s="252"/>
    </row>
    <row r="75" spans="5:8" x14ac:dyDescent="0.25">
      <c r="E75" s="93" t="s">
        <v>25</v>
      </c>
      <c r="F75" s="93"/>
      <c r="G75" s="93" t="s">
        <v>107</v>
      </c>
      <c r="H75" s="274">
        <f>'ARP_General inputs'!J75</f>
        <v>5480897.6816196451</v>
      </c>
    </row>
    <row r="76" spans="5:8" x14ac:dyDescent="0.25">
      <c r="E76" s="293" t="s">
        <v>26</v>
      </c>
      <c r="G76" s="293" t="s">
        <v>107</v>
      </c>
      <c r="H76" s="275">
        <f>H75 + H73 + H60 + H48 + H47</f>
        <v>638841238.31459701</v>
      </c>
    </row>
    <row r="77" spans="5:8" x14ac:dyDescent="0.25">
      <c r="H77" s="252"/>
    </row>
    <row r="78" spans="5:8" x14ac:dyDescent="0.25">
      <c r="E78" s="293" t="s">
        <v>27</v>
      </c>
      <c r="G78" s="293" t="s">
        <v>107</v>
      </c>
      <c r="H78" s="273">
        <f>'ARP_General inputs'!J78</f>
        <v>0</v>
      </c>
    </row>
    <row r="79" spans="5:8" x14ac:dyDescent="0.25">
      <c r="E79" s="293" t="s">
        <v>28</v>
      </c>
      <c r="G79" s="293" t="s">
        <v>107</v>
      </c>
      <c r="H79" s="273">
        <f>'ARP_General inputs'!J79</f>
        <v>0</v>
      </c>
    </row>
    <row r="80" spans="5:8" x14ac:dyDescent="0.25">
      <c r="E80" s="293" t="s">
        <v>29</v>
      </c>
      <c r="G80" s="293" t="s">
        <v>107</v>
      </c>
      <c r="H80" s="273">
        <f>'ARP_General inputs'!J80</f>
        <v>0</v>
      </c>
    </row>
    <row r="81" spans="3:27" x14ac:dyDescent="0.25">
      <c r="E81" s="293" t="s">
        <v>30</v>
      </c>
      <c r="G81" s="293" t="s">
        <v>107</v>
      </c>
      <c r="H81" s="273">
        <f>'ARP_General inputs'!J81</f>
        <v>0</v>
      </c>
    </row>
    <row r="82" spans="3:27" x14ac:dyDescent="0.25">
      <c r="E82" s="93" t="s">
        <v>31</v>
      </c>
      <c r="F82" s="93"/>
      <c r="G82" s="93" t="s">
        <v>107</v>
      </c>
      <c r="H82" s="274">
        <f>'ARP_General inputs'!J82</f>
        <v>0</v>
      </c>
    </row>
    <row r="83" spans="3:27" x14ac:dyDescent="0.25">
      <c r="E83" s="93" t="s">
        <v>32</v>
      </c>
      <c r="F83" s="93"/>
      <c r="G83" s="93" t="s">
        <v>107</v>
      </c>
      <c r="H83" s="268">
        <f>SUM(H78:H82)</f>
        <v>0</v>
      </c>
    </row>
    <row r="84" spans="3:27" x14ac:dyDescent="0.25">
      <c r="E84" s="293" t="s">
        <v>33</v>
      </c>
      <c r="G84" s="293" t="s">
        <v>107</v>
      </c>
      <c r="H84" s="269">
        <f>H76+H83</f>
        <v>638841238.31459701</v>
      </c>
    </row>
    <row r="85" spans="3:27" x14ac:dyDescent="0.25">
      <c r="H85" s="252"/>
    </row>
    <row r="86" spans="3:27" x14ac:dyDescent="0.25">
      <c r="E86" s="293" t="s">
        <v>34</v>
      </c>
      <c r="G86" s="293" t="s">
        <v>107</v>
      </c>
      <c r="H86" s="273">
        <f>'ARP_General inputs'!J86</f>
        <v>26614446.827823885</v>
      </c>
    </row>
    <row r="87" spans="3:27" x14ac:dyDescent="0.25">
      <c r="E87" s="293" t="s">
        <v>35</v>
      </c>
      <c r="G87" s="293" t="s">
        <v>107</v>
      </c>
      <c r="H87" s="273">
        <f>'ARP_General inputs'!J87</f>
        <v>0</v>
      </c>
    </row>
    <row r="88" spans="3:27" x14ac:dyDescent="0.25">
      <c r="E88" s="293" t="s">
        <v>36</v>
      </c>
      <c r="G88" s="293" t="s">
        <v>107</v>
      </c>
      <c r="H88" s="273">
        <f>'ARP_General inputs'!J88</f>
        <v>0</v>
      </c>
    </row>
    <row r="89" spans="3:27" x14ac:dyDescent="0.25">
      <c r="E89" s="93" t="s">
        <v>37</v>
      </c>
      <c r="F89" s="93"/>
      <c r="G89" s="93" t="s">
        <v>107</v>
      </c>
      <c r="H89" s="274">
        <f>'ARP_General inputs'!J89</f>
        <v>0</v>
      </c>
    </row>
    <row r="90" spans="3:27" x14ac:dyDescent="0.25">
      <c r="E90" s="293" t="s">
        <v>38</v>
      </c>
      <c r="G90" s="293" t="s">
        <v>107</v>
      </c>
      <c r="H90" s="275">
        <f>SUM(H86:H89)</f>
        <v>26614446.827823885</v>
      </c>
    </row>
    <row r="91" spans="3:27" x14ac:dyDescent="0.25">
      <c r="E91" s="91" t="s">
        <v>39</v>
      </c>
      <c r="F91" s="91"/>
      <c r="G91" s="91" t="s">
        <v>107</v>
      </c>
      <c r="H91" s="254">
        <f>H84-H90</f>
        <v>612226791.48677313</v>
      </c>
    </row>
    <row r="92" spans="3:27" x14ac:dyDescent="0.25">
      <c r="H92" s="382"/>
    </row>
    <row r="93" spans="3:27" x14ac:dyDescent="0.25">
      <c r="C93" s="7" t="str">
        <f ca="1">INDEX('Version control'!$H$35:$H$61,MATCH($A$1,'Version control'!$F$35:$F$61,0),1)&amp;"-D: Financial and general assumptions"</f>
        <v>Section 503-D: Financial and general assumptions</v>
      </c>
      <c r="D93" s="7"/>
      <c r="E93" s="7"/>
      <c r="F93" s="7"/>
      <c r="G93" s="172"/>
      <c r="H93" s="7"/>
      <c r="I93" s="7"/>
      <c r="J93" s="7"/>
      <c r="L93" s="95"/>
      <c r="M93" s="95"/>
      <c r="N93" s="95"/>
      <c r="O93" s="95"/>
      <c r="P93" s="95"/>
      <c r="Q93" s="95"/>
      <c r="R93" s="95"/>
      <c r="S93" s="95"/>
      <c r="T93" s="95"/>
      <c r="U93" s="95"/>
      <c r="V93" s="95"/>
      <c r="W93" s="95"/>
      <c r="X93" s="95"/>
      <c r="Y93" s="95"/>
      <c r="Z93" s="95"/>
      <c r="AA93" s="95"/>
    </row>
    <row r="95" spans="3:27" x14ac:dyDescent="0.25">
      <c r="E95" s="14" t="s">
        <v>616</v>
      </c>
      <c r="G95" s="293" t="s">
        <v>94</v>
      </c>
      <c r="H95" s="384">
        <f>'ARP_General inputs'!J101</f>
        <v>3.7400000000000003E-2</v>
      </c>
      <c r="I95" s="293" t="s">
        <v>359</v>
      </c>
      <c r="J95" s="88" t="s">
        <v>696</v>
      </c>
    </row>
    <row r="96" spans="3:27" x14ac:dyDescent="0.25">
      <c r="E96" s="14" t="s">
        <v>41</v>
      </c>
      <c r="G96" s="14" t="s">
        <v>504</v>
      </c>
      <c r="H96" s="380">
        <f>'ARP_General inputs'!J102</f>
        <v>366</v>
      </c>
    </row>
    <row r="97" spans="2:27" x14ac:dyDescent="0.25">
      <c r="E97" s="293" t="s">
        <v>439</v>
      </c>
      <c r="G97" s="293" t="s">
        <v>210</v>
      </c>
      <c r="H97" s="310">
        <f>days_in_year * hours_in_day</f>
        <v>8784</v>
      </c>
    </row>
    <row r="99" spans="2:27" x14ac:dyDescent="0.25">
      <c r="C99" s="7" t="str">
        <f ca="1">INDEX('Version control'!$H$35:$H$61,MATCH($A$1,'Version control'!$F$35:$F$61,0),1)&amp;"-E: Transmission exit charges"</f>
        <v>Section 503-E: Transmission exit charges</v>
      </c>
      <c r="D99" s="7"/>
      <c r="E99" s="7"/>
      <c r="F99" s="7"/>
      <c r="G99" s="172"/>
      <c r="H99" s="7"/>
      <c r="I99" s="7"/>
      <c r="J99" s="7"/>
      <c r="L99" s="95"/>
      <c r="M99" s="95"/>
      <c r="N99" s="95"/>
      <c r="O99" s="95"/>
      <c r="P99" s="95"/>
      <c r="Q99" s="95"/>
      <c r="R99" s="95"/>
      <c r="S99" s="95"/>
      <c r="T99" s="95"/>
      <c r="U99" s="95"/>
      <c r="V99" s="95"/>
      <c r="W99" s="95"/>
      <c r="X99" s="95"/>
      <c r="Y99" s="95"/>
      <c r="Z99" s="95"/>
      <c r="AA99" s="95"/>
    </row>
    <row r="101" spans="2:27" x14ac:dyDescent="0.25">
      <c r="E101" s="14" t="s">
        <v>117</v>
      </c>
      <c r="G101" s="293" t="s">
        <v>505</v>
      </c>
      <c r="H101" s="273">
        <f>'ARP_General inputs'!J106</f>
        <v>13771912.358777869</v>
      </c>
      <c r="I101" s="293" t="s">
        <v>359</v>
      </c>
      <c r="J101" s="293" t="s">
        <v>697</v>
      </c>
    </row>
    <row r="102" spans="2:27" x14ac:dyDescent="0.25">
      <c r="H102" s="252"/>
    </row>
    <row r="103" spans="2:27" x14ac:dyDescent="0.25">
      <c r="C103" s="7" t="str">
        <f ca="1">INDEX('Version control'!$H$35:$H$61,MATCH($A$1,'Version control'!$F$35:$F$61,0),1)&amp;"-F: Other expenditure"</f>
        <v>Section 503-F: Other expenditure</v>
      </c>
      <c r="D103" s="7"/>
      <c r="E103" s="7"/>
      <c r="F103" s="7"/>
      <c r="G103" s="172"/>
      <c r="H103" s="242"/>
      <c r="I103" s="7"/>
      <c r="J103" s="7"/>
      <c r="L103" s="95"/>
      <c r="M103" s="95"/>
      <c r="N103" s="95"/>
      <c r="O103" s="95"/>
      <c r="P103" s="95"/>
      <c r="Q103" s="95"/>
      <c r="R103" s="95"/>
      <c r="S103" s="95"/>
      <c r="T103" s="95"/>
      <c r="U103" s="95"/>
      <c r="V103" s="95"/>
      <c r="W103" s="95"/>
      <c r="X103" s="95"/>
      <c r="Y103" s="95"/>
      <c r="Z103" s="95"/>
      <c r="AA103" s="95"/>
    </row>
    <row r="104" spans="2:27" x14ac:dyDescent="0.25">
      <c r="H104" s="252"/>
    </row>
    <row r="105" spans="2:27" x14ac:dyDescent="0.25">
      <c r="E105" s="96" t="s">
        <v>79</v>
      </c>
      <c r="F105" s="96"/>
      <c r="H105" s="252"/>
      <c r="I105" s="293" t="s">
        <v>359</v>
      </c>
      <c r="J105" s="293" t="s">
        <v>698</v>
      </c>
    </row>
    <row r="106" spans="2:27" x14ac:dyDescent="0.25">
      <c r="F106" s="16" t="s">
        <v>128</v>
      </c>
      <c r="G106" s="91" t="s">
        <v>505</v>
      </c>
      <c r="H106" s="272">
        <f>'ARP_General inputs'!J111</f>
        <v>96623088.80325973</v>
      </c>
    </row>
    <row r="107" spans="2:27" x14ac:dyDescent="0.25">
      <c r="F107" s="14" t="s">
        <v>129</v>
      </c>
      <c r="G107" s="293" t="s">
        <v>505</v>
      </c>
      <c r="H107" s="273">
        <f>'ARP_General inputs'!J112</f>
        <v>165654132.61041</v>
      </c>
      <c r="R107" s="86"/>
      <c r="S107" s="86"/>
    </row>
    <row r="108" spans="2:27" x14ac:dyDescent="0.25">
      <c r="F108" s="15" t="s">
        <v>130</v>
      </c>
      <c r="G108" s="93" t="s">
        <v>505</v>
      </c>
      <c r="H108" s="274">
        <f>'ARP_General inputs'!J113</f>
        <v>45337571.603443354</v>
      </c>
      <c r="R108" s="86"/>
      <c r="S108" s="86"/>
    </row>
    <row r="110" spans="2:27" x14ac:dyDescent="0.25">
      <c r="B110" s="95" t="s">
        <v>109</v>
      </c>
      <c r="C110" s="95"/>
      <c r="D110" s="95"/>
      <c r="E110" s="95"/>
      <c r="F110" s="95"/>
      <c r="G110" s="95"/>
      <c r="H110" s="95"/>
      <c r="I110" s="95"/>
      <c r="J110" s="95"/>
      <c r="L110" s="95"/>
      <c r="M110" s="95"/>
      <c r="N110" s="95"/>
      <c r="O110" s="95"/>
      <c r="P110" s="95"/>
      <c r="Q110" s="95"/>
      <c r="R110" s="95"/>
      <c r="S110" s="95"/>
      <c r="T110" s="95"/>
      <c r="U110" s="95"/>
      <c r="V110" s="95"/>
      <c r="W110" s="95"/>
      <c r="X110" s="95"/>
      <c r="Y110" s="95"/>
      <c r="Z110" s="95"/>
      <c r="AA110" s="95"/>
    </row>
    <row r="112" spans="2:27" x14ac:dyDescent="0.25">
      <c r="E112" s="293" t="s">
        <v>415</v>
      </c>
      <c r="G112" s="122" t="s">
        <v>588</v>
      </c>
      <c r="H112" s="373">
        <f t="array" ref="H112">SUM(IF(ISERROR(H6:H109), 1))</f>
        <v>0</v>
      </c>
    </row>
    <row r="114" spans="2:27" x14ac:dyDescent="0.25">
      <c r="E114" s="96" t="s">
        <v>783</v>
      </c>
    </row>
    <row r="115" spans="2:27" x14ac:dyDescent="0.25">
      <c r="F115" s="91" t="s">
        <v>440</v>
      </c>
      <c r="G115" s="58" t="s">
        <v>588</v>
      </c>
      <c r="H115" s="177">
        <f>IF(SUM(H19:H21) = hours_in_year, 0, 1)</f>
        <v>0</v>
      </c>
    </row>
    <row r="116" spans="2:27" x14ac:dyDescent="0.25">
      <c r="F116" s="93" t="s">
        <v>441</v>
      </c>
      <c r="G116" s="61" t="s">
        <v>588</v>
      </c>
      <c r="H116" s="179">
        <f>IF(SUM(H24:H26) = hours_in_year, 0, 1)</f>
        <v>0</v>
      </c>
    </row>
    <row r="118" spans="2:27" x14ac:dyDescent="0.25">
      <c r="E118" s="293" t="s">
        <v>374</v>
      </c>
      <c r="G118" s="122" t="s">
        <v>588</v>
      </c>
      <c r="H118" s="310">
        <f>SUM(H112,H115:H116)</f>
        <v>0</v>
      </c>
    </row>
    <row r="120" spans="2:27" x14ac:dyDescent="0.25">
      <c r="B120" s="95" t="s">
        <v>110</v>
      </c>
      <c r="C120" s="95"/>
      <c r="D120" s="95"/>
      <c r="E120" s="95"/>
      <c r="F120" s="95"/>
      <c r="G120" s="95"/>
      <c r="H120" s="95"/>
      <c r="I120" s="95"/>
      <c r="J120" s="95"/>
      <c r="L120" s="95"/>
      <c r="M120" s="95"/>
      <c r="N120" s="95"/>
      <c r="O120" s="95"/>
      <c r="P120" s="95"/>
      <c r="Q120" s="95"/>
      <c r="R120" s="95"/>
      <c r="S120" s="95"/>
      <c r="T120" s="95"/>
      <c r="U120" s="95"/>
      <c r="V120" s="95"/>
      <c r="W120" s="95"/>
      <c r="X120" s="95"/>
      <c r="Y120" s="95"/>
      <c r="Z120" s="95"/>
      <c r="AA120" s="95"/>
    </row>
  </sheetData>
  <sheetProtection sheet="1" objects="1" formatCells="0" formatColumns="0" formatRows="0" sort="0" autoFilter="0"/>
  <conditionalFormatting sqref="H112">
    <cfRule type="cellIs" dxfId="184" priority="4" operator="greaterThan">
      <formula>0</formula>
    </cfRule>
  </conditionalFormatting>
  <conditionalFormatting sqref="H115:H117">
    <cfRule type="cellIs" dxfId="183" priority="3" operator="greaterThan">
      <formula>0</formula>
    </cfRule>
  </conditionalFormatting>
  <conditionalFormatting sqref="A4:XFD4">
    <cfRule type="expression" dxfId="182" priority="5">
      <formula>LEFT($A$4,1) &lt;&gt; "0"</formula>
    </cfRule>
  </conditionalFormatting>
  <conditionalFormatting sqref="H118">
    <cfRule type="cellIs" dxfId="181" priority="1" operator="greaterThan">
      <formula>0</formula>
    </cfRule>
  </conditionalFormatting>
  <dataValidations count="5">
    <dataValidation type="whole" allowBlank="1" showInputMessage="1" showErrorMessage="1" sqref="H97" xr:uid="{0C5BB112-F3A2-4E7F-AB61-DF9C8EC8A4A8}">
      <formula1>0</formula1>
      <formula2>9999</formula2>
    </dataValidation>
    <dataValidation type="decimal" operator="greaterThanOrEqual" allowBlank="1" showInputMessage="1" showErrorMessage="1" error="The rate of return must be a non-negative percentage value." sqref="H95" xr:uid="{28903D23-0946-4AC2-8028-14E322C75D52}">
      <formula1>0</formula1>
    </dataValidation>
    <dataValidation type="decimal" operator="greaterThanOrEqual" allowBlank="1" showInputMessage="1" showErrorMessage="1" sqref="H19:H21 H24:H26 H106:H108 H101" xr:uid="{B0ED83C4-FC1B-48AF-8FD9-176A823A8199}">
      <formula1>0</formula1>
    </dataValidation>
    <dataValidation type="decimal" allowBlank="1" showInputMessage="1" showErrorMessage="1" sqref="H96" xr:uid="{1DF3E7C9-9DA0-4790-B909-C5227537DFE3}">
      <formula1>365</formula1>
      <formula2>366</formula2>
    </dataValidation>
    <dataValidation type="decimal" allowBlank="1" showInputMessage="1" showErrorMessage="1" errorTitle="Invalid LDNO discount" error="Invalid LDNO discount (negative number or unused cell)." sqref="H33:H36" xr:uid="{0ED4BA9B-28A9-4FFD-8169-738FA661A702}">
      <formula1>0</formula1>
      <formula2>1</formula2>
    </dataValidation>
  </dataValidations>
  <hyperlinks>
    <hyperlink ref="B5:F5" location="'Model map'!A1" display="Click here to return to model map" xr:uid="{C31B8484-0E15-4C6A-B3FB-0843E35C6B3D}"/>
  </hyperlinks>
  <pageMargins left="0.7" right="0.7" top="0.75" bottom="0.75" header="0.3" footer="0.3"/>
  <pageSetup paperSize="9" fitToHeight="0" orientation="portrait" r:id="rId1"/>
  <headerFooter>
    <oddHeader>&amp;L&amp;A&amp;C&amp;R&amp;P of &amp;N</oddHeader>
    <oddFooter>&amp;F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064A4D-13F5-4C02-9C75-87110E8C21B7}">
  <sheetPr codeName="Sheet33">
    <tabColor theme="4" tint="0.59999389629810485"/>
    <pageSetUpPr fitToPage="1"/>
  </sheetPr>
  <dimension ref="A1:LC60"/>
  <sheetViews>
    <sheetView showGridLines="0" zoomScale="80" zoomScaleNormal="80" workbookViewId="0">
      <pane xSplit="9" ySplit="5" topLeftCell="J6" activePane="bottomRight" state="frozen"/>
      <selection pane="topRight"/>
      <selection pane="bottomLeft"/>
      <selection pane="bottomRight"/>
    </sheetView>
  </sheetViews>
  <sheetFormatPr defaultColWidth="0" defaultRowHeight="15" x14ac:dyDescent="0.25"/>
  <cols>
    <col min="1" max="3" width="2.5703125" style="293" customWidth="1"/>
    <col min="4" max="5" width="2.5703125" style="98" customWidth="1"/>
    <col min="6" max="6" width="59.5703125" style="293" customWidth="1"/>
    <col min="7" max="8" width="20.5703125" style="293" customWidth="1"/>
    <col min="9" max="9" width="2.42578125" style="293" customWidth="1"/>
    <col min="10" max="25" width="17" style="293" customWidth="1"/>
    <col min="26" max="26" width="2.42578125" style="293" customWidth="1"/>
    <col min="27" max="27" width="50.5703125" style="293" customWidth="1"/>
    <col min="28" max="28" width="2.42578125" style="293" customWidth="1"/>
    <col min="29" max="29" width="24.5703125" style="293" hidden="1" customWidth="1"/>
    <col min="30" max="30" width="3.5703125" style="293" hidden="1" customWidth="1"/>
    <col min="31" max="31" width="15.42578125" style="293" hidden="1" customWidth="1"/>
    <col min="32" max="315" width="24.5703125" style="293" hidden="1" customWidth="1"/>
    <col min="316" max="16384" width="8.5703125" style="293" hidden="1"/>
  </cols>
  <sheetData>
    <row r="1" spans="1:27" s="10" customFormat="1" x14ac:dyDescent="0.25">
      <c r="A1" s="10" t="str">
        <f ca="1">MID(CELL("filename",A1),FIND("]",CELL("filename",A1))+1,255)</f>
        <v>Standing charge factors</v>
      </c>
    </row>
    <row r="2" spans="1:27" s="10" customFormat="1" x14ac:dyDescent="0.25">
      <c r="A2" s="10" t="str">
        <f>Cover!D21&amp;" - "&amp;Cover!D23</f>
        <v>Southern Electric Power Distribution plc - Final</v>
      </c>
    </row>
    <row r="3" spans="1:27" s="46" customFormat="1" x14ac:dyDescent="0.25">
      <c r="A3" s="46" t="str">
        <f>Cover!D2&amp;" - "&amp;Cover!D8&amp;" v"&amp;Cover!D10&amp;" - "&amp;Cover!D19</f>
        <v>ARP model - Release for charge setting v7 - 2023/24</v>
      </c>
    </row>
    <row r="4" spans="1:27" x14ac:dyDescent="0.25">
      <c r="A4" s="366" t="str">
        <f>H58 &amp; IF(H58 = 1, " issue", " issues") &amp;" identified in checks on this sheet"</f>
        <v>0 issues identified in checks on this sheet</v>
      </c>
      <c r="B4" s="108"/>
      <c r="C4" s="108"/>
      <c r="D4" s="108"/>
      <c r="E4" s="108"/>
      <c r="F4" s="108"/>
      <c r="G4" s="108"/>
      <c r="H4" s="111"/>
      <c r="I4" s="111"/>
    </row>
    <row r="5" spans="1:27" ht="60" x14ac:dyDescent="0.25">
      <c r="B5" s="367" t="s">
        <v>451</v>
      </c>
      <c r="C5" s="368"/>
      <c r="D5" s="368"/>
      <c r="E5" s="368"/>
      <c r="F5" s="368"/>
      <c r="G5" s="1" t="s">
        <v>91</v>
      </c>
      <c r="H5" s="2" t="s">
        <v>92</v>
      </c>
      <c r="I5" s="111"/>
      <c r="J5" s="2" t="s">
        <v>926</v>
      </c>
      <c r="K5" s="2" t="s">
        <v>927</v>
      </c>
      <c r="L5" s="2" t="s">
        <v>928</v>
      </c>
      <c r="M5" s="2" t="s">
        <v>929</v>
      </c>
      <c r="N5" s="2" t="s">
        <v>930</v>
      </c>
      <c r="O5" s="2" t="s">
        <v>931</v>
      </c>
      <c r="P5" s="2" t="s">
        <v>932</v>
      </c>
      <c r="Q5" s="2" t="s">
        <v>933</v>
      </c>
      <c r="R5" s="2" t="s">
        <v>934</v>
      </c>
      <c r="S5" s="2" t="s">
        <v>935</v>
      </c>
      <c r="T5" s="2" t="s">
        <v>936</v>
      </c>
      <c r="U5" s="2" t="s">
        <v>937</v>
      </c>
      <c r="V5" s="2" t="s">
        <v>938</v>
      </c>
      <c r="W5" s="2" t="s">
        <v>939</v>
      </c>
      <c r="X5" s="2" t="s">
        <v>940</v>
      </c>
      <c r="Y5" s="2" t="s">
        <v>941</v>
      </c>
      <c r="AA5" s="1" t="s">
        <v>93</v>
      </c>
    </row>
    <row r="7" spans="1:27" x14ac:dyDescent="0.25">
      <c r="B7" s="95" t="s">
        <v>90</v>
      </c>
      <c r="C7" s="72"/>
      <c r="D7" s="80"/>
      <c r="E7" s="80"/>
      <c r="F7" s="72"/>
      <c r="G7" s="72"/>
      <c r="H7" s="72"/>
      <c r="I7" s="72"/>
      <c r="J7" s="72"/>
      <c r="K7" s="72"/>
      <c r="L7" s="72"/>
      <c r="M7" s="72"/>
      <c r="N7" s="72"/>
      <c r="O7" s="72"/>
      <c r="P7" s="72"/>
      <c r="Q7" s="72"/>
      <c r="R7" s="72"/>
      <c r="S7" s="72"/>
      <c r="T7" s="72"/>
      <c r="U7" s="72"/>
      <c r="V7" s="72"/>
      <c r="W7" s="72"/>
      <c r="X7" s="72"/>
      <c r="Y7" s="72"/>
      <c r="Z7" s="72"/>
      <c r="AA7" s="72"/>
    </row>
    <row r="9" spans="1:27" x14ac:dyDescent="0.25">
      <c r="C9" s="82" t="s">
        <v>706</v>
      </c>
      <c r="E9" s="293"/>
    </row>
    <row r="10" spans="1:27" x14ac:dyDescent="0.25">
      <c r="C10" s="82" t="s">
        <v>512</v>
      </c>
      <c r="E10" s="293"/>
    </row>
    <row r="11" spans="1:27" x14ac:dyDescent="0.25">
      <c r="C11" s="82" t="s">
        <v>513</v>
      </c>
      <c r="E11" s="293"/>
    </row>
    <row r="12" spans="1:27" x14ac:dyDescent="0.25">
      <c r="C12" s="82" t="s">
        <v>514</v>
      </c>
      <c r="E12" s="293"/>
    </row>
    <row r="13" spans="1:27" x14ac:dyDescent="0.25">
      <c r="C13" s="82"/>
      <c r="E13" s="293"/>
    </row>
    <row r="14" spans="1:27" x14ac:dyDescent="0.25">
      <c r="C14" s="82" t="s">
        <v>327</v>
      </c>
      <c r="E14" s="293"/>
    </row>
    <row r="15" spans="1:27" x14ac:dyDescent="0.25">
      <c r="C15" s="82" t="s">
        <v>268</v>
      </c>
      <c r="E15" s="293"/>
    </row>
    <row r="17" spans="2:27" x14ac:dyDescent="0.25">
      <c r="B17" s="95" t="s">
        <v>367</v>
      </c>
      <c r="C17" s="72"/>
      <c r="D17" s="80"/>
      <c r="E17" s="80"/>
      <c r="F17" s="72"/>
      <c r="G17" s="72"/>
      <c r="H17" s="72"/>
      <c r="I17" s="72"/>
      <c r="J17" s="72"/>
      <c r="K17" s="72"/>
      <c r="L17" s="72"/>
      <c r="M17" s="72"/>
      <c r="N17" s="72"/>
      <c r="O17" s="72"/>
      <c r="P17" s="72"/>
      <c r="Q17" s="72"/>
      <c r="R17" s="72"/>
      <c r="S17" s="72"/>
      <c r="T17" s="72"/>
      <c r="U17" s="72"/>
      <c r="V17" s="72"/>
      <c r="W17" s="72"/>
      <c r="X17" s="72"/>
      <c r="Y17" s="72"/>
      <c r="Z17" s="72"/>
      <c r="AA17" s="72"/>
    </row>
    <row r="18" spans="2:27" x14ac:dyDescent="0.25">
      <c r="C18" s="86"/>
    </row>
    <row r="19" spans="2:27" x14ac:dyDescent="0.25">
      <c r="C19" s="7" t="str">
        <f ca="1">INDEX('Version control'!$H$35:$H$61,MATCH($A$1,'Version control'!$F$35:$F$61,0),1)&amp;"-A: Adjustments to standing charges"</f>
        <v>Section 504-A: Adjustments to standing charges</v>
      </c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</row>
    <row r="20" spans="2:27" x14ac:dyDescent="0.25">
      <c r="C20" s="86"/>
    </row>
    <row r="21" spans="2:27" x14ac:dyDescent="0.25">
      <c r="D21" s="82" t="s">
        <v>423</v>
      </c>
      <c r="F21" s="98"/>
    </row>
    <row r="22" spans="2:27" x14ac:dyDescent="0.25">
      <c r="D22" s="86"/>
      <c r="F22" s="98"/>
    </row>
    <row r="23" spans="2:27" x14ac:dyDescent="0.25">
      <c r="D23" s="293"/>
      <c r="E23" s="96" t="s">
        <v>516</v>
      </c>
      <c r="F23" s="96"/>
      <c r="I23" s="293" t="s">
        <v>359</v>
      </c>
      <c r="AA23" s="293" t="s">
        <v>703</v>
      </c>
    </row>
    <row r="24" spans="2:27" x14ac:dyDescent="0.25">
      <c r="D24" s="293"/>
      <c r="E24" s="82" t="s">
        <v>707</v>
      </c>
    </row>
    <row r="25" spans="2:27" x14ac:dyDescent="0.25">
      <c r="D25" s="86"/>
      <c r="F25" s="91" t="s">
        <v>267</v>
      </c>
      <c r="G25" s="91" t="s">
        <v>94</v>
      </c>
      <c r="H25" s="91"/>
      <c r="I25" s="91"/>
      <c r="J25" s="137">
        <f>'Fixed inputs'!J88</f>
        <v>0</v>
      </c>
      <c r="K25" s="137">
        <f>'Fixed inputs'!K88</f>
        <v>0</v>
      </c>
      <c r="L25" s="137">
        <f>'Fixed inputs'!L88</f>
        <v>0</v>
      </c>
      <c r="M25" s="137">
        <f>'Fixed inputs'!M88</f>
        <v>0</v>
      </c>
      <c r="N25" s="137">
        <f>'Fixed inputs'!N88</f>
        <v>0</v>
      </c>
      <c r="O25" s="137">
        <f>'Fixed inputs'!O88</f>
        <v>0</v>
      </c>
      <c r="P25" s="137">
        <f>'Fixed inputs'!P88</f>
        <v>0</v>
      </c>
      <c r="Q25" s="137">
        <f>'Fixed inputs'!Q88</f>
        <v>0</v>
      </c>
      <c r="R25" s="106"/>
      <c r="S25" s="106"/>
      <c r="T25" s="106"/>
      <c r="U25" s="106"/>
      <c r="V25" s="106"/>
      <c r="W25" s="106"/>
      <c r="X25" s="106"/>
      <c r="Y25" s="106"/>
    </row>
    <row r="26" spans="2:27" x14ac:dyDescent="0.25">
      <c r="D26" s="86"/>
      <c r="F26" s="293" t="s">
        <v>43</v>
      </c>
      <c r="G26" s="293" t="s">
        <v>94</v>
      </c>
      <c r="J26" s="143">
        <f>'Fixed inputs'!J89</f>
        <v>0</v>
      </c>
      <c r="K26" s="143">
        <f>'Fixed inputs'!K89</f>
        <v>0</v>
      </c>
      <c r="L26" s="143">
        <f>'Fixed inputs'!L89</f>
        <v>0</v>
      </c>
      <c r="M26" s="143">
        <f>'Fixed inputs'!M89</f>
        <v>0</v>
      </c>
      <c r="N26" s="143">
        <f>'Fixed inputs'!N89</f>
        <v>0</v>
      </c>
      <c r="O26" s="143">
        <f>'Fixed inputs'!O89</f>
        <v>0</v>
      </c>
      <c r="P26" s="143">
        <f>'Fixed inputs'!P89</f>
        <v>0</v>
      </c>
      <c r="Q26" s="143">
        <f>'Fixed inputs'!Q89</f>
        <v>0</v>
      </c>
      <c r="R26" s="79"/>
      <c r="S26" s="79"/>
      <c r="T26" s="79"/>
      <c r="U26" s="79"/>
      <c r="V26" s="79"/>
      <c r="W26" s="79"/>
      <c r="X26" s="79"/>
      <c r="Y26" s="79"/>
    </row>
    <row r="27" spans="2:27" x14ac:dyDescent="0.25">
      <c r="D27" s="86"/>
      <c r="F27" s="293" t="s">
        <v>44</v>
      </c>
      <c r="G27" s="293" t="s">
        <v>94</v>
      </c>
      <c r="J27" s="143">
        <f>'Fixed inputs'!J90</f>
        <v>0</v>
      </c>
      <c r="K27" s="143">
        <f>'Fixed inputs'!K90</f>
        <v>0</v>
      </c>
      <c r="L27" s="143">
        <f>'Fixed inputs'!L90</f>
        <v>0</v>
      </c>
      <c r="M27" s="143">
        <f>'Fixed inputs'!M90</f>
        <v>0</v>
      </c>
      <c r="N27" s="143">
        <f>'Fixed inputs'!N90</f>
        <v>0</v>
      </c>
      <c r="O27" s="143">
        <f>'Fixed inputs'!O90</f>
        <v>0</v>
      </c>
      <c r="P27" s="143">
        <f>'Fixed inputs'!P90</f>
        <v>0</v>
      </c>
      <c r="Q27" s="143">
        <f>'Fixed inputs'!Q90</f>
        <v>0</v>
      </c>
      <c r="R27" s="79"/>
      <c r="S27" s="79"/>
      <c r="T27" s="79"/>
      <c r="U27" s="79"/>
      <c r="V27" s="79"/>
      <c r="W27" s="79"/>
      <c r="X27" s="79"/>
      <c r="Y27" s="79"/>
    </row>
    <row r="28" spans="2:27" x14ac:dyDescent="0.25">
      <c r="D28" s="86"/>
      <c r="F28" s="293" t="s">
        <v>45</v>
      </c>
      <c r="G28" s="293" t="s">
        <v>94</v>
      </c>
      <c r="J28" s="143">
        <f>'Fixed inputs'!J91</f>
        <v>0</v>
      </c>
      <c r="K28" s="143">
        <f>'Fixed inputs'!K91</f>
        <v>0</v>
      </c>
      <c r="L28" s="143">
        <f>'Fixed inputs'!L91</f>
        <v>0</v>
      </c>
      <c r="M28" s="143">
        <f>'Fixed inputs'!M91</f>
        <v>0</v>
      </c>
      <c r="N28" s="143">
        <f>'Fixed inputs'!N91</f>
        <v>0</v>
      </c>
      <c r="O28" s="143">
        <f>'Fixed inputs'!O91</f>
        <v>0</v>
      </c>
      <c r="P28" s="143">
        <f>'Fixed inputs'!P91</f>
        <v>0</v>
      </c>
      <c r="Q28" s="143">
        <f>'Fixed inputs'!Q91</f>
        <v>0</v>
      </c>
      <c r="R28" s="79"/>
      <c r="S28" s="79"/>
      <c r="T28" s="79"/>
      <c r="U28" s="79"/>
      <c r="V28" s="79"/>
      <c r="W28" s="79"/>
      <c r="X28" s="79"/>
      <c r="Y28" s="79"/>
    </row>
    <row r="29" spans="2:27" x14ac:dyDescent="0.25">
      <c r="D29" s="86"/>
      <c r="F29" s="293" t="s">
        <v>46</v>
      </c>
      <c r="G29" s="293" t="s">
        <v>94</v>
      </c>
      <c r="J29" s="143">
        <f>'Fixed inputs'!J92</f>
        <v>0</v>
      </c>
      <c r="K29" s="143">
        <f>'Fixed inputs'!K92</f>
        <v>0</v>
      </c>
      <c r="L29" s="143">
        <f>'Fixed inputs'!L92</f>
        <v>0</v>
      </c>
      <c r="M29" s="143">
        <f>'Fixed inputs'!M92</f>
        <v>0</v>
      </c>
      <c r="N29" s="143">
        <f>'Fixed inputs'!N92</f>
        <v>0</v>
      </c>
      <c r="O29" s="143">
        <f>'Fixed inputs'!O92</f>
        <v>0</v>
      </c>
      <c r="P29" s="143">
        <f>'Fixed inputs'!P92</f>
        <v>0.2</v>
      </c>
      <c r="Q29" s="143">
        <f>'Fixed inputs'!Q92</f>
        <v>0</v>
      </c>
      <c r="R29" s="79"/>
      <c r="S29" s="79"/>
      <c r="T29" s="79"/>
      <c r="U29" s="79"/>
      <c r="V29" s="79"/>
      <c r="W29" s="79"/>
      <c r="X29" s="79"/>
      <c r="Y29" s="79"/>
    </row>
    <row r="30" spans="2:27" x14ac:dyDescent="0.25">
      <c r="D30" s="86"/>
      <c r="F30" s="293" t="s">
        <v>47</v>
      </c>
      <c r="G30" s="293" t="s">
        <v>94</v>
      </c>
      <c r="J30" s="143">
        <f>'Fixed inputs'!J93</f>
        <v>0</v>
      </c>
      <c r="K30" s="143">
        <f>'Fixed inputs'!K93</f>
        <v>0</v>
      </c>
      <c r="L30" s="143">
        <f>'Fixed inputs'!L93</f>
        <v>0</v>
      </c>
      <c r="M30" s="143">
        <f>'Fixed inputs'!M93</f>
        <v>0</v>
      </c>
      <c r="N30" s="143">
        <f>'Fixed inputs'!N93</f>
        <v>0</v>
      </c>
      <c r="O30" s="143">
        <f>'Fixed inputs'!O93</f>
        <v>0</v>
      </c>
      <c r="P30" s="143">
        <f>'Fixed inputs'!P93</f>
        <v>1</v>
      </c>
      <c r="Q30" s="143">
        <f>'Fixed inputs'!Q93</f>
        <v>0</v>
      </c>
      <c r="R30" s="79"/>
      <c r="S30" s="79"/>
      <c r="T30" s="79"/>
      <c r="U30" s="79"/>
      <c r="V30" s="79"/>
      <c r="W30" s="79"/>
      <c r="X30" s="79"/>
      <c r="Y30" s="79"/>
    </row>
    <row r="31" spans="2:27" x14ac:dyDescent="0.25">
      <c r="D31" s="86"/>
      <c r="F31" s="293" t="s">
        <v>51</v>
      </c>
      <c r="G31" s="293" t="s">
        <v>94</v>
      </c>
      <c r="J31" s="143">
        <f>'Fixed inputs'!J94</f>
        <v>0</v>
      </c>
      <c r="K31" s="143">
        <f>'Fixed inputs'!K94</f>
        <v>0</v>
      </c>
      <c r="L31" s="143">
        <f>'Fixed inputs'!L94</f>
        <v>0</v>
      </c>
      <c r="M31" s="143">
        <f>'Fixed inputs'!M94</f>
        <v>0</v>
      </c>
      <c r="N31" s="143">
        <f>'Fixed inputs'!N94</f>
        <v>0</v>
      </c>
      <c r="O31" s="143">
        <f>'Fixed inputs'!O94</f>
        <v>0</v>
      </c>
      <c r="P31" s="143">
        <f>'Fixed inputs'!P94</f>
        <v>0</v>
      </c>
      <c r="Q31" s="143">
        <f>'Fixed inputs'!Q94</f>
        <v>0</v>
      </c>
      <c r="R31" s="79"/>
      <c r="S31" s="79"/>
      <c r="T31" s="79"/>
      <c r="U31" s="79"/>
      <c r="V31" s="79"/>
      <c r="W31" s="79"/>
      <c r="X31" s="79"/>
      <c r="Y31" s="79"/>
    </row>
    <row r="32" spans="2:27" x14ac:dyDescent="0.25">
      <c r="D32" s="86"/>
      <c r="F32" s="293" t="s">
        <v>48</v>
      </c>
      <c r="G32" s="293" t="s">
        <v>94</v>
      </c>
      <c r="J32" s="143">
        <f>'Fixed inputs'!J95</f>
        <v>0</v>
      </c>
      <c r="K32" s="143">
        <f>'Fixed inputs'!K95</f>
        <v>0</v>
      </c>
      <c r="L32" s="143">
        <f>'Fixed inputs'!L95</f>
        <v>0</v>
      </c>
      <c r="M32" s="143">
        <f>'Fixed inputs'!M95</f>
        <v>0</v>
      </c>
      <c r="N32" s="143">
        <f>'Fixed inputs'!N95</f>
        <v>0.2</v>
      </c>
      <c r="O32" s="143">
        <f>'Fixed inputs'!O95</f>
        <v>1</v>
      </c>
      <c r="P32" s="143">
        <f>'Fixed inputs'!P95</f>
        <v>1</v>
      </c>
      <c r="Q32" s="143">
        <f>'Fixed inputs'!Q95</f>
        <v>0</v>
      </c>
      <c r="R32" s="79"/>
      <c r="S32" s="79"/>
      <c r="T32" s="79"/>
      <c r="U32" s="79"/>
      <c r="V32" s="79"/>
      <c r="W32" s="79"/>
      <c r="X32" s="79"/>
      <c r="Y32" s="79"/>
    </row>
    <row r="33" spans="4:27" x14ac:dyDescent="0.25">
      <c r="D33" s="86"/>
      <c r="F33" s="293" t="s">
        <v>49</v>
      </c>
      <c r="G33" s="293" t="s">
        <v>94</v>
      </c>
      <c r="J33" s="143">
        <f>'Fixed inputs'!J96</f>
        <v>0</v>
      </c>
      <c r="K33" s="143">
        <f>'Fixed inputs'!K96</f>
        <v>0</v>
      </c>
      <c r="L33" s="143">
        <f>'Fixed inputs'!L96</f>
        <v>0</v>
      </c>
      <c r="M33" s="143">
        <f>'Fixed inputs'!M96</f>
        <v>0</v>
      </c>
      <c r="N33" s="143">
        <f>'Fixed inputs'!N96</f>
        <v>1</v>
      </c>
      <c r="O33" s="143">
        <f>'Fixed inputs'!O96</f>
        <v>1</v>
      </c>
      <c r="P33" s="143">
        <f>'Fixed inputs'!P96</f>
        <v>0</v>
      </c>
      <c r="Q33" s="143">
        <f>'Fixed inputs'!Q96</f>
        <v>0</v>
      </c>
      <c r="R33" s="79"/>
      <c r="S33" s="79"/>
      <c r="T33" s="79"/>
      <c r="U33" s="79"/>
      <c r="V33" s="79"/>
      <c r="W33" s="79"/>
      <c r="X33" s="79"/>
      <c r="Y33" s="79"/>
    </row>
    <row r="34" spans="4:27" x14ac:dyDescent="0.25">
      <c r="D34" s="86"/>
      <c r="F34" s="293" t="s">
        <v>50</v>
      </c>
      <c r="G34" s="293" t="s">
        <v>94</v>
      </c>
      <c r="J34" s="143">
        <f>'Fixed inputs'!J97</f>
        <v>1</v>
      </c>
      <c r="K34" s="143">
        <f>'Fixed inputs'!K97</f>
        <v>1</v>
      </c>
      <c r="L34" s="143">
        <f>'Fixed inputs'!L97</f>
        <v>1</v>
      </c>
      <c r="M34" s="143">
        <f>'Fixed inputs'!M97</f>
        <v>1</v>
      </c>
      <c r="N34" s="143">
        <f>'Fixed inputs'!N97</f>
        <v>1</v>
      </c>
      <c r="O34" s="143">
        <f>'Fixed inputs'!O97</f>
        <v>0</v>
      </c>
      <c r="P34" s="143">
        <f>'Fixed inputs'!P97</f>
        <v>0</v>
      </c>
      <c r="Q34" s="143">
        <f>'Fixed inputs'!Q97</f>
        <v>0</v>
      </c>
      <c r="R34" s="79"/>
      <c r="S34" s="79"/>
      <c r="T34" s="79"/>
      <c r="U34" s="79"/>
      <c r="V34" s="79"/>
      <c r="W34" s="79"/>
      <c r="X34" s="79"/>
      <c r="Y34" s="79"/>
    </row>
    <row r="35" spans="4:27" x14ac:dyDescent="0.25">
      <c r="D35" s="86"/>
      <c r="F35" s="293" t="s">
        <v>124</v>
      </c>
      <c r="G35" s="293" t="s">
        <v>94</v>
      </c>
      <c r="J35" s="79"/>
      <c r="K35" s="79"/>
      <c r="L35" s="79"/>
      <c r="M35" s="79"/>
      <c r="N35" s="79"/>
      <c r="O35" s="79"/>
      <c r="P35" s="79"/>
      <c r="Q35" s="79"/>
      <c r="R35" s="79"/>
      <c r="S35" s="79"/>
      <c r="T35" s="79"/>
      <c r="U35" s="79"/>
      <c r="V35" s="79"/>
      <c r="W35" s="79"/>
      <c r="X35" s="79"/>
      <c r="Y35" s="79"/>
    </row>
    <row r="36" spans="4:27" x14ac:dyDescent="0.25">
      <c r="D36" s="86"/>
      <c r="F36" s="93" t="s">
        <v>123</v>
      </c>
      <c r="G36" s="93" t="s">
        <v>94</v>
      </c>
      <c r="H36" s="93"/>
      <c r="I36" s="93"/>
      <c r="J36" s="102"/>
      <c r="K36" s="102"/>
      <c r="L36" s="102"/>
      <c r="M36" s="102"/>
      <c r="N36" s="102"/>
      <c r="O36" s="102"/>
      <c r="P36" s="102"/>
      <c r="Q36" s="102"/>
      <c r="R36" s="102"/>
      <c r="S36" s="102"/>
      <c r="T36" s="102"/>
      <c r="U36" s="102"/>
      <c r="V36" s="102"/>
      <c r="W36" s="102"/>
      <c r="X36" s="102"/>
      <c r="Y36" s="102"/>
    </row>
    <row r="37" spans="4:27" x14ac:dyDescent="0.25">
      <c r="D37" s="86"/>
      <c r="F37" s="98"/>
    </row>
    <row r="38" spans="4:27" x14ac:dyDescent="0.25">
      <c r="D38" s="293"/>
      <c r="E38" s="96" t="s">
        <v>538</v>
      </c>
      <c r="F38" s="98"/>
    </row>
    <row r="39" spans="4:27" x14ac:dyDescent="0.25">
      <c r="D39" s="86"/>
      <c r="E39" s="293"/>
      <c r="F39" s="14" t="s">
        <v>538</v>
      </c>
      <c r="G39" s="14" t="s">
        <v>94</v>
      </c>
      <c r="H39" s="143">
        <f>'Inputs by network level'!P20</f>
        <v>0</v>
      </c>
    </row>
    <row r="40" spans="4:27" x14ac:dyDescent="0.25">
      <c r="D40" s="86"/>
      <c r="F40" s="98"/>
    </row>
    <row r="41" spans="4:27" x14ac:dyDescent="0.25">
      <c r="D41" s="293"/>
      <c r="E41" s="96" t="s">
        <v>517</v>
      </c>
      <c r="F41" s="96"/>
    </row>
    <row r="42" spans="4:27" x14ac:dyDescent="0.25">
      <c r="D42" s="293"/>
      <c r="E42" s="82" t="s">
        <v>708</v>
      </c>
    </row>
    <row r="43" spans="4:27" x14ac:dyDescent="0.25">
      <c r="D43" s="86"/>
      <c r="F43" s="91" t="s">
        <v>267</v>
      </c>
      <c r="G43" s="91" t="s">
        <v>94</v>
      </c>
      <c r="H43" s="91"/>
      <c r="I43" s="91"/>
      <c r="J43" s="106"/>
      <c r="K43" s="106"/>
      <c r="L43" s="106"/>
      <c r="M43" s="106"/>
      <c r="N43" s="106"/>
      <c r="O43" s="106"/>
      <c r="P43" s="106"/>
      <c r="Q43" s="106"/>
      <c r="R43" s="106"/>
      <c r="S43" s="106"/>
      <c r="T43" s="106"/>
      <c r="U43" s="106"/>
      <c r="V43" s="106"/>
      <c r="W43" s="106"/>
      <c r="X43" s="106"/>
      <c r="Y43" s="106"/>
    </row>
    <row r="44" spans="4:27" x14ac:dyDescent="0.25">
      <c r="D44" s="86"/>
      <c r="F44" s="293" t="s">
        <v>43</v>
      </c>
      <c r="G44" s="293" t="s">
        <v>94</v>
      </c>
      <c r="J44" s="79"/>
      <c r="K44" s="79"/>
      <c r="L44" s="79"/>
      <c r="M44" s="79"/>
      <c r="N44" s="79"/>
      <c r="O44" s="79"/>
      <c r="P44" s="79"/>
      <c r="Q44" s="79"/>
      <c r="R44" s="79"/>
      <c r="S44" s="79"/>
      <c r="T44" s="79"/>
      <c r="U44" s="79"/>
      <c r="V44" s="79"/>
      <c r="W44" s="79"/>
      <c r="X44" s="79"/>
      <c r="Y44" s="79"/>
    </row>
    <row r="45" spans="4:27" x14ac:dyDescent="0.25">
      <c r="D45" s="86"/>
      <c r="F45" s="73" t="s">
        <v>44</v>
      </c>
      <c r="G45" s="73" t="s">
        <v>94</v>
      </c>
      <c r="H45" s="73"/>
      <c r="I45" s="73" t="s">
        <v>359</v>
      </c>
      <c r="J45" s="118">
        <f>IF($H$39 = 0, J27, J29 * $H$39)</f>
        <v>0</v>
      </c>
      <c r="K45" s="118">
        <f t="shared" ref="K45:Q45" si="0">IF($H$39 = 0, K27, K29 * $H$39)</f>
        <v>0</v>
      </c>
      <c r="L45" s="118">
        <f t="shared" si="0"/>
        <v>0</v>
      </c>
      <c r="M45" s="118">
        <f t="shared" si="0"/>
        <v>0</v>
      </c>
      <c r="N45" s="118">
        <f t="shared" si="0"/>
        <v>0</v>
      </c>
      <c r="O45" s="118">
        <f t="shared" si="0"/>
        <v>0</v>
      </c>
      <c r="P45" s="118">
        <f t="shared" si="0"/>
        <v>0</v>
      </c>
      <c r="Q45" s="118">
        <f t="shared" si="0"/>
        <v>0</v>
      </c>
      <c r="R45" s="62"/>
      <c r="S45" s="62"/>
      <c r="T45" s="62"/>
      <c r="U45" s="62"/>
      <c r="V45" s="62"/>
      <c r="W45" s="62"/>
      <c r="X45" s="62"/>
      <c r="Y45" s="62"/>
      <c r="AA45" s="293" t="s">
        <v>709</v>
      </c>
    </row>
    <row r="46" spans="4:27" x14ac:dyDescent="0.25">
      <c r="D46" s="86"/>
      <c r="F46" s="293" t="s">
        <v>45</v>
      </c>
      <c r="G46" s="293" t="s">
        <v>94</v>
      </c>
      <c r="J46" s="17">
        <f t="shared" ref="J46:Q48" si="1">J28</f>
        <v>0</v>
      </c>
      <c r="K46" s="17">
        <f t="shared" si="1"/>
        <v>0</v>
      </c>
      <c r="L46" s="17">
        <f t="shared" si="1"/>
        <v>0</v>
      </c>
      <c r="M46" s="17">
        <f t="shared" si="1"/>
        <v>0</v>
      </c>
      <c r="N46" s="17">
        <f t="shared" si="1"/>
        <v>0</v>
      </c>
      <c r="O46" s="17">
        <f t="shared" si="1"/>
        <v>0</v>
      </c>
      <c r="P46" s="17">
        <f t="shared" si="1"/>
        <v>0</v>
      </c>
      <c r="Q46" s="17">
        <f t="shared" si="1"/>
        <v>0</v>
      </c>
      <c r="R46" s="79"/>
      <c r="S46" s="79"/>
      <c r="T46" s="79"/>
      <c r="U46" s="79"/>
      <c r="V46" s="79"/>
      <c r="W46" s="79"/>
      <c r="X46" s="79"/>
      <c r="Y46" s="79"/>
    </row>
    <row r="47" spans="4:27" x14ac:dyDescent="0.25">
      <c r="D47" s="86"/>
      <c r="F47" s="293" t="s">
        <v>46</v>
      </c>
      <c r="G47" s="293" t="s">
        <v>94</v>
      </c>
      <c r="J47" s="17">
        <f t="shared" si="1"/>
        <v>0</v>
      </c>
      <c r="K47" s="17">
        <f t="shared" si="1"/>
        <v>0</v>
      </c>
      <c r="L47" s="17">
        <f t="shared" si="1"/>
        <v>0</v>
      </c>
      <c r="M47" s="17">
        <f t="shared" si="1"/>
        <v>0</v>
      </c>
      <c r="N47" s="17">
        <f t="shared" si="1"/>
        <v>0</v>
      </c>
      <c r="O47" s="17">
        <f t="shared" si="1"/>
        <v>0</v>
      </c>
      <c r="P47" s="17">
        <f t="shared" si="1"/>
        <v>0.2</v>
      </c>
      <c r="Q47" s="17">
        <f t="shared" si="1"/>
        <v>0</v>
      </c>
      <c r="R47" s="79"/>
      <c r="S47" s="79"/>
      <c r="T47" s="79"/>
      <c r="U47" s="79"/>
      <c r="V47" s="79"/>
      <c r="W47" s="79"/>
      <c r="X47" s="79"/>
      <c r="Y47" s="79"/>
    </row>
    <row r="48" spans="4:27" x14ac:dyDescent="0.25">
      <c r="D48" s="86"/>
      <c r="F48" s="293" t="s">
        <v>47</v>
      </c>
      <c r="G48" s="293" t="s">
        <v>94</v>
      </c>
      <c r="J48" s="17">
        <f t="shared" si="1"/>
        <v>0</v>
      </c>
      <c r="K48" s="17">
        <f t="shared" si="1"/>
        <v>0</v>
      </c>
      <c r="L48" s="17">
        <f t="shared" si="1"/>
        <v>0</v>
      </c>
      <c r="M48" s="17">
        <f t="shared" si="1"/>
        <v>0</v>
      </c>
      <c r="N48" s="17">
        <f t="shared" si="1"/>
        <v>0</v>
      </c>
      <c r="O48" s="17">
        <f t="shared" si="1"/>
        <v>0</v>
      </c>
      <c r="P48" s="17">
        <f t="shared" si="1"/>
        <v>1</v>
      </c>
      <c r="Q48" s="17">
        <f t="shared" si="1"/>
        <v>0</v>
      </c>
      <c r="R48" s="79"/>
      <c r="S48" s="79"/>
      <c r="T48" s="79"/>
      <c r="U48" s="79"/>
      <c r="V48" s="79"/>
      <c r="W48" s="79"/>
      <c r="X48" s="79"/>
      <c r="Y48" s="79"/>
    </row>
    <row r="49" spans="2:27" x14ac:dyDescent="0.25">
      <c r="D49" s="86"/>
      <c r="F49" s="73" t="s">
        <v>51</v>
      </c>
      <c r="G49" s="73" t="s">
        <v>94</v>
      </c>
      <c r="H49" s="73"/>
      <c r="I49" s="73" t="s">
        <v>359</v>
      </c>
      <c r="J49" s="118">
        <f t="shared" ref="J49:Q49" si="2">J30</f>
        <v>0</v>
      </c>
      <c r="K49" s="118">
        <f t="shared" si="2"/>
        <v>0</v>
      </c>
      <c r="L49" s="118">
        <f t="shared" si="2"/>
        <v>0</v>
      </c>
      <c r="M49" s="118">
        <f t="shared" si="2"/>
        <v>0</v>
      </c>
      <c r="N49" s="118">
        <f t="shared" si="2"/>
        <v>0</v>
      </c>
      <c r="O49" s="118">
        <f t="shared" si="2"/>
        <v>0</v>
      </c>
      <c r="P49" s="118">
        <f t="shared" si="2"/>
        <v>1</v>
      </c>
      <c r="Q49" s="118">
        <f t="shared" si="2"/>
        <v>0</v>
      </c>
      <c r="R49" s="62"/>
      <c r="S49" s="62"/>
      <c r="T49" s="62"/>
      <c r="U49" s="62"/>
      <c r="V49" s="62"/>
      <c r="W49" s="62"/>
      <c r="X49" s="62"/>
      <c r="Y49" s="62"/>
      <c r="AA49" s="293" t="s">
        <v>710</v>
      </c>
    </row>
    <row r="50" spans="2:27" x14ac:dyDescent="0.25">
      <c r="D50" s="86"/>
      <c r="F50" s="293" t="s">
        <v>48</v>
      </c>
      <c r="G50" s="293" t="s">
        <v>94</v>
      </c>
      <c r="J50" s="17">
        <f t="shared" ref="J50:Q52" si="3">J32</f>
        <v>0</v>
      </c>
      <c r="K50" s="17">
        <f t="shared" si="3"/>
        <v>0</v>
      </c>
      <c r="L50" s="17">
        <f t="shared" si="3"/>
        <v>0</v>
      </c>
      <c r="M50" s="17">
        <f t="shared" si="3"/>
        <v>0</v>
      </c>
      <c r="N50" s="17">
        <f t="shared" si="3"/>
        <v>0.2</v>
      </c>
      <c r="O50" s="17">
        <f t="shared" si="3"/>
        <v>1</v>
      </c>
      <c r="P50" s="17">
        <f t="shared" si="3"/>
        <v>1</v>
      </c>
      <c r="Q50" s="17">
        <f t="shared" si="3"/>
        <v>0</v>
      </c>
      <c r="R50" s="79"/>
      <c r="S50" s="79"/>
      <c r="T50" s="79"/>
      <c r="U50" s="79"/>
      <c r="V50" s="79"/>
      <c r="W50" s="79"/>
      <c r="X50" s="79"/>
      <c r="Y50" s="79"/>
    </row>
    <row r="51" spans="2:27" x14ac:dyDescent="0.25">
      <c r="D51" s="86"/>
      <c r="F51" s="293" t="s">
        <v>49</v>
      </c>
      <c r="G51" s="293" t="s">
        <v>94</v>
      </c>
      <c r="J51" s="17">
        <f t="shared" si="3"/>
        <v>0</v>
      </c>
      <c r="K51" s="17">
        <f t="shared" si="3"/>
        <v>0</v>
      </c>
      <c r="L51" s="17">
        <f t="shared" si="3"/>
        <v>0</v>
      </c>
      <c r="M51" s="17">
        <f t="shared" si="3"/>
        <v>0</v>
      </c>
      <c r="N51" s="17">
        <f t="shared" si="3"/>
        <v>1</v>
      </c>
      <c r="O51" s="17">
        <f t="shared" si="3"/>
        <v>1</v>
      </c>
      <c r="P51" s="17">
        <f t="shared" si="3"/>
        <v>0</v>
      </c>
      <c r="Q51" s="17">
        <f t="shared" si="3"/>
        <v>0</v>
      </c>
      <c r="R51" s="79"/>
      <c r="S51" s="79"/>
      <c r="T51" s="79"/>
      <c r="U51" s="79"/>
      <c r="V51" s="79"/>
      <c r="W51" s="79"/>
      <c r="X51" s="79"/>
      <c r="Y51" s="79"/>
    </row>
    <row r="52" spans="2:27" x14ac:dyDescent="0.25">
      <c r="D52" s="86"/>
      <c r="F52" s="293" t="s">
        <v>50</v>
      </c>
      <c r="G52" s="293" t="s">
        <v>94</v>
      </c>
      <c r="J52" s="17">
        <f t="shared" si="3"/>
        <v>1</v>
      </c>
      <c r="K52" s="17">
        <f t="shared" si="3"/>
        <v>1</v>
      </c>
      <c r="L52" s="17">
        <f t="shared" si="3"/>
        <v>1</v>
      </c>
      <c r="M52" s="17">
        <f t="shared" si="3"/>
        <v>1</v>
      </c>
      <c r="N52" s="17">
        <f t="shared" si="3"/>
        <v>1</v>
      </c>
      <c r="O52" s="17">
        <f t="shared" si="3"/>
        <v>0</v>
      </c>
      <c r="P52" s="17">
        <f t="shared" si="3"/>
        <v>0</v>
      </c>
      <c r="Q52" s="17">
        <f t="shared" si="3"/>
        <v>0</v>
      </c>
      <c r="R52" s="79"/>
      <c r="S52" s="79"/>
      <c r="T52" s="79"/>
      <c r="U52" s="79"/>
      <c r="V52" s="79"/>
      <c r="W52" s="79"/>
      <c r="X52" s="79"/>
      <c r="Y52" s="79"/>
    </row>
    <row r="53" spans="2:27" x14ac:dyDescent="0.25">
      <c r="D53" s="86"/>
      <c r="F53" s="293" t="s">
        <v>124</v>
      </c>
      <c r="G53" s="293" t="s">
        <v>94</v>
      </c>
      <c r="J53" s="79"/>
      <c r="K53" s="79"/>
      <c r="L53" s="79"/>
      <c r="M53" s="79"/>
      <c r="N53" s="79"/>
      <c r="O53" s="79"/>
      <c r="P53" s="79"/>
      <c r="Q53" s="79"/>
      <c r="R53" s="79"/>
      <c r="S53" s="79"/>
      <c r="T53" s="79"/>
      <c r="U53" s="79"/>
      <c r="V53" s="79"/>
      <c r="W53" s="79"/>
      <c r="X53" s="79"/>
      <c r="Y53" s="79"/>
    </row>
    <row r="54" spans="2:27" x14ac:dyDescent="0.25">
      <c r="D54" s="86"/>
      <c r="F54" s="93" t="s">
        <v>123</v>
      </c>
      <c r="G54" s="93" t="s">
        <v>94</v>
      </c>
      <c r="H54" s="93"/>
      <c r="I54" s="93"/>
      <c r="J54" s="102"/>
      <c r="K54" s="102"/>
      <c r="L54" s="102"/>
      <c r="M54" s="102"/>
      <c r="N54" s="102"/>
      <c r="O54" s="102"/>
      <c r="P54" s="102"/>
      <c r="Q54" s="102"/>
      <c r="R54" s="102"/>
      <c r="S54" s="102"/>
      <c r="T54" s="102"/>
      <c r="U54" s="102"/>
      <c r="V54" s="102"/>
      <c r="W54" s="102"/>
      <c r="X54" s="102"/>
      <c r="Y54" s="102"/>
    </row>
    <row r="55" spans="2:27" x14ac:dyDescent="0.25">
      <c r="C55" s="86"/>
    </row>
    <row r="56" spans="2:27" x14ac:dyDescent="0.25">
      <c r="B56" s="95" t="s">
        <v>109</v>
      </c>
      <c r="C56" s="95"/>
      <c r="D56" s="72"/>
      <c r="E56" s="72"/>
      <c r="F56" s="72"/>
      <c r="G56" s="72"/>
      <c r="H56" s="72"/>
      <c r="I56" s="72"/>
      <c r="J56" s="72"/>
      <c r="K56" s="72"/>
      <c r="L56" s="72"/>
      <c r="M56" s="72"/>
      <c r="N56" s="72"/>
      <c r="O56" s="72"/>
      <c r="P56" s="72"/>
      <c r="Q56" s="72"/>
      <c r="R56" s="72"/>
      <c r="S56" s="72"/>
      <c r="T56" s="72"/>
      <c r="U56" s="72"/>
      <c r="V56" s="72"/>
      <c r="W56" s="72"/>
      <c r="X56" s="72"/>
      <c r="Y56" s="72"/>
      <c r="Z56" s="72"/>
      <c r="AA56" s="72"/>
    </row>
    <row r="57" spans="2:27" x14ac:dyDescent="0.25">
      <c r="D57" s="293"/>
      <c r="E57" s="293"/>
    </row>
    <row r="58" spans="2:27" x14ac:dyDescent="0.25">
      <c r="D58" s="293"/>
      <c r="E58" s="293" t="s">
        <v>415</v>
      </c>
      <c r="G58" s="122" t="s">
        <v>588</v>
      </c>
      <c r="H58" s="310">
        <f t="array" ref="H58">SUM(IF(ISERROR(H25:Y54), 1))</f>
        <v>0</v>
      </c>
    </row>
    <row r="59" spans="2:27" x14ac:dyDescent="0.25">
      <c r="D59" s="293"/>
      <c r="E59" s="293"/>
    </row>
    <row r="60" spans="2:27" x14ac:dyDescent="0.25">
      <c r="B60" s="95" t="s">
        <v>110</v>
      </c>
      <c r="C60" s="71"/>
      <c r="D60" s="78"/>
      <c r="E60" s="78"/>
      <c r="F60" s="71"/>
      <c r="G60" s="71"/>
      <c r="H60" s="71"/>
      <c r="I60" s="71"/>
      <c r="J60" s="71"/>
      <c r="K60" s="71"/>
      <c r="L60" s="71"/>
      <c r="M60" s="71"/>
      <c r="N60" s="71"/>
      <c r="O60" s="71"/>
      <c r="P60" s="71"/>
      <c r="Q60" s="71"/>
      <c r="R60" s="71"/>
      <c r="S60" s="71"/>
      <c r="T60" s="71"/>
      <c r="U60" s="71"/>
      <c r="V60" s="71"/>
      <c r="W60" s="71"/>
      <c r="X60" s="71"/>
      <c r="Y60" s="71"/>
      <c r="Z60" s="72"/>
      <c r="AA60" s="72"/>
    </row>
  </sheetData>
  <sheetProtection sheet="1" objects="1" formatCells="0" formatColumns="0" formatRows="0" sort="0" autoFilter="0"/>
  <conditionalFormatting sqref="A4:I4 Z4:XFD4">
    <cfRule type="expression" dxfId="180" priority="10">
      <formula>LEFT($A$4,1) &lt;&gt; "0"</formula>
    </cfRule>
  </conditionalFormatting>
  <conditionalFormatting sqref="N4:P4">
    <cfRule type="expression" dxfId="179" priority="9">
      <formula>LEFT($A$4,1) &lt;&gt; "0"</formula>
    </cfRule>
  </conditionalFormatting>
  <conditionalFormatting sqref="L4:M4">
    <cfRule type="expression" dxfId="178" priority="8">
      <formula>LEFT($A$4,1) &lt;&gt; "0"</formula>
    </cfRule>
  </conditionalFormatting>
  <conditionalFormatting sqref="J4:K4">
    <cfRule type="expression" dxfId="177" priority="7">
      <formula>LEFT($A$4,1) &lt;&gt; "0"</formula>
    </cfRule>
  </conditionalFormatting>
  <conditionalFormatting sqref="Q4">
    <cfRule type="expression" dxfId="176" priority="6">
      <formula>LEFT($A$4,1) &lt;&gt; "0"</formula>
    </cfRule>
  </conditionalFormatting>
  <conditionalFormatting sqref="R4:S4">
    <cfRule type="expression" dxfId="175" priority="5">
      <formula>LEFT($A$4,1) &lt;&gt; "0"</formula>
    </cfRule>
  </conditionalFormatting>
  <conditionalFormatting sqref="T4:U4">
    <cfRule type="expression" dxfId="174" priority="4">
      <formula>LEFT($A$4,1) &lt;&gt; "0"</formula>
    </cfRule>
  </conditionalFormatting>
  <conditionalFormatting sqref="V4:W4">
    <cfRule type="expression" dxfId="173" priority="3">
      <formula>LEFT($A$4,1) &lt;&gt; "0"</formula>
    </cfRule>
  </conditionalFormatting>
  <conditionalFormatting sqref="X4:Y4">
    <cfRule type="expression" dxfId="172" priority="2">
      <formula>LEFT($A$4,1) &lt;&gt; "0"</formula>
    </cfRule>
  </conditionalFormatting>
  <conditionalFormatting sqref="H58">
    <cfRule type="cellIs" dxfId="171" priority="1" operator="greaterThan">
      <formula>0</formula>
    </cfRule>
  </conditionalFormatting>
  <hyperlinks>
    <hyperlink ref="B5:F5" location="'Model map'!A1" display="Click here to return to model map" xr:uid="{321024D0-FF97-4A01-992A-C59FA7C9402B}"/>
  </hyperlinks>
  <pageMargins left="0.7" right="0.7" top="0.75" bottom="0.75" header="0.3" footer="0.3"/>
  <pageSetup paperSize="9" scale="32" fitToHeight="0" orientation="portrait" r:id="rId1"/>
  <headerFooter>
    <oddHeader>&amp;L&amp;A&amp;C&amp;R&amp;P of &amp;N</oddHeader>
    <oddFooter>&amp;F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EB9101-4304-45AC-BE91-F7C276DF99D6}">
  <sheetPr codeName="Sheet34">
    <tabColor theme="4" tint="0.59999389629810485"/>
    <pageSetUpPr fitToPage="1"/>
  </sheetPr>
  <dimension ref="A1:X185"/>
  <sheetViews>
    <sheetView showGridLines="0" zoomScale="80" zoomScaleNormal="80" workbookViewId="0">
      <pane xSplit="9" ySplit="5" topLeftCell="J6" activePane="bottomRight" state="frozen"/>
      <selection pane="topRight"/>
      <selection pane="bottomLeft"/>
      <selection pane="bottomRight"/>
    </sheetView>
  </sheetViews>
  <sheetFormatPr defaultColWidth="0" defaultRowHeight="15" x14ac:dyDescent="0.25"/>
  <cols>
    <col min="1" max="5" width="2.5703125" style="293" customWidth="1"/>
    <col min="6" max="6" width="59.5703125" style="293" customWidth="1"/>
    <col min="7" max="8" width="20.5703125" style="293" customWidth="1"/>
    <col min="9" max="9" width="2.42578125" style="293" customWidth="1"/>
    <col min="10" max="21" width="17" style="293" customWidth="1"/>
    <col min="22" max="22" width="2.42578125" style="293" customWidth="1"/>
    <col min="23" max="23" width="50.5703125" style="293" customWidth="1"/>
    <col min="24" max="24" width="2.42578125" style="293" customWidth="1"/>
    <col min="25" max="16384" width="8.5703125" style="293" hidden="1"/>
  </cols>
  <sheetData>
    <row r="1" spans="1:23" s="10" customFormat="1" x14ac:dyDescent="0.25">
      <c r="A1" s="10" t="str">
        <f ca="1">MID(CELL("filename",A1),FIND("]",CELL("filename",A1))+1,255)</f>
        <v>Load &amp; loss characteristics</v>
      </c>
    </row>
    <row r="2" spans="1:23" s="10" customFormat="1" x14ac:dyDescent="0.25">
      <c r="A2" s="10" t="str">
        <f>Cover!D21&amp;" - "&amp;Cover!D23</f>
        <v>Southern Electric Power Distribution plc - Final</v>
      </c>
    </row>
    <row r="3" spans="1:23" s="46" customFormat="1" x14ac:dyDescent="0.25">
      <c r="A3" s="46" t="str">
        <f>Cover!D2&amp;" - "&amp;Cover!D8&amp;" v"&amp;Cover!D10&amp;" - "&amp;Cover!D19</f>
        <v>ARP model - Release for charge setting v7 - 2023/24</v>
      </c>
    </row>
    <row r="4" spans="1:23" x14ac:dyDescent="0.25">
      <c r="A4" s="366" t="str">
        <f>H183 &amp; IF(H183 = 1, " issue", " issues") &amp;" identified in checks on this sheet"</f>
        <v>0 issues identified in checks on this sheet</v>
      </c>
      <c r="B4" s="108"/>
      <c r="C4" s="108"/>
      <c r="D4" s="108"/>
      <c r="E4" s="108"/>
      <c r="F4" s="108"/>
      <c r="G4" s="108"/>
      <c r="H4" s="111"/>
      <c r="I4" s="111"/>
      <c r="J4" s="108"/>
    </row>
    <row r="5" spans="1:23" x14ac:dyDescent="0.25">
      <c r="B5" s="367" t="s">
        <v>451</v>
      </c>
      <c r="C5" s="368"/>
      <c r="D5" s="368"/>
      <c r="E5" s="368"/>
      <c r="F5" s="368"/>
      <c r="G5" s="1" t="s">
        <v>91</v>
      </c>
      <c r="H5" s="2" t="s">
        <v>92</v>
      </c>
      <c r="I5" s="4"/>
      <c r="J5" s="383" t="s">
        <v>267</v>
      </c>
      <c r="K5" s="383" t="s">
        <v>43</v>
      </c>
      <c r="L5" s="383" t="s">
        <v>44</v>
      </c>
      <c r="M5" s="383" t="s">
        <v>45</v>
      </c>
      <c r="N5" s="383" t="s">
        <v>46</v>
      </c>
      <c r="O5" s="383" t="s">
        <v>47</v>
      </c>
      <c r="P5" s="383" t="s">
        <v>51</v>
      </c>
      <c r="Q5" s="383" t="s">
        <v>48</v>
      </c>
      <c r="R5" s="383" t="s">
        <v>49</v>
      </c>
      <c r="S5" s="383" t="s">
        <v>50</v>
      </c>
      <c r="T5" s="383" t="s">
        <v>124</v>
      </c>
      <c r="U5" s="383" t="s">
        <v>123</v>
      </c>
      <c r="W5" s="368" t="s">
        <v>93</v>
      </c>
    </row>
    <row r="6" spans="1:23" x14ac:dyDescent="0.25">
      <c r="H6" s="88"/>
      <c r="I6" s="82"/>
      <c r="J6" s="88"/>
      <c r="K6" s="88"/>
      <c r="L6" s="88"/>
      <c r="M6" s="88"/>
      <c r="N6" s="88"/>
      <c r="O6" s="88"/>
      <c r="P6" s="88"/>
      <c r="Q6" s="88"/>
      <c r="R6" s="88"/>
      <c r="S6" s="88"/>
      <c r="T6" s="88"/>
      <c r="U6" s="88"/>
      <c r="W6" s="88"/>
    </row>
    <row r="7" spans="1:23" x14ac:dyDescent="0.25">
      <c r="B7" s="95" t="s">
        <v>90</v>
      </c>
      <c r="C7" s="95"/>
      <c r="D7" s="95"/>
      <c r="E7" s="95"/>
      <c r="F7" s="95"/>
      <c r="G7" s="95"/>
      <c r="H7" s="95"/>
      <c r="I7" s="95"/>
      <c r="J7" s="95"/>
      <c r="K7" s="95"/>
      <c r="L7" s="95"/>
      <c r="M7" s="95"/>
      <c r="N7" s="95"/>
      <c r="O7" s="95"/>
      <c r="P7" s="95"/>
      <c r="Q7" s="95"/>
      <c r="R7" s="95"/>
      <c r="S7" s="95"/>
      <c r="T7" s="95"/>
      <c r="U7" s="95"/>
      <c r="V7" s="95"/>
      <c r="W7" s="95"/>
    </row>
    <row r="9" spans="1:23" x14ac:dyDescent="0.25">
      <c r="C9" s="82" t="s">
        <v>328</v>
      </c>
    </row>
    <row r="10" spans="1:23" x14ac:dyDescent="0.25">
      <c r="C10" s="82" t="s">
        <v>329</v>
      </c>
    </row>
    <row r="11" spans="1:23" x14ac:dyDescent="0.25">
      <c r="C11" s="82" t="s">
        <v>679</v>
      </c>
    </row>
    <row r="13" spans="1:23" x14ac:dyDescent="0.25">
      <c r="B13" s="95" t="s">
        <v>672</v>
      </c>
      <c r="C13" s="95"/>
      <c r="D13" s="95"/>
      <c r="E13" s="95"/>
      <c r="F13" s="95"/>
      <c r="G13" s="95"/>
      <c r="H13" s="95"/>
      <c r="I13" s="95"/>
      <c r="J13" s="95"/>
      <c r="K13" s="95"/>
      <c r="L13" s="95"/>
      <c r="M13" s="95"/>
      <c r="N13" s="95"/>
      <c r="O13" s="95"/>
      <c r="P13" s="95"/>
      <c r="Q13" s="95"/>
      <c r="R13" s="95"/>
      <c r="S13" s="95"/>
      <c r="T13" s="95"/>
      <c r="U13" s="95"/>
      <c r="V13" s="95"/>
      <c r="W13" s="95"/>
    </row>
    <row r="14" spans="1:23" x14ac:dyDescent="0.25">
      <c r="H14" s="88"/>
      <c r="I14" s="88"/>
      <c r="J14" s="88"/>
      <c r="K14" s="88"/>
      <c r="L14" s="88"/>
      <c r="M14" s="88"/>
      <c r="N14" s="88"/>
      <c r="O14" s="88"/>
      <c r="P14" s="88"/>
      <c r="Q14" s="88"/>
      <c r="R14" s="88"/>
      <c r="S14" s="88"/>
      <c r="T14" s="88"/>
      <c r="U14" s="88"/>
      <c r="W14" s="88"/>
    </row>
    <row r="15" spans="1:23" x14ac:dyDescent="0.25">
      <c r="C15" s="82" t="s">
        <v>424</v>
      </c>
      <c r="H15" s="88"/>
      <c r="I15" s="88"/>
      <c r="J15" s="88"/>
      <c r="K15" s="88"/>
      <c r="L15" s="88"/>
      <c r="M15" s="88"/>
      <c r="N15" s="88"/>
      <c r="O15" s="88"/>
      <c r="P15" s="88"/>
      <c r="Q15" s="88"/>
      <c r="R15" s="88"/>
      <c r="S15" s="88"/>
      <c r="T15" s="88"/>
      <c r="U15" s="88"/>
      <c r="W15" s="88"/>
    </row>
    <row r="16" spans="1:23" x14ac:dyDescent="0.25">
      <c r="H16" s="88"/>
      <c r="I16" s="88"/>
      <c r="J16" s="88"/>
      <c r="K16" s="88"/>
      <c r="L16" s="88"/>
      <c r="M16" s="88"/>
      <c r="N16" s="88"/>
      <c r="O16" s="88"/>
      <c r="P16" s="88"/>
      <c r="Q16" s="88"/>
      <c r="R16" s="88"/>
      <c r="S16" s="88"/>
      <c r="T16" s="88"/>
      <c r="U16" s="88"/>
      <c r="W16" s="88"/>
    </row>
    <row r="17" spans="2:23" x14ac:dyDescent="0.25">
      <c r="C17" s="7" t="str">
        <f ca="1">INDEX('Version control'!$H$35:$H$61,MATCH($A$1,'Version control'!$F$35:$F$61,0),1)&amp;"-A: Load characteristics"</f>
        <v>Section 505-A: Load characteristics</v>
      </c>
      <c r="D17" s="7"/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</row>
    <row r="18" spans="2:23" x14ac:dyDescent="0.25">
      <c r="H18" s="88"/>
      <c r="I18" s="88"/>
      <c r="J18" s="88"/>
      <c r="K18" s="88"/>
      <c r="L18" s="88"/>
      <c r="M18" s="88"/>
      <c r="N18" s="88"/>
      <c r="O18" s="88"/>
      <c r="P18" s="88"/>
      <c r="Q18" s="88"/>
      <c r="R18" s="88"/>
      <c r="S18" s="88"/>
      <c r="T18" s="88"/>
      <c r="U18" s="88"/>
      <c r="W18" s="88"/>
    </row>
    <row r="19" spans="2:23" x14ac:dyDescent="0.25">
      <c r="E19" s="293" t="s">
        <v>317</v>
      </c>
      <c r="F19" s="87"/>
      <c r="G19" s="108" t="s">
        <v>94</v>
      </c>
      <c r="H19" s="88"/>
      <c r="I19" s="88"/>
      <c r="J19" s="381"/>
      <c r="K19" s="384">
        <f>'Inputs by network level'!K18</f>
        <v>4.949939187329E-2</v>
      </c>
      <c r="L19" s="384">
        <f>'Inputs by network level'!L18</f>
        <v>3.3738252973129823E-2</v>
      </c>
      <c r="M19" s="381"/>
      <c r="N19" s="384">
        <f>'Inputs by network level'!N18</f>
        <v>8.0109547383761193E-2</v>
      </c>
      <c r="O19" s="381"/>
      <c r="P19" s="381"/>
      <c r="Q19" s="384">
        <f>'Inputs by network level'!Q18</f>
        <v>0.37</v>
      </c>
      <c r="R19" s="381"/>
      <c r="S19" s="381"/>
      <c r="T19" s="79"/>
      <c r="U19" s="79"/>
    </row>
    <row r="20" spans="2:23" x14ac:dyDescent="0.25">
      <c r="E20" s="293" t="s">
        <v>70</v>
      </c>
      <c r="F20" s="87"/>
      <c r="G20" s="108" t="s">
        <v>94</v>
      </c>
      <c r="H20" s="88"/>
      <c r="I20" s="88"/>
      <c r="J20" s="385">
        <f t="shared" ref="J20" si="0">IF(I20 = "", 1, I20 / (1 + J19))</f>
        <v>1</v>
      </c>
      <c r="K20" s="385">
        <f>IF(J20 = "", 1, J20 / (1 + K19))</f>
        <v>0.9528352352973386</v>
      </c>
      <c r="L20" s="385">
        <f t="shared" ref="L20:S20" si="1">IF(K20 = "", 1, K20 / (1 + L19))</f>
        <v>0.92173742488187271</v>
      </c>
      <c r="M20" s="385">
        <f t="shared" si="1"/>
        <v>0.92173742488187271</v>
      </c>
      <c r="N20" s="385">
        <f t="shared" si="1"/>
        <v>0.85337401850997696</v>
      </c>
      <c r="O20" s="385">
        <f t="shared" si="1"/>
        <v>0.85337401850997696</v>
      </c>
      <c r="P20" s="385">
        <f t="shared" si="1"/>
        <v>0.85337401850997696</v>
      </c>
      <c r="Q20" s="385">
        <f t="shared" si="1"/>
        <v>0.62290074343793933</v>
      </c>
      <c r="R20" s="385">
        <f t="shared" si="1"/>
        <v>0.62290074343793933</v>
      </c>
      <c r="S20" s="385">
        <f t="shared" si="1"/>
        <v>0.62290074343793933</v>
      </c>
      <c r="T20" s="79"/>
      <c r="U20" s="79"/>
    </row>
    <row r="21" spans="2:23" x14ac:dyDescent="0.25">
      <c r="E21" s="293" t="s">
        <v>318</v>
      </c>
      <c r="F21" s="87"/>
      <c r="G21" s="108" t="s">
        <v>94</v>
      </c>
      <c r="H21" s="88"/>
      <c r="I21" s="88"/>
      <c r="J21" s="385">
        <f>1 / J20 - 1</f>
        <v>0</v>
      </c>
      <c r="K21" s="385">
        <f t="shared" ref="K21:S21" si="2">1 / K20 - 1</f>
        <v>4.949939187329E-2</v>
      </c>
      <c r="L21" s="385">
        <f t="shared" si="2"/>
        <v>8.4907667851456869E-2</v>
      </c>
      <c r="M21" s="385">
        <f t="shared" si="2"/>
        <v>8.4907667851456869E-2</v>
      </c>
      <c r="N21" s="385">
        <f t="shared" si="2"/>
        <v>0.17181913007620908</v>
      </c>
      <c r="O21" s="385">
        <f t="shared" si="2"/>
        <v>0.17181913007620908</v>
      </c>
      <c r="P21" s="385">
        <f t="shared" si="2"/>
        <v>0.17181913007620908</v>
      </c>
      <c r="Q21" s="385">
        <f t="shared" si="2"/>
        <v>0.60539220820440676</v>
      </c>
      <c r="R21" s="385">
        <f t="shared" si="2"/>
        <v>0.60539220820440676</v>
      </c>
      <c r="S21" s="385">
        <f t="shared" si="2"/>
        <v>0.60539220820440676</v>
      </c>
      <c r="T21" s="79"/>
      <c r="U21" s="79"/>
    </row>
    <row r="22" spans="2:23" x14ac:dyDescent="0.25">
      <c r="E22" s="293" t="s">
        <v>320</v>
      </c>
      <c r="F22" s="87"/>
      <c r="G22" s="108" t="s">
        <v>94</v>
      </c>
      <c r="H22" s="88"/>
      <c r="I22" s="88"/>
      <c r="J22" s="381"/>
      <c r="K22" s="381"/>
      <c r="L22" s="381"/>
      <c r="M22" s="381"/>
      <c r="N22" s="381"/>
      <c r="O22" s="381"/>
      <c r="P22" s="385">
        <f>M21</f>
        <v>8.4907667851456869E-2</v>
      </c>
      <c r="Q22" s="381"/>
      <c r="R22" s="381"/>
      <c r="S22" s="381"/>
      <c r="T22" s="79"/>
      <c r="U22" s="79"/>
    </row>
    <row r="23" spans="2:23" x14ac:dyDescent="0.25">
      <c r="E23" s="293" t="s">
        <v>319</v>
      </c>
      <c r="F23" s="87"/>
      <c r="G23" s="108" t="s">
        <v>94</v>
      </c>
      <c r="H23" s="88"/>
      <c r="I23" s="88" t="s">
        <v>359</v>
      </c>
      <c r="J23" s="311">
        <f t="shared" ref="J23:S23" si="3">IF(J22 = "", J21, J22)</f>
        <v>0</v>
      </c>
      <c r="K23" s="311">
        <f t="shared" si="3"/>
        <v>4.949939187329E-2</v>
      </c>
      <c r="L23" s="311">
        <f t="shared" si="3"/>
        <v>8.4907667851456869E-2</v>
      </c>
      <c r="M23" s="311">
        <f t="shared" si="3"/>
        <v>8.4907667851456869E-2</v>
      </c>
      <c r="N23" s="311">
        <f t="shared" si="3"/>
        <v>0.17181913007620908</v>
      </c>
      <c r="O23" s="311">
        <f t="shared" si="3"/>
        <v>0.17181913007620908</v>
      </c>
      <c r="P23" s="311">
        <f t="shared" si="3"/>
        <v>8.4907667851456869E-2</v>
      </c>
      <c r="Q23" s="311">
        <f t="shared" si="3"/>
        <v>0.60539220820440676</v>
      </c>
      <c r="R23" s="311">
        <f t="shared" si="3"/>
        <v>0.60539220820440676</v>
      </c>
      <c r="S23" s="311">
        <f t="shared" si="3"/>
        <v>0.60539220820440676</v>
      </c>
      <c r="T23" s="79"/>
      <c r="U23" s="79"/>
      <c r="W23" s="90" t="s">
        <v>791</v>
      </c>
    </row>
    <row r="24" spans="2:23" x14ac:dyDescent="0.25">
      <c r="F24" s="87"/>
      <c r="G24" s="108"/>
      <c r="H24" s="88"/>
      <c r="I24" s="88"/>
      <c r="J24" s="385"/>
      <c r="K24" s="385"/>
      <c r="L24" s="385"/>
      <c r="M24" s="385"/>
      <c r="N24" s="385"/>
      <c r="O24" s="385"/>
      <c r="P24" s="385"/>
      <c r="Q24" s="385"/>
      <c r="R24" s="385"/>
      <c r="S24" s="385"/>
      <c r="T24" s="88"/>
      <c r="U24" s="88"/>
    </row>
    <row r="25" spans="2:23" x14ac:dyDescent="0.25">
      <c r="C25" s="7" t="str">
        <f ca="1">INDEX('Version control'!$H$35:$H$61,MATCH($A$1,'Version control'!$F$35:$F$61,0),1)&amp;"-B: Loss adjustment factors"</f>
        <v>Section 505-B: Loss adjustment factors</v>
      </c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</row>
    <row r="26" spans="2:23" x14ac:dyDescent="0.25">
      <c r="H26" s="88"/>
      <c r="I26" s="88"/>
      <c r="J26" s="88"/>
      <c r="K26" s="88"/>
      <c r="L26" s="88"/>
      <c r="M26" s="88"/>
      <c r="N26" s="88"/>
      <c r="O26" s="88"/>
      <c r="P26" s="88"/>
      <c r="Q26" s="88"/>
      <c r="R26" s="88"/>
      <c r="S26" s="88"/>
      <c r="T26" s="88"/>
      <c r="U26" s="88"/>
      <c r="W26" s="88"/>
    </row>
    <row r="27" spans="2:23" x14ac:dyDescent="0.25">
      <c r="E27" s="293" t="s">
        <v>98</v>
      </c>
      <c r="F27" s="386"/>
      <c r="G27" s="109" t="s">
        <v>427</v>
      </c>
      <c r="H27" s="88"/>
      <c r="I27" s="88"/>
      <c r="J27" s="279"/>
      <c r="K27" s="273">
        <f>'Inputs by network level'!K22</f>
        <v>1</v>
      </c>
      <c r="L27" s="273">
        <f>'Inputs by network level'!L22</f>
        <v>1.004</v>
      </c>
      <c r="M27" s="273">
        <f>'Inputs by network level'!M22</f>
        <v>1.008</v>
      </c>
      <c r="N27" s="273">
        <f>'Inputs by network level'!N22</f>
        <v>1.014</v>
      </c>
      <c r="O27" s="273">
        <f>'Inputs by network level'!O22</f>
        <v>1.02</v>
      </c>
      <c r="P27" s="279"/>
      <c r="Q27" s="273">
        <f>'Inputs by network level'!Q22</f>
        <v>1.0289999999999999</v>
      </c>
      <c r="R27" s="273">
        <f>'Inputs by network level'!R22</f>
        <v>1.044</v>
      </c>
      <c r="S27" s="273">
        <f>'Inputs by network level'!S22</f>
        <v>1.0880000000000001</v>
      </c>
      <c r="T27" s="279"/>
      <c r="U27" s="279"/>
    </row>
    <row r="28" spans="2:23" x14ac:dyDescent="0.25">
      <c r="E28" s="293" t="s">
        <v>171</v>
      </c>
      <c r="F28" s="386"/>
      <c r="G28" s="109" t="s">
        <v>427</v>
      </c>
      <c r="H28" s="88"/>
      <c r="I28" s="88"/>
      <c r="J28" s="275">
        <f>K27</f>
        <v>1</v>
      </c>
      <c r="K28" s="279"/>
      <c r="L28" s="279"/>
      <c r="M28" s="279"/>
      <c r="N28" s="279"/>
      <c r="O28" s="279"/>
      <c r="P28" s="275">
        <f>O27</f>
        <v>1.02</v>
      </c>
      <c r="Q28" s="279"/>
      <c r="R28" s="279"/>
      <c r="S28" s="279"/>
      <c r="T28" s="279"/>
      <c r="U28" s="279"/>
    </row>
    <row r="29" spans="2:23" x14ac:dyDescent="0.25">
      <c r="E29" s="293" t="s">
        <v>100</v>
      </c>
      <c r="F29" s="386"/>
      <c r="G29" s="109" t="s">
        <v>427</v>
      </c>
      <c r="H29" s="88"/>
      <c r="I29" s="88" t="s">
        <v>359</v>
      </c>
      <c r="J29" s="256">
        <f t="shared" ref="J29:S29" si="4">J27 + J28</f>
        <v>1</v>
      </c>
      <c r="K29" s="256">
        <f t="shared" si="4"/>
        <v>1</v>
      </c>
      <c r="L29" s="256">
        <f t="shared" si="4"/>
        <v>1.004</v>
      </c>
      <c r="M29" s="256">
        <f t="shared" si="4"/>
        <v>1.008</v>
      </c>
      <c r="N29" s="256">
        <f t="shared" si="4"/>
        <v>1.014</v>
      </c>
      <c r="O29" s="256">
        <f t="shared" si="4"/>
        <v>1.02</v>
      </c>
      <c r="P29" s="256">
        <f t="shared" si="4"/>
        <v>1.02</v>
      </c>
      <c r="Q29" s="256">
        <f t="shared" si="4"/>
        <v>1.0289999999999999</v>
      </c>
      <c r="R29" s="256">
        <f t="shared" si="4"/>
        <v>1.044</v>
      </c>
      <c r="S29" s="256">
        <f t="shared" si="4"/>
        <v>1.0880000000000001</v>
      </c>
      <c r="T29" s="279"/>
      <c r="U29" s="279"/>
      <c r="W29" s="90" t="s">
        <v>693</v>
      </c>
    </row>
    <row r="30" spans="2:23" x14ac:dyDescent="0.25">
      <c r="F30" s="87"/>
      <c r="G30" s="108"/>
      <c r="H30" s="88"/>
      <c r="I30" s="88"/>
      <c r="J30" s="88"/>
      <c r="K30" s="88"/>
      <c r="L30" s="88"/>
      <c r="M30" s="88"/>
      <c r="N30" s="88"/>
      <c r="O30" s="88"/>
      <c r="Q30" s="88"/>
      <c r="R30" s="88"/>
      <c r="S30" s="88"/>
      <c r="T30" s="88"/>
      <c r="U30" s="88"/>
    </row>
    <row r="31" spans="2:23" x14ac:dyDescent="0.25">
      <c r="B31" s="95" t="s">
        <v>671</v>
      </c>
      <c r="C31" s="95"/>
      <c r="D31" s="95"/>
      <c r="E31" s="95"/>
      <c r="F31" s="95"/>
      <c r="G31" s="128"/>
      <c r="H31" s="95"/>
      <c r="I31" s="95"/>
      <c r="J31" s="95"/>
      <c r="K31" s="95"/>
      <c r="L31" s="95"/>
      <c r="M31" s="95"/>
      <c r="N31" s="95"/>
      <c r="O31" s="95"/>
      <c r="P31" s="95"/>
      <c r="Q31" s="95"/>
      <c r="R31" s="95"/>
      <c r="S31" s="95"/>
      <c r="T31" s="95"/>
      <c r="U31" s="95"/>
      <c r="V31" s="95"/>
      <c r="W31" s="95"/>
    </row>
    <row r="32" spans="2:23" x14ac:dyDescent="0.25">
      <c r="F32" s="87"/>
      <c r="G32" s="108"/>
      <c r="H32" s="88"/>
      <c r="I32" s="88"/>
      <c r="J32" s="88"/>
      <c r="K32" s="88"/>
      <c r="L32" s="88"/>
      <c r="M32" s="88"/>
      <c r="N32" s="88"/>
      <c r="O32" s="88"/>
      <c r="Q32" s="88"/>
      <c r="R32" s="88"/>
      <c r="S32" s="88"/>
      <c r="T32" s="88"/>
      <c r="U32" s="88"/>
    </row>
    <row r="33" spans="3:23" x14ac:dyDescent="0.25">
      <c r="C33" s="82" t="s">
        <v>670</v>
      </c>
      <c r="F33" s="87"/>
      <c r="G33" s="108"/>
      <c r="H33" s="88"/>
      <c r="I33" s="88"/>
      <c r="J33" s="88"/>
      <c r="K33" s="88"/>
      <c r="L33" s="88"/>
      <c r="M33" s="88"/>
      <c r="N33" s="88"/>
      <c r="O33" s="88"/>
      <c r="Q33" s="88"/>
      <c r="R33" s="88"/>
      <c r="S33" s="88"/>
      <c r="T33" s="88"/>
      <c r="U33" s="88"/>
    </row>
    <row r="34" spans="3:23" x14ac:dyDescent="0.25">
      <c r="F34" s="87"/>
      <c r="G34" s="108"/>
      <c r="H34" s="88"/>
      <c r="I34" s="88"/>
      <c r="J34" s="88"/>
      <c r="K34" s="88"/>
      <c r="L34" s="88"/>
      <c r="M34" s="88"/>
      <c r="N34" s="88"/>
      <c r="O34" s="88"/>
      <c r="Q34" s="88"/>
      <c r="R34" s="88"/>
      <c r="S34" s="88"/>
      <c r="T34" s="88"/>
      <c r="U34" s="88"/>
    </row>
    <row r="35" spans="3:23" x14ac:dyDescent="0.25">
      <c r="C35" s="7" t="str">
        <f ca="1">INDEX('Version control'!$H$35:$H$61,MATCH($A$1,'Version control'!$F$35:$F$61,0),1)&amp;"-C: Proportion of relevant load going through 132kV/HV direct transformation"</f>
        <v>Section 505-C: Proportion of relevant load going through 132kV/HV direct transformation</v>
      </c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</row>
    <row r="36" spans="3:23" x14ac:dyDescent="0.25">
      <c r="H36" s="88"/>
      <c r="I36" s="88"/>
      <c r="J36" s="88"/>
      <c r="K36" s="88"/>
      <c r="L36" s="88"/>
      <c r="M36" s="88"/>
      <c r="N36" s="88"/>
      <c r="O36" s="88"/>
      <c r="P36" s="88"/>
      <c r="Q36" s="88"/>
      <c r="R36" s="88"/>
      <c r="S36" s="88"/>
      <c r="T36" s="88"/>
      <c r="U36" s="88"/>
      <c r="W36" s="88"/>
    </row>
    <row r="37" spans="3:23" x14ac:dyDescent="0.25">
      <c r="E37" s="293" t="s">
        <v>51</v>
      </c>
      <c r="F37" s="14"/>
      <c r="G37" s="109" t="s">
        <v>94</v>
      </c>
      <c r="H37" s="384">
        <f>'Inputs by network level'!P20</f>
        <v>0</v>
      </c>
      <c r="I37" s="88"/>
    </row>
    <row r="38" spans="3:23" x14ac:dyDescent="0.25">
      <c r="E38" s="293" t="s">
        <v>324</v>
      </c>
      <c r="F38" s="87"/>
      <c r="G38" s="108" t="s">
        <v>94</v>
      </c>
      <c r="H38" s="88"/>
      <c r="I38" s="88"/>
      <c r="J38" s="79"/>
      <c r="K38" s="79"/>
      <c r="L38" s="79"/>
      <c r="M38" s="387">
        <f>1 - $H$37</f>
        <v>1</v>
      </c>
      <c r="N38" s="387">
        <f>1 - $H$37</f>
        <v>1</v>
      </c>
      <c r="O38" s="387">
        <f>1 - $H$37</f>
        <v>1</v>
      </c>
      <c r="P38" s="388">
        <f>H37</f>
        <v>0</v>
      </c>
      <c r="Q38" s="79"/>
      <c r="R38" s="79"/>
      <c r="S38" s="79"/>
      <c r="T38" s="79"/>
      <c r="U38" s="79"/>
    </row>
    <row r="39" spans="3:23" x14ac:dyDescent="0.25">
      <c r="F39" s="87"/>
      <c r="G39" s="108"/>
      <c r="H39" s="88"/>
      <c r="I39" s="88"/>
      <c r="J39" s="88"/>
      <c r="K39" s="88"/>
      <c r="L39" s="88"/>
      <c r="M39" s="88"/>
      <c r="N39" s="88"/>
      <c r="O39" s="88"/>
      <c r="Q39" s="88"/>
      <c r="R39" s="88"/>
      <c r="S39" s="88"/>
      <c r="T39" s="88"/>
      <c r="U39" s="88"/>
    </row>
    <row r="40" spans="3:23" x14ac:dyDescent="0.25">
      <c r="C40" s="7" t="str">
        <f ca="1">INDEX('Version control'!$H$35:$H$61,MATCH($A$1,'Version control'!$F$35:$F$61,0),1)&amp;"-D: Network use factors"</f>
        <v>Section 505-D: Network use factors</v>
      </c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</row>
    <row r="41" spans="3:23" x14ac:dyDescent="0.25">
      <c r="H41" s="88"/>
      <c r="I41" s="88"/>
      <c r="J41" s="88"/>
      <c r="K41" s="88"/>
      <c r="L41" s="88"/>
      <c r="M41" s="88"/>
      <c r="N41" s="88"/>
      <c r="O41" s="88"/>
      <c r="P41" s="88"/>
      <c r="Q41" s="88"/>
      <c r="R41" s="88"/>
      <c r="S41" s="88"/>
      <c r="T41" s="88"/>
      <c r="U41" s="88"/>
      <c r="W41" s="88"/>
    </row>
    <row r="42" spans="3:23" x14ac:dyDescent="0.25">
      <c r="D42" s="82" t="s">
        <v>792</v>
      </c>
      <c r="H42" s="88"/>
      <c r="I42" s="88"/>
      <c r="J42" s="88"/>
      <c r="K42" s="88"/>
      <c r="L42" s="88"/>
      <c r="M42" s="88"/>
      <c r="N42" s="88"/>
      <c r="O42" s="88"/>
      <c r="P42" s="88"/>
      <c r="Q42" s="88"/>
      <c r="R42" s="88"/>
      <c r="S42" s="88"/>
      <c r="T42" s="88"/>
      <c r="U42" s="88"/>
      <c r="W42" s="88"/>
    </row>
    <row r="43" spans="3:23" x14ac:dyDescent="0.25">
      <c r="D43" s="82"/>
      <c r="H43" s="88"/>
      <c r="I43" s="88"/>
      <c r="J43" s="88"/>
      <c r="K43" s="88"/>
      <c r="L43" s="88"/>
      <c r="M43" s="88"/>
      <c r="N43" s="88"/>
      <c r="O43" s="88"/>
      <c r="P43" s="88"/>
      <c r="Q43" s="88"/>
      <c r="R43" s="88"/>
      <c r="S43" s="88"/>
      <c r="T43" s="88"/>
      <c r="U43" s="88"/>
      <c r="W43" s="88"/>
    </row>
    <row r="44" spans="3:23" x14ac:dyDescent="0.25">
      <c r="E44" s="96" t="s">
        <v>331</v>
      </c>
      <c r="G44" s="108"/>
    </row>
    <row r="45" spans="3:23" x14ac:dyDescent="0.25">
      <c r="E45" s="82" t="s">
        <v>793</v>
      </c>
      <c r="G45" s="108"/>
    </row>
    <row r="46" spans="3:23" x14ac:dyDescent="0.25">
      <c r="F46" s="91" t="s">
        <v>926</v>
      </c>
      <c r="G46" s="40" t="s">
        <v>141</v>
      </c>
      <c r="H46" s="91"/>
      <c r="I46" s="91"/>
      <c r="J46" s="272">
        <f t="array" ref="J46:S61">TRANSPOSE('Fixed inputs'!J60:Y69)</f>
        <v>1</v>
      </c>
      <c r="K46" s="272">
        <v>1</v>
      </c>
      <c r="L46" s="272">
        <v>1</v>
      </c>
      <c r="M46" s="272">
        <v>1</v>
      </c>
      <c r="N46" s="272">
        <v>1</v>
      </c>
      <c r="O46" s="272">
        <v>1</v>
      </c>
      <c r="P46" s="272">
        <v>1</v>
      </c>
      <c r="Q46" s="272">
        <v>1</v>
      </c>
      <c r="R46" s="272">
        <v>1</v>
      </c>
      <c r="S46" s="272">
        <v>1</v>
      </c>
      <c r="T46" s="238"/>
      <c r="U46" s="238"/>
      <c r="W46" s="88"/>
    </row>
    <row r="47" spans="3:23" x14ac:dyDescent="0.25">
      <c r="F47" s="293" t="s">
        <v>927</v>
      </c>
      <c r="G47" s="109" t="s">
        <v>141</v>
      </c>
      <c r="J47" s="273">
        <v>1</v>
      </c>
      <c r="K47" s="273">
        <v>1</v>
      </c>
      <c r="L47" s="273">
        <v>1</v>
      </c>
      <c r="M47" s="273">
        <v>1</v>
      </c>
      <c r="N47" s="273">
        <v>1</v>
      </c>
      <c r="O47" s="273">
        <v>1</v>
      </c>
      <c r="P47" s="273">
        <v>1</v>
      </c>
      <c r="Q47" s="273">
        <v>1</v>
      </c>
      <c r="R47" s="273">
        <v>1</v>
      </c>
      <c r="S47" s="273">
        <v>1</v>
      </c>
      <c r="T47" s="279"/>
      <c r="U47" s="279"/>
    </row>
    <row r="48" spans="3:23" x14ac:dyDescent="0.25">
      <c r="F48" s="293" t="s">
        <v>928</v>
      </c>
      <c r="G48" s="109" t="s">
        <v>141</v>
      </c>
      <c r="J48" s="273">
        <v>1</v>
      </c>
      <c r="K48" s="273">
        <v>1</v>
      </c>
      <c r="L48" s="273">
        <v>1</v>
      </c>
      <c r="M48" s="273">
        <v>1</v>
      </c>
      <c r="N48" s="273">
        <v>1</v>
      </c>
      <c r="O48" s="273">
        <v>1</v>
      </c>
      <c r="P48" s="273">
        <v>1</v>
      </c>
      <c r="Q48" s="273">
        <v>1</v>
      </c>
      <c r="R48" s="273">
        <v>1</v>
      </c>
      <c r="S48" s="273">
        <v>1</v>
      </c>
      <c r="T48" s="279"/>
      <c r="U48" s="279"/>
    </row>
    <row r="49" spans="5:21" x14ac:dyDescent="0.25">
      <c r="F49" s="293" t="s">
        <v>929</v>
      </c>
      <c r="G49" s="109" t="s">
        <v>141</v>
      </c>
      <c r="J49" s="273">
        <v>1</v>
      </c>
      <c r="K49" s="273">
        <v>1</v>
      </c>
      <c r="L49" s="273">
        <v>1</v>
      </c>
      <c r="M49" s="273">
        <v>1</v>
      </c>
      <c r="N49" s="273">
        <v>1</v>
      </c>
      <c r="O49" s="273">
        <v>1</v>
      </c>
      <c r="P49" s="273">
        <v>1</v>
      </c>
      <c r="Q49" s="273">
        <v>1</v>
      </c>
      <c r="R49" s="273">
        <v>1</v>
      </c>
      <c r="S49" s="273">
        <v>1</v>
      </c>
      <c r="T49" s="279"/>
      <c r="U49" s="279"/>
    </row>
    <row r="50" spans="5:21" x14ac:dyDescent="0.25">
      <c r="F50" s="293" t="s">
        <v>930</v>
      </c>
      <c r="G50" s="109" t="s">
        <v>141</v>
      </c>
      <c r="J50" s="273">
        <v>1</v>
      </c>
      <c r="K50" s="273">
        <v>1</v>
      </c>
      <c r="L50" s="273">
        <v>1</v>
      </c>
      <c r="M50" s="273">
        <v>1</v>
      </c>
      <c r="N50" s="273">
        <v>1</v>
      </c>
      <c r="O50" s="273">
        <v>1</v>
      </c>
      <c r="P50" s="273">
        <v>1</v>
      </c>
      <c r="Q50" s="273">
        <v>1</v>
      </c>
      <c r="R50" s="273">
        <v>1</v>
      </c>
      <c r="S50" s="273">
        <v>1</v>
      </c>
      <c r="T50" s="279"/>
      <c r="U50" s="279"/>
    </row>
    <row r="51" spans="5:21" x14ac:dyDescent="0.25">
      <c r="F51" s="293" t="s">
        <v>931</v>
      </c>
      <c r="G51" s="109" t="s">
        <v>141</v>
      </c>
      <c r="J51" s="273">
        <v>1</v>
      </c>
      <c r="K51" s="273">
        <v>1</v>
      </c>
      <c r="L51" s="273">
        <v>1</v>
      </c>
      <c r="M51" s="273">
        <v>1</v>
      </c>
      <c r="N51" s="273">
        <v>1</v>
      </c>
      <c r="O51" s="273">
        <v>1</v>
      </c>
      <c r="P51" s="273">
        <v>1</v>
      </c>
      <c r="Q51" s="273">
        <v>1</v>
      </c>
      <c r="R51" s="273">
        <v>1</v>
      </c>
      <c r="S51" s="273">
        <v>0</v>
      </c>
      <c r="T51" s="279"/>
      <c r="U51" s="279"/>
    </row>
    <row r="52" spans="5:21" x14ac:dyDescent="0.25">
      <c r="F52" s="293" t="s">
        <v>932</v>
      </c>
      <c r="G52" s="109" t="s">
        <v>141</v>
      </c>
      <c r="J52" s="273">
        <v>1</v>
      </c>
      <c r="K52" s="273">
        <v>1</v>
      </c>
      <c r="L52" s="273">
        <v>1</v>
      </c>
      <c r="M52" s="273">
        <v>1</v>
      </c>
      <c r="N52" s="273">
        <v>1</v>
      </c>
      <c r="O52" s="273">
        <v>1</v>
      </c>
      <c r="P52" s="273">
        <v>1</v>
      </c>
      <c r="Q52" s="273">
        <v>1</v>
      </c>
      <c r="R52" s="273">
        <v>0</v>
      </c>
      <c r="S52" s="273">
        <v>0</v>
      </c>
      <c r="T52" s="279"/>
      <c r="U52" s="279"/>
    </row>
    <row r="53" spans="5:21" x14ac:dyDescent="0.25">
      <c r="F53" s="293" t="s">
        <v>933</v>
      </c>
      <c r="G53" s="109" t="s">
        <v>141</v>
      </c>
      <c r="J53" s="273">
        <v>1</v>
      </c>
      <c r="K53" s="273">
        <v>1</v>
      </c>
      <c r="L53" s="273">
        <v>1</v>
      </c>
      <c r="M53" s="273">
        <v>1</v>
      </c>
      <c r="N53" s="273">
        <v>1</v>
      </c>
      <c r="O53" s="273">
        <v>1</v>
      </c>
      <c r="P53" s="273">
        <v>1</v>
      </c>
      <c r="Q53" s="273">
        <v>1</v>
      </c>
      <c r="R53" s="273">
        <v>1</v>
      </c>
      <c r="S53" s="273">
        <v>1</v>
      </c>
      <c r="T53" s="279"/>
      <c r="U53" s="279"/>
    </row>
    <row r="54" spans="5:21" x14ac:dyDescent="0.25">
      <c r="F54" s="293" t="s">
        <v>934</v>
      </c>
      <c r="G54" s="109" t="s">
        <v>141</v>
      </c>
      <c r="J54" s="273">
        <v>-1</v>
      </c>
      <c r="K54" s="273">
        <v>-1</v>
      </c>
      <c r="L54" s="273">
        <v>-1</v>
      </c>
      <c r="M54" s="273">
        <v>-1</v>
      </c>
      <c r="N54" s="273">
        <v>-1</v>
      </c>
      <c r="O54" s="273">
        <v>-1</v>
      </c>
      <c r="P54" s="273">
        <v>-1</v>
      </c>
      <c r="Q54" s="273">
        <v>-1</v>
      </c>
      <c r="R54" s="273">
        <v>-1</v>
      </c>
      <c r="S54" s="273">
        <v>-1</v>
      </c>
      <c r="T54" s="279"/>
      <c r="U54" s="279"/>
    </row>
    <row r="55" spans="5:21" x14ac:dyDescent="0.25">
      <c r="F55" s="293" t="s">
        <v>935</v>
      </c>
      <c r="G55" s="109" t="s">
        <v>141</v>
      </c>
      <c r="J55" s="273">
        <v>-1</v>
      </c>
      <c r="K55" s="273">
        <v>-1</v>
      </c>
      <c r="L55" s="273">
        <v>-1</v>
      </c>
      <c r="M55" s="273">
        <v>-1</v>
      </c>
      <c r="N55" s="273">
        <v>-1</v>
      </c>
      <c r="O55" s="273">
        <v>-1</v>
      </c>
      <c r="P55" s="273">
        <v>-1</v>
      </c>
      <c r="Q55" s="273">
        <v>-1</v>
      </c>
      <c r="R55" s="273">
        <v>-1</v>
      </c>
      <c r="S55" s="273">
        <v>0</v>
      </c>
      <c r="T55" s="279"/>
      <c r="U55" s="279"/>
    </row>
    <row r="56" spans="5:21" x14ac:dyDescent="0.25">
      <c r="F56" s="293" t="s">
        <v>936</v>
      </c>
      <c r="G56" s="109" t="s">
        <v>141</v>
      </c>
      <c r="J56" s="273">
        <v>-1</v>
      </c>
      <c r="K56" s="273">
        <v>-1</v>
      </c>
      <c r="L56" s="273">
        <v>-1</v>
      </c>
      <c r="M56" s="273">
        <v>-1</v>
      </c>
      <c r="N56" s="273">
        <v>-1</v>
      </c>
      <c r="O56" s="273">
        <v>-1</v>
      </c>
      <c r="P56" s="273">
        <v>-1</v>
      </c>
      <c r="Q56" s="273">
        <v>-1</v>
      </c>
      <c r="R56" s="273">
        <v>-1</v>
      </c>
      <c r="S56" s="273">
        <v>-1</v>
      </c>
      <c r="T56" s="279"/>
      <c r="U56" s="279"/>
    </row>
    <row r="57" spans="5:21" x14ac:dyDescent="0.25">
      <c r="F57" s="293" t="s">
        <v>937</v>
      </c>
      <c r="G57" s="109" t="s">
        <v>141</v>
      </c>
      <c r="J57" s="273">
        <v>-1</v>
      </c>
      <c r="K57" s="273">
        <v>-1</v>
      </c>
      <c r="L57" s="273">
        <v>-1</v>
      </c>
      <c r="M57" s="273">
        <v>-1</v>
      </c>
      <c r="N57" s="273">
        <v>-1</v>
      </c>
      <c r="O57" s="273">
        <v>-1</v>
      </c>
      <c r="P57" s="273">
        <v>-1</v>
      </c>
      <c r="Q57" s="273">
        <v>-1</v>
      </c>
      <c r="R57" s="273">
        <v>-1</v>
      </c>
      <c r="S57" s="273">
        <v>-1</v>
      </c>
      <c r="T57" s="279"/>
      <c r="U57" s="279"/>
    </row>
    <row r="58" spans="5:21" x14ac:dyDescent="0.25">
      <c r="F58" s="293" t="s">
        <v>938</v>
      </c>
      <c r="G58" s="109" t="s">
        <v>141</v>
      </c>
      <c r="J58" s="273">
        <v>-1</v>
      </c>
      <c r="K58" s="273">
        <v>-1</v>
      </c>
      <c r="L58" s="273">
        <v>-1</v>
      </c>
      <c r="M58" s="273">
        <v>-1</v>
      </c>
      <c r="N58" s="273">
        <v>-1</v>
      </c>
      <c r="O58" s="273">
        <v>-1</v>
      </c>
      <c r="P58" s="273">
        <v>-1</v>
      </c>
      <c r="Q58" s="273">
        <v>-1</v>
      </c>
      <c r="R58" s="273">
        <v>-1</v>
      </c>
      <c r="S58" s="273">
        <v>0</v>
      </c>
      <c r="T58" s="279"/>
      <c r="U58" s="279"/>
    </row>
    <row r="59" spans="5:21" x14ac:dyDescent="0.25">
      <c r="F59" s="293" t="s">
        <v>939</v>
      </c>
      <c r="G59" s="109" t="s">
        <v>141</v>
      </c>
      <c r="J59" s="273">
        <v>-1</v>
      </c>
      <c r="K59" s="273">
        <v>-1</v>
      </c>
      <c r="L59" s="273">
        <v>-1</v>
      </c>
      <c r="M59" s="273">
        <v>-1</v>
      </c>
      <c r="N59" s="273">
        <v>-1</v>
      </c>
      <c r="O59" s="273">
        <v>-1</v>
      </c>
      <c r="P59" s="273">
        <v>-1</v>
      </c>
      <c r="Q59" s="273">
        <v>-1</v>
      </c>
      <c r="R59" s="273">
        <v>-1</v>
      </c>
      <c r="S59" s="273">
        <v>0</v>
      </c>
      <c r="T59" s="279"/>
      <c r="U59" s="279"/>
    </row>
    <row r="60" spans="5:21" x14ac:dyDescent="0.25">
      <c r="F60" s="293" t="s">
        <v>940</v>
      </c>
      <c r="G60" s="109" t="s">
        <v>141</v>
      </c>
      <c r="J60" s="273">
        <v>-1</v>
      </c>
      <c r="K60" s="273">
        <v>-1</v>
      </c>
      <c r="L60" s="273">
        <v>-1</v>
      </c>
      <c r="M60" s="273">
        <v>-1</v>
      </c>
      <c r="N60" s="273">
        <v>-1</v>
      </c>
      <c r="O60" s="273">
        <v>-1</v>
      </c>
      <c r="P60" s="273">
        <v>-1</v>
      </c>
      <c r="Q60" s="273">
        <v>-1</v>
      </c>
      <c r="R60" s="273">
        <v>0</v>
      </c>
      <c r="S60" s="273">
        <v>0</v>
      </c>
      <c r="T60" s="279"/>
      <c r="U60" s="279"/>
    </row>
    <row r="61" spans="5:21" x14ac:dyDescent="0.25">
      <c r="F61" s="93" t="s">
        <v>941</v>
      </c>
      <c r="G61" s="36" t="s">
        <v>141</v>
      </c>
      <c r="H61" s="93"/>
      <c r="I61" s="93"/>
      <c r="J61" s="274">
        <v>-1</v>
      </c>
      <c r="K61" s="274">
        <v>-1</v>
      </c>
      <c r="L61" s="274">
        <v>-1</v>
      </c>
      <c r="M61" s="274">
        <v>-1</v>
      </c>
      <c r="N61" s="274">
        <v>-1</v>
      </c>
      <c r="O61" s="274">
        <v>-1</v>
      </c>
      <c r="P61" s="274">
        <v>-1</v>
      </c>
      <c r="Q61" s="274">
        <v>-1</v>
      </c>
      <c r="R61" s="274">
        <v>0</v>
      </c>
      <c r="S61" s="274">
        <v>0</v>
      </c>
      <c r="T61" s="240"/>
      <c r="U61" s="240"/>
    </row>
    <row r="62" spans="5:21" x14ac:dyDescent="0.25">
      <c r="G62" s="108"/>
      <c r="J62" s="252"/>
      <c r="K62" s="252"/>
      <c r="L62" s="252"/>
      <c r="M62" s="252"/>
      <c r="N62" s="252"/>
      <c r="O62" s="252"/>
      <c r="P62" s="252"/>
      <c r="Q62" s="252"/>
      <c r="R62" s="252"/>
      <c r="S62" s="252"/>
      <c r="T62" s="252"/>
      <c r="U62" s="252"/>
    </row>
    <row r="63" spans="5:21" x14ac:dyDescent="0.25">
      <c r="E63" s="96" t="s">
        <v>443</v>
      </c>
      <c r="G63" s="108"/>
      <c r="J63" s="252"/>
      <c r="K63" s="252"/>
      <c r="L63" s="252"/>
      <c r="M63" s="252"/>
      <c r="N63" s="252"/>
      <c r="O63" s="252"/>
      <c r="P63" s="252"/>
      <c r="Q63" s="252"/>
      <c r="R63" s="252"/>
      <c r="S63" s="252"/>
      <c r="T63" s="252"/>
      <c r="U63" s="252"/>
    </row>
    <row r="64" spans="5:21" x14ac:dyDescent="0.25">
      <c r="E64" s="82" t="s">
        <v>325</v>
      </c>
      <c r="G64" s="108"/>
      <c r="J64" s="252"/>
      <c r="K64" s="252"/>
      <c r="L64" s="252"/>
      <c r="M64" s="252"/>
      <c r="N64" s="252"/>
      <c r="O64" s="252"/>
      <c r="P64" s="252"/>
      <c r="Q64" s="252"/>
      <c r="R64" s="252"/>
      <c r="S64" s="252"/>
      <c r="T64" s="252"/>
      <c r="U64" s="252"/>
    </row>
    <row r="65" spans="6:23" x14ac:dyDescent="0.25">
      <c r="F65" s="91" t="s">
        <v>926</v>
      </c>
      <c r="G65" s="40" t="s">
        <v>141</v>
      </c>
      <c r="H65" s="91"/>
      <c r="I65" s="91"/>
      <c r="J65" s="267">
        <f t="shared" ref="J65:S80" si="5">IF(J$38 = "", J46, J46 * J$38)</f>
        <v>1</v>
      </c>
      <c r="K65" s="267">
        <f t="shared" si="5"/>
        <v>1</v>
      </c>
      <c r="L65" s="267">
        <f t="shared" si="5"/>
        <v>1</v>
      </c>
      <c r="M65" s="267">
        <f t="shared" si="5"/>
        <v>1</v>
      </c>
      <c r="N65" s="267">
        <f t="shared" si="5"/>
        <v>1</v>
      </c>
      <c r="O65" s="267">
        <f t="shared" si="5"/>
        <v>1</v>
      </c>
      <c r="P65" s="267">
        <f t="shared" si="5"/>
        <v>0</v>
      </c>
      <c r="Q65" s="267">
        <f t="shared" si="5"/>
        <v>1</v>
      </c>
      <c r="R65" s="267">
        <f t="shared" si="5"/>
        <v>1</v>
      </c>
      <c r="S65" s="267">
        <f t="shared" si="5"/>
        <v>1</v>
      </c>
      <c r="T65" s="238"/>
      <c r="U65" s="238"/>
      <c r="W65" s="88"/>
    </row>
    <row r="66" spans="6:23" x14ac:dyDescent="0.25">
      <c r="F66" s="293" t="s">
        <v>927</v>
      </c>
      <c r="G66" s="109" t="s">
        <v>141</v>
      </c>
      <c r="J66" s="275">
        <f t="shared" si="5"/>
        <v>1</v>
      </c>
      <c r="K66" s="275">
        <f t="shared" si="5"/>
        <v>1</v>
      </c>
      <c r="L66" s="275">
        <f t="shared" si="5"/>
        <v>1</v>
      </c>
      <c r="M66" s="275">
        <f t="shared" si="5"/>
        <v>1</v>
      </c>
      <c r="N66" s="275">
        <f t="shared" si="5"/>
        <v>1</v>
      </c>
      <c r="O66" s="275">
        <f t="shared" si="5"/>
        <v>1</v>
      </c>
      <c r="P66" s="275">
        <f t="shared" si="5"/>
        <v>0</v>
      </c>
      <c r="Q66" s="275">
        <f t="shared" si="5"/>
        <v>1</v>
      </c>
      <c r="R66" s="275">
        <f t="shared" si="5"/>
        <v>1</v>
      </c>
      <c r="S66" s="275">
        <f t="shared" si="5"/>
        <v>1</v>
      </c>
      <c r="T66" s="279"/>
      <c r="U66" s="279"/>
    </row>
    <row r="67" spans="6:23" x14ac:dyDescent="0.25">
      <c r="F67" s="293" t="s">
        <v>928</v>
      </c>
      <c r="G67" s="109" t="s">
        <v>141</v>
      </c>
      <c r="J67" s="275">
        <f t="shared" si="5"/>
        <v>1</v>
      </c>
      <c r="K67" s="275">
        <f t="shared" si="5"/>
        <v>1</v>
      </c>
      <c r="L67" s="275">
        <f t="shared" si="5"/>
        <v>1</v>
      </c>
      <c r="M67" s="275">
        <f t="shared" si="5"/>
        <v>1</v>
      </c>
      <c r="N67" s="275">
        <f t="shared" si="5"/>
        <v>1</v>
      </c>
      <c r="O67" s="275">
        <f t="shared" si="5"/>
        <v>1</v>
      </c>
      <c r="P67" s="275">
        <f t="shared" si="5"/>
        <v>0</v>
      </c>
      <c r="Q67" s="275">
        <f t="shared" si="5"/>
        <v>1</v>
      </c>
      <c r="R67" s="275">
        <f t="shared" si="5"/>
        <v>1</v>
      </c>
      <c r="S67" s="275">
        <f t="shared" si="5"/>
        <v>1</v>
      </c>
      <c r="T67" s="279"/>
      <c r="U67" s="279"/>
    </row>
    <row r="68" spans="6:23" x14ac:dyDescent="0.25">
      <c r="F68" s="293" t="s">
        <v>929</v>
      </c>
      <c r="G68" s="109" t="s">
        <v>141</v>
      </c>
      <c r="J68" s="275">
        <f t="shared" si="5"/>
        <v>1</v>
      </c>
      <c r="K68" s="275">
        <f t="shared" si="5"/>
        <v>1</v>
      </c>
      <c r="L68" s="275">
        <f t="shared" si="5"/>
        <v>1</v>
      </c>
      <c r="M68" s="275">
        <f t="shared" si="5"/>
        <v>1</v>
      </c>
      <c r="N68" s="275">
        <f t="shared" si="5"/>
        <v>1</v>
      </c>
      <c r="O68" s="275">
        <f t="shared" si="5"/>
        <v>1</v>
      </c>
      <c r="P68" s="275">
        <f t="shared" si="5"/>
        <v>0</v>
      </c>
      <c r="Q68" s="275">
        <f t="shared" si="5"/>
        <v>1</v>
      </c>
      <c r="R68" s="275">
        <f t="shared" si="5"/>
        <v>1</v>
      </c>
      <c r="S68" s="275">
        <f t="shared" si="5"/>
        <v>1</v>
      </c>
      <c r="T68" s="279"/>
      <c r="U68" s="279"/>
    </row>
    <row r="69" spans="6:23" x14ac:dyDescent="0.25">
      <c r="F69" s="293" t="s">
        <v>930</v>
      </c>
      <c r="G69" s="109" t="s">
        <v>141</v>
      </c>
      <c r="J69" s="275">
        <f t="shared" si="5"/>
        <v>1</v>
      </c>
      <c r="K69" s="275">
        <f t="shared" si="5"/>
        <v>1</v>
      </c>
      <c r="L69" s="275">
        <f t="shared" si="5"/>
        <v>1</v>
      </c>
      <c r="M69" s="275">
        <f t="shared" si="5"/>
        <v>1</v>
      </c>
      <c r="N69" s="275">
        <f t="shared" si="5"/>
        <v>1</v>
      </c>
      <c r="O69" s="275">
        <f t="shared" si="5"/>
        <v>1</v>
      </c>
      <c r="P69" s="275">
        <f t="shared" si="5"/>
        <v>0</v>
      </c>
      <c r="Q69" s="275">
        <f t="shared" si="5"/>
        <v>1</v>
      </c>
      <c r="R69" s="275">
        <f t="shared" si="5"/>
        <v>1</v>
      </c>
      <c r="S69" s="275">
        <f t="shared" si="5"/>
        <v>1</v>
      </c>
      <c r="T69" s="279"/>
      <c r="U69" s="279"/>
    </row>
    <row r="70" spans="6:23" x14ac:dyDescent="0.25">
      <c r="F70" s="293" t="s">
        <v>931</v>
      </c>
      <c r="G70" s="109" t="s">
        <v>141</v>
      </c>
      <c r="J70" s="275">
        <f t="shared" si="5"/>
        <v>1</v>
      </c>
      <c r="K70" s="275">
        <f t="shared" si="5"/>
        <v>1</v>
      </c>
      <c r="L70" s="275">
        <f t="shared" si="5"/>
        <v>1</v>
      </c>
      <c r="M70" s="275">
        <f t="shared" si="5"/>
        <v>1</v>
      </c>
      <c r="N70" s="275">
        <f t="shared" si="5"/>
        <v>1</v>
      </c>
      <c r="O70" s="275">
        <f t="shared" si="5"/>
        <v>1</v>
      </c>
      <c r="P70" s="275">
        <f t="shared" si="5"/>
        <v>0</v>
      </c>
      <c r="Q70" s="275">
        <f t="shared" si="5"/>
        <v>1</v>
      </c>
      <c r="R70" s="275">
        <f t="shared" si="5"/>
        <v>1</v>
      </c>
      <c r="S70" s="275">
        <f t="shared" si="5"/>
        <v>0</v>
      </c>
      <c r="T70" s="279"/>
      <c r="U70" s="279"/>
    </row>
    <row r="71" spans="6:23" x14ac:dyDescent="0.25">
      <c r="F71" s="293" t="s">
        <v>932</v>
      </c>
      <c r="G71" s="109" t="s">
        <v>141</v>
      </c>
      <c r="J71" s="275">
        <f t="shared" si="5"/>
        <v>1</v>
      </c>
      <c r="K71" s="275">
        <f t="shared" si="5"/>
        <v>1</v>
      </c>
      <c r="L71" s="275">
        <f t="shared" si="5"/>
        <v>1</v>
      </c>
      <c r="M71" s="275">
        <f t="shared" si="5"/>
        <v>1</v>
      </c>
      <c r="N71" s="275">
        <f t="shared" si="5"/>
        <v>1</v>
      </c>
      <c r="O71" s="275">
        <f t="shared" si="5"/>
        <v>1</v>
      </c>
      <c r="P71" s="275">
        <f t="shared" si="5"/>
        <v>0</v>
      </c>
      <c r="Q71" s="275">
        <f t="shared" si="5"/>
        <v>1</v>
      </c>
      <c r="R71" s="275">
        <f t="shared" si="5"/>
        <v>0</v>
      </c>
      <c r="S71" s="275">
        <f t="shared" si="5"/>
        <v>0</v>
      </c>
      <c r="T71" s="279"/>
      <c r="U71" s="279"/>
    </row>
    <row r="72" spans="6:23" x14ac:dyDescent="0.25">
      <c r="F72" s="293" t="s">
        <v>933</v>
      </c>
      <c r="G72" s="109" t="s">
        <v>141</v>
      </c>
      <c r="J72" s="275">
        <f t="shared" si="5"/>
        <v>1</v>
      </c>
      <c r="K72" s="275">
        <f t="shared" si="5"/>
        <v>1</v>
      </c>
      <c r="L72" s="275">
        <f t="shared" si="5"/>
        <v>1</v>
      </c>
      <c r="M72" s="275">
        <f t="shared" si="5"/>
        <v>1</v>
      </c>
      <c r="N72" s="275">
        <f t="shared" si="5"/>
        <v>1</v>
      </c>
      <c r="O72" s="275">
        <f t="shared" si="5"/>
        <v>1</v>
      </c>
      <c r="P72" s="275">
        <f t="shared" si="5"/>
        <v>0</v>
      </c>
      <c r="Q72" s="275">
        <f t="shared" si="5"/>
        <v>1</v>
      </c>
      <c r="R72" s="275">
        <f t="shared" si="5"/>
        <v>1</v>
      </c>
      <c r="S72" s="275">
        <f t="shared" si="5"/>
        <v>1</v>
      </c>
      <c r="T72" s="279"/>
      <c r="U72" s="279"/>
    </row>
    <row r="73" spans="6:23" x14ac:dyDescent="0.25">
      <c r="F73" s="293" t="s">
        <v>934</v>
      </c>
      <c r="G73" s="109" t="s">
        <v>141</v>
      </c>
      <c r="J73" s="275">
        <f t="shared" si="5"/>
        <v>-1</v>
      </c>
      <c r="K73" s="275">
        <f t="shared" si="5"/>
        <v>-1</v>
      </c>
      <c r="L73" s="275">
        <f t="shared" si="5"/>
        <v>-1</v>
      </c>
      <c r="M73" s="275">
        <f t="shared" si="5"/>
        <v>-1</v>
      </c>
      <c r="N73" s="275">
        <f t="shared" si="5"/>
        <v>-1</v>
      </c>
      <c r="O73" s="275">
        <f t="shared" si="5"/>
        <v>-1</v>
      </c>
      <c r="P73" s="275">
        <f t="shared" si="5"/>
        <v>0</v>
      </c>
      <c r="Q73" s="275">
        <f t="shared" si="5"/>
        <v>-1</v>
      </c>
      <c r="R73" s="275">
        <f t="shared" si="5"/>
        <v>-1</v>
      </c>
      <c r="S73" s="275">
        <f t="shared" si="5"/>
        <v>-1</v>
      </c>
      <c r="T73" s="279"/>
      <c r="U73" s="279"/>
    </row>
    <row r="74" spans="6:23" x14ac:dyDescent="0.25">
      <c r="F74" s="293" t="s">
        <v>935</v>
      </c>
      <c r="G74" s="109" t="s">
        <v>141</v>
      </c>
      <c r="J74" s="275">
        <f t="shared" si="5"/>
        <v>-1</v>
      </c>
      <c r="K74" s="275">
        <f t="shared" si="5"/>
        <v>-1</v>
      </c>
      <c r="L74" s="275">
        <f t="shared" si="5"/>
        <v>-1</v>
      </c>
      <c r="M74" s="275">
        <f t="shared" si="5"/>
        <v>-1</v>
      </c>
      <c r="N74" s="275">
        <f t="shared" si="5"/>
        <v>-1</v>
      </c>
      <c r="O74" s="275">
        <f t="shared" si="5"/>
        <v>-1</v>
      </c>
      <c r="P74" s="275">
        <f t="shared" si="5"/>
        <v>0</v>
      </c>
      <c r="Q74" s="275">
        <f t="shared" si="5"/>
        <v>-1</v>
      </c>
      <c r="R74" s="275">
        <f t="shared" si="5"/>
        <v>-1</v>
      </c>
      <c r="S74" s="275">
        <f t="shared" si="5"/>
        <v>0</v>
      </c>
      <c r="T74" s="279"/>
      <c r="U74" s="279"/>
    </row>
    <row r="75" spans="6:23" x14ac:dyDescent="0.25">
      <c r="F75" s="293" t="s">
        <v>936</v>
      </c>
      <c r="G75" s="109" t="s">
        <v>141</v>
      </c>
      <c r="J75" s="275">
        <f t="shared" si="5"/>
        <v>-1</v>
      </c>
      <c r="K75" s="275">
        <f t="shared" si="5"/>
        <v>-1</v>
      </c>
      <c r="L75" s="275">
        <f t="shared" si="5"/>
        <v>-1</v>
      </c>
      <c r="M75" s="275">
        <f t="shared" si="5"/>
        <v>-1</v>
      </c>
      <c r="N75" s="275">
        <f t="shared" si="5"/>
        <v>-1</v>
      </c>
      <c r="O75" s="275">
        <f t="shared" si="5"/>
        <v>-1</v>
      </c>
      <c r="P75" s="275">
        <f t="shared" si="5"/>
        <v>0</v>
      </c>
      <c r="Q75" s="275">
        <f t="shared" si="5"/>
        <v>-1</v>
      </c>
      <c r="R75" s="275">
        <f t="shared" si="5"/>
        <v>-1</v>
      </c>
      <c r="S75" s="275">
        <f t="shared" si="5"/>
        <v>-1</v>
      </c>
      <c r="T75" s="279"/>
      <c r="U75" s="279"/>
    </row>
    <row r="76" spans="6:23" x14ac:dyDescent="0.25">
      <c r="F76" s="293" t="s">
        <v>937</v>
      </c>
      <c r="G76" s="109" t="s">
        <v>141</v>
      </c>
      <c r="J76" s="275">
        <f t="shared" si="5"/>
        <v>-1</v>
      </c>
      <c r="K76" s="275">
        <f t="shared" si="5"/>
        <v>-1</v>
      </c>
      <c r="L76" s="275">
        <f t="shared" si="5"/>
        <v>-1</v>
      </c>
      <c r="M76" s="275">
        <f t="shared" si="5"/>
        <v>-1</v>
      </c>
      <c r="N76" s="275">
        <f t="shared" si="5"/>
        <v>-1</v>
      </c>
      <c r="O76" s="275">
        <f t="shared" si="5"/>
        <v>-1</v>
      </c>
      <c r="P76" s="275">
        <f t="shared" si="5"/>
        <v>0</v>
      </c>
      <c r="Q76" s="275">
        <f t="shared" si="5"/>
        <v>-1</v>
      </c>
      <c r="R76" s="275">
        <f t="shared" si="5"/>
        <v>-1</v>
      </c>
      <c r="S76" s="275">
        <f t="shared" si="5"/>
        <v>-1</v>
      </c>
      <c r="T76" s="279"/>
      <c r="U76" s="279"/>
    </row>
    <row r="77" spans="6:23" x14ac:dyDescent="0.25">
      <c r="F77" s="293" t="s">
        <v>938</v>
      </c>
      <c r="G77" s="109" t="s">
        <v>141</v>
      </c>
      <c r="J77" s="275">
        <f t="shared" si="5"/>
        <v>-1</v>
      </c>
      <c r="K77" s="275">
        <f t="shared" si="5"/>
        <v>-1</v>
      </c>
      <c r="L77" s="275">
        <f t="shared" si="5"/>
        <v>-1</v>
      </c>
      <c r="M77" s="275">
        <f t="shared" si="5"/>
        <v>-1</v>
      </c>
      <c r="N77" s="275">
        <f t="shared" si="5"/>
        <v>-1</v>
      </c>
      <c r="O77" s="275">
        <f t="shared" si="5"/>
        <v>-1</v>
      </c>
      <c r="P77" s="275">
        <f t="shared" si="5"/>
        <v>0</v>
      </c>
      <c r="Q77" s="275">
        <f t="shared" si="5"/>
        <v>-1</v>
      </c>
      <c r="R77" s="275">
        <f t="shared" si="5"/>
        <v>-1</v>
      </c>
      <c r="S77" s="275">
        <f t="shared" si="5"/>
        <v>0</v>
      </c>
      <c r="T77" s="279"/>
      <c r="U77" s="279"/>
    </row>
    <row r="78" spans="6:23" x14ac:dyDescent="0.25">
      <c r="F78" s="293" t="s">
        <v>939</v>
      </c>
      <c r="G78" s="109" t="s">
        <v>141</v>
      </c>
      <c r="J78" s="275">
        <f t="shared" si="5"/>
        <v>-1</v>
      </c>
      <c r="K78" s="275">
        <f t="shared" si="5"/>
        <v>-1</v>
      </c>
      <c r="L78" s="275">
        <f t="shared" si="5"/>
        <v>-1</v>
      </c>
      <c r="M78" s="275">
        <f t="shared" si="5"/>
        <v>-1</v>
      </c>
      <c r="N78" s="275">
        <f t="shared" si="5"/>
        <v>-1</v>
      </c>
      <c r="O78" s="275">
        <f t="shared" si="5"/>
        <v>-1</v>
      </c>
      <c r="P78" s="275">
        <f t="shared" si="5"/>
        <v>0</v>
      </c>
      <c r="Q78" s="275">
        <f t="shared" si="5"/>
        <v>-1</v>
      </c>
      <c r="R78" s="275">
        <f t="shared" si="5"/>
        <v>-1</v>
      </c>
      <c r="S78" s="275">
        <f t="shared" si="5"/>
        <v>0</v>
      </c>
      <c r="T78" s="279"/>
      <c r="U78" s="279"/>
    </row>
    <row r="79" spans="6:23" x14ac:dyDescent="0.25">
      <c r="F79" s="293" t="s">
        <v>940</v>
      </c>
      <c r="G79" s="109" t="s">
        <v>141</v>
      </c>
      <c r="J79" s="275">
        <f t="shared" si="5"/>
        <v>-1</v>
      </c>
      <c r="K79" s="275">
        <f t="shared" si="5"/>
        <v>-1</v>
      </c>
      <c r="L79" s="275">
        <f t="shared" si="5"/>
        <v>-1</v>
      </c>
      <c r="M79" s="275">
        <f t="shared" si="5"/>
        <v>-1</v>
      </c>
      <c r="N79" s="275">
        <f t="shared" si="5"/>
        <v>-1</v>
      </c>
      <c r="O79" s="275">
        <f t="shared" si="5"/>
        <v>-1</v>
      </c>
      <c r="P79" s="275">
        <f t="shared" si="5"/>
        <v>0</v>
      </c>
      <c r="Q79" s="275">
        <f t="shared" si="5"/>
        <v>-1</v>
      </c>
      <c r="R79" s="275">
        <f t="shared" si="5"/>
        <v>0</v>
      </c>
      <c r="S79" s="275">
        <f t="shared" si="5"/>
        <v>0</v>
      </c>
      <c r="T79" s="279"/>
      <c r="U79" s="279"/>
    </row>
    <row r="80" spans="6:23" x14ac:dyDescent="0.25">
      <c r="F80" s="93" t="s">
        <v>941</v>
      </c>
      <c r="G80" s="36" t="s">
        <v>141</v>
      </c>
      <c r="H80" s="93"/>
      <c r="I80" s="93"/>
      <c r="J80" s="268">
        <f t="shared" si="5"/>
        <v>-1</v>
      </c>
      <c r="K80" s="268">
        <f t="shared" si="5"/>
        <v>-1</v>
      </c>
      <c r="L80" s="268">
        <f t="shared" si="5"/>
        <v>-1</v>
      </c>
      <c r="M80" s="268">
        <f t="shared" si="5"/>
        <v>-1</v>
      </c>
      <c r="N80" s="268">
        <f t="shared" si="5"/>
        <v>-1</v>
      </c>
      <c r="O80" s="268">
        <f t="shared" si="5"/>
        <v>-1</v>
      </c>
      <c r="P80" s="268">
        <f t="shared" si="5"/>
        <v>0</v>
      </c>
      <c r="Q80" s="268">
        <f t="shared" si="5"/>
        <v>-1</v>
      </c>
      <c r="R80" s="268">
        <f t="shared" si="5"/>
        <v>0</v>
      </c>
      <c r="S80" s="268">
        <f t="shared" si="5"/>
        <v>0</v>
      </c>
      <c r="T80" s="240"/>
      <c r="U80" s="240"/>
    </row>
    <row r="81" spans="5:23" x14ac:dyDescent="0.25">
      <c r="G81" s="108"/>
      <c r="J81" s="252"/>
      <c r="K81" s="252"/>
      <c r="L81" s="252"/>
      <c r="M81" s="252"/>
      <c r="N81" s="252"/>
      <c r="O81" s="252"/>
      <c r="P81" s="252"/>
      <c r="Q81" s="252"/>
      <c r="R81" s="252"/>
      <c r="S81" s="252"/>
      <c r="T81" s="252"/>
      <c r="U81" s="252"/>
    </row>
    <row r="82" spans="5:23" x14ac:dyDescent="0.25">
      <c r="E82" s="96" t="s">
        <v>330</v>
      </c>
      <c r="G82" s="108"/>
      <c r="I82" s="293" t="s">
        <v>359</v>
      </c>
      <c r="J82" s="252"/>
      <c r="K82" s="252"/>
      <c r="L82" s="252"/>
      <c r="M82" s="252"/>
      <c r="N82" s="252"/>
      <c r="O82" s="252"/>
      <c r="P82" s="252"/>
      <c r="Q82" s="252"/>
      <c r="R82" s="252"/>
      <c r="S82" s="252"/>
      <c r="T82" s="252"/>
      <c r="U82" s="252"/>
      <c r="W82" s="88" t="s">
        <v>784</v>
      </c>
    </row>
    <row r="83" spans="5:23" x14ac:dyDescent="0.25">
      <c r="E83" s="82" t="s">
        <v>262</v>
      </c>
      <c r="G83" s="108"/>
      <c r="J83" s="252"/>
      <c r="K83" s="252"/>
      <c r="L83" s="252"/>
      <c r="M83" s="252"/>
      <c r="N83" s="252"/>
      <c r="O83" s="252"/>
      <c r="P83" s="252"/>
      <c r="Q83" s="252"/>
      <c r="R83" s="252"/>
      <c r="S83" s="252"/>
      <c r="T83" s="252"/>
      <c r="U83" s="252"/>
    </row>
    <row r="84" spans="5:23" x14ac:dyDescent="0.25">
      <c r="F84" s="91" t="s">
        <v>926</v>
      </c>
      <c r="G84" s="40" t="s">
        <v>132</v>
      </c>
      <c r="H84" s="91"/>
      <c r="I84" s="91"/>
      <c r="J84" s="272">
        <f t="array" ref="J84:S99">TRANSPOSE('Fixed inputs'!J73:Y82)</f>
        <v>1</v>
      </c>
      <c r="K84" s="272">
        <v>1</v>
      </c>
      <c r="L84" s="272">
        <v>1</v>
      </c>
      <c r="M84" s="272">
        <v>1</v>
      </c>
      <c r="N84" s="272">
        <v>1</v>
      </c>
      <c r="O84" s="272">
        <v>1</v>
      </c>
      <c r="P84" s="272">
        <v>1</v>
      </c>
      <c r="Q84" s="272">
        <v>1</v>
      </c>
      <c r="R84" s="272">
        <v>1</v>
      </c>
      <c r="S84" s="272">
        <v>1</v>
      </c>
      <c r="T84" s="238"/>
      <c r="U84" s="238"/>
    </row>
    <row r="85" spans="5:23" x14ac:dyDescent="0.25">
      <c r="F85" s="293" t="s">
        <v>927</v>
      </c>
      <c r="G85" s="109" t="s">
        <v>132</v>
      </c>
      <c r="J85" s="273">
        <v>1</v>
      </c>
      <c r="K85" s="273">
        <v>1</v>
      </c>
      <c r="L85" s="273">
        <v>1</v>
      </c>
      <c r="M85" s="273">
        <v>1</v>
      </c>
      <c r="N85" s="273">
        <v>1</v>
      </c>
      <c r="O85" s="273">
        <v>1</v>
      </c>
      <c r="P85" s="273">
        <v>1</v>
      </c>
      <c r="Q85" s="273">
        <v>1</v>
      </c>
      <c r="R85" s="273">
        <v>1</v>
      </c>
      <c r="S85" s="273">
        <v>1</v>
      </c>
      <c r="T85" s="279"/>
      <c r="U85" s="279"/>
    </row>
    <row r="86" spans="5:23" x14ac:dyDescent="0.25">
      <c r="F86" s="293" t="s">
        <v>928</v>
      </c>
      <c r="G86" s="109" t="s">
        <v>132</v>
      </c>
      <c r="J86" s="273">
        <v>1</v>
      </c>
      <c r="K86" s="273">
        <v>1</v>
      </c>
      <c r="L86" s="273">
        <v>1</v>
      </c>
      <c r="M86" s="273">
        <v>1</v>
      </c>
      <c r="N86" s="273">
        <v>1</v>
      </c>
      <c r="O86" s="273">
        <v>1</v>
      </c>
      <c r="P86" s="273">
        <v>1</v>
      </c>
      <c r="Q86" s="273">
        <v>1</v>
      </c>
      <c r="R86" s="273">
        <v>1</v>
      </c>
      <c r="S86" s="273">
        <v>1</v>
      </c>
      <c r="T86" s="279"/>
      <c r="U86" s="279"/>
    </row>
    <row r="87" spans="5:23" x14ac:dyDescent="0.25">
      <c r="F87" s="293" t="s">
        <v>929</v>
      </c>
      <c r="G87" s="109" t="s">
        <v>132</v>
      </c>
      <c r="J87" s="273">
        <v>1</v>
      </c>
      <c r="K87" s="273">
        <v>1</v>
      </c>
      <c r="L87" s="273">
        <v>1</v>
      </c>
      <c r="M87" s="273">
        <v>1</v>
      </c>
      <c r="N87" s="273">
        <v>1</v>
      </c>
      <c r="O87" s="273">
        <v>1</v>
      </c>
      <c r="P87" s="273">
        <v>1</v>
      </c>
      <c r="Q87" s="273">
        <v>1</v>
      </c>
      <c r="R87" s="273">
        <v>1</v>
      </c>
      <c r="S87" s="273">
        <v>1</v>
      </c>
      <c r="T87" s="279"/>
      <c r="U87" s="279"/>
    </row>
    <row r="88" spans="5:23" x14ac:dyDescent="0.25">
      <c r="F88" s="293" t="s">
        <v>930</v>
      </c>
      <c r="G88" s="109" t="s">
        <v>132</v>
      </c>
      <c r="J88" s="273">
        <v>1</v>
      </c>
      <c r="K88" s="273">
        <v>1</v>
      </c>
      <c r="L88" s="273">
        <v>1</v>
      </c>
      <c r="M88" s="273">
        <v>1</v>
      </c>
      <c r="N88" s="273">
        <v>1</v>
      </c>
      <c r="O88" s="273">
        <v>1</v>
      </c>
      <c r="P88" s="273">
        <v>1</v>
      </c>
      <c r="Q88" s="273">
        <v>1</v>
      </c>
      <c r="R88" s="273">
        <v>1</v>
      </c>
      <c r="S88" s="273">
        <v>1</v>
      </c>
      <c r="T88" s="279"/>
      <c r="U88" s="279"/>
    </row>
    <row r="89" spans="5:23" x14ac:dyDescent="0.25">
      <c r="F89" s="293" t="s">
        <v>931</v>
      </c>
      <c r="G89" s="109" t="s">
        <v>132</v>
      </c>
      <c r="J89" s="273">
        <v>1</v>
      </c>
      <c r="K89" s="273">
        <v>1</v>
      </c>
      <c r="L89" s="273">
        <v>1</v>
      </c>
      <c r="M89" s="273">
        <v>1</v>
      </c>
      <c r="N89" s="273">
        <v>1</v>
      </c>
      <c r="O89" s="273">
        <v>1</v>
      </c>
      <c r="P89" s="273">
        <v>1</v>
      </c>
      <c r="Q89" s="273">
        <v>1</v>
      </c>
      <c r="R89" s="273">
        <v>1</v>
      </c>
      <c r="S89" s="273">
        <v>0</v>
      </c>
      <c r="T89" s="279"/>
      <c r="U89" s="279"/>
    </row>
    <row r="90" spans="5:23" x14ac:dyDescent="0.25">
      <c r="F90" s="293" t="s">
        <v>932</v>
      </c>
      <c r="G90" s="109" t="s">
        <v>132</v>
      </c>
      <c r="J90" s="273">
        <v>1</v>
      </c>
      <c r="K90" s="273">
        <v>1</v>
      </c>
      <c r="L90" s="273">
        <v>1</v>
      </c>
      <c r="M90" s="273">
        <v>1</v>
      </c>
      <c r="N90" s="273">
        <v>1</v>
      </c>
      <c r="O90" s="273">
        <v>1</v>
      </c>
      <c r="P90" s="273">
        <v>1</v>
      </c>
      <c r="Q90" s="273">
        <v>1</v>
      </c>
      <c r="R90" s="273">
        <v>0</v>
      </c>
      <c r="S90" s="273">
        <v>0</v>
      </c>
      <c r="T90" s="279"/>
      <c r="U90" s="279"/>
    </row>
    <row r="91" spans="5:23" x14ac:dyDescent="0.25">
      <c r="F91" s="293" t="s">
        <v>933</v>
      </c>
      <c r="G91" s="109" t="s">
        <v>132</v>
      </c>
      <c r="J91" s="273">
        <v>1</v>
      </c>
      <c r="K91" s="273">
        <v>1</v>
      </c>
      <c r="L91" s="273">
        <v>1</v>
      </c>
      <c r="M91" s="273">
        <v>1</v>
      </c>
      <c r="N91" s="273">
        <v>1</v>
      </c>
      <c r="O91" s="273">
        <v>1</v>
      </c>
      <c r="P91" s="273">
        <v>1</v>
      </c>
      <c r="Q91" s="273">
        <v>1</v>
      </c>
      <c r="R91" s="273">
        <v>1</v>
      </c>
      <c r="S91" s="273">
        <v>1</v>
      </c>
      <c r="T91" s="279"/>
      <c r="U91" s="279"/>
    </row>
    <row r="92" spans="5:23" x14ac:dyDescent="0.25">
      <c r="F92" s="293" t="s">
        <v>934</v>
      </c>
      <c r="G92" s="109" t="s">
        <v>132</v>
      </c>
      <c r="J92" s="273">
        <v>-1</v>
      </c>
      <c r="K92" s="273">
        <v>-1</v>
      </c>
      <c r="L92" s="273">
        <v>-1</v>
      </c>
      <c r="M92" s="273">
        <v>-1</v>
      </c>
      <c r="N92" s="273">
        <v>-1</v>
      </c>
      <c r="O92" s="273">
        <v>-1</v>
      </c>
      <c r="P92" s="273">
        <v>-1</v>
      </c>
      <c r="Q92" s="273">
        <v>-1</v>
      </c>
      <c r="R92" s="273">
        <v>-1</v>
      </c>
      <c r="S92" s="273">
        <v>0</v>
      </c>
      <c r="T92" s="279"/>
      <c r="U92" s="279"/>
    </row>
    <row r="93" spans="5:23" x14ac:dyDescent="0.25">
      <c r="F93" s="293" t="s">
        <v>935</v>
      </c>
      <c r="G93" s="109" t="s">
        <v>132</v>
      </c>
      <c r="J93" s="273">
        <v>-1</v>
      </c>
      <c r="K93" s="273">
        <v>-1</v>
      </c>
      <c r="L93" s="273">
        <v>-1</v>
      </c>
      <c r="M93" s="273">
        <v>-1</v>
      </c>
      <c r="N93" s="273">
        <v>-1</v>
      </c>
      <c r="O93" s="273">
        <v>-1</v>
      </c>
      <c r="P93" s="273">
        <v>-1</v>
      </c>
      <c r="Q93" s="273">
        <v>-1</v>
      </c>
      <c r="R93" s="273">
        <v>0</v>
      </c>
      <c r="S93" s="273">
        <v>0</v>
      </c>
      <c r="T93" s="279"/>
      <c r="U93" s="279"/>
    </row>
    <row r="94" spans="5:23" x14ac:dyDescent="0.25">
      <c r="F94" s="293" t="s">
        <v>936</v>
      </c>
      <c r="G94" s="109" t="s">
        <v>132</v>
      </c>
      <c r="J94" s="273">
        <v>-1</v>
      </c>
      <c r="K94" s="273">
        <v>-1</v>
      </c>
      <c r="L94" s="273">
        <v>-1</v>
      </c>
      <c r="M94" s="273">
        <v>-1</v>
      </c>
      <c r="N94" s="273">
        <v>-1</v>
      </c>
      <c r="O94" s="273">
        <v>-1</v>
      </c>
      <c r="P94" s="273">
        <v>-1</v>
      </c>
      <c r="Q94" s="273">
        <v>-1</v>
      </c>
      <c r="R94" s="273">
        <v>-1</v>
      </c>
      <c r="S94" s="273">
        <v>0</v>
      </c>
      <c r="T94" s="279"/>
      <c r="U94" s="279"/>
    </row>
    <row r="95" spans="5:23" x14ac:dyDescent="0.25">
      <c r="F95" s="293" t="s">
        <v>937</v>
      </c>
      <c r="G95" s="109" t="s">
        <v>132</v>
      </c>
      <c r="J95" s="273">
        <v>-1</v>
      </c>
      <c r="K95" s="273">
        <v>-1</v>
      </c>
      <c r="L95" s="273">
        <v>-1</v>
      </c>
      <c r="M95" s="273">
        <v>-1</v>
      </c>
      <c r="N95" s="273">
        <v>-1</v>
      </c>
      <c r="O95" s="273">
        <v>-1</v>
      </c>
      <c r="P95" s="273">
        <v>-1</v>
      </c>
      <c r="Q95" s="273">
        <v>-1</v>
      </c>
      <c r="R95" s="273">
        <v>-1</v>
      </c>
      <c r="S95" s="273">
        <v>0</v>
      </c>
      <c r="T95" s="279"/>
      <c r="U95" s="279"/>
    </row>
    <row r="96" spans="5:23" x14ac:dyDescent="0.25">
      <c r="F96" s="293" t="s">
        <v>938</v>
      </c>
      <c r="G96" s="109" t="s">
        <v>132</v>
      </c>
      <c r="J96" s="273">
        <v>-1</v>
      </c>
      <c r="K96" s="273">
        <v>-1</v>
      </c>
      <c r="L96" s="273">
        <v>-1</v>
      </c>
      <c r="M96" s="273">
        <v>-1</v>
      </c>
      <c r="N96" s="273">
        <v>-1</v>
      </c>
      <c r="O96" s="273">
        <v>-1</v>
      </c>
      <c r="P96" s="273">
        <v>-1</v>
      </c>
      <c r="Q96" s="273">
        <v>-1</v>
      </c>
      <c r="R96" s="273">
        <v>0</v>
      </c>
      <c r="S96" s="273">
        <v>0</v>
      </c>
      <c r="T96" s="279"/>
      <c r="U96" s="279"/>
    </row>
    <row r="97" spans="5:23" x14ac:dyDescent="0.25">
      <c r="F97" s="293" t="s">
        <v>939</v>
      </c>
      <c r="G97" s="109" t="s">
        <v>132</v>
      </c>
      <c r="J97" s="273">
        <v>-1</v>
      </c>
      <c r="K97" s="273">
        <v>-1</v>
      </c>
      <c r="L97" s="273">
        <v>-1</v>
      </c>
      <c r="M97" s="273">
        <v>-1</v>
      </c>
      <c r="N97" s="273">
        <v>-1</v>
      </c>
      <c r="O97" s="273">
        <v>-1</v>
      </c>
      <c r="P97" s="273">
        <v>-1</v>
      </c>
      <c r="Q97" s="273">
        <v>-1</v>
      </c>
      <c r="R97" s="273">
        <v>0</v>
      </c>
      <c r="S97" s="273">
        <v>0</v>
      </c>
      <c r="T97" s="279"/>
      <c r="U97" s="279"/>
    </row>
    <row r="98" spans="5:23" x14ac:dyDescent="0.25">
      <c r="F98" s="293" t="s">
        <v>940</v>
      </c>
      <c r="G98" s="109" t="s">
        <v>132</v>
      </c>
      <c r="J98" s="273">
        <v>-1</v>
      </c>
      <c r="K98" s="273">
        <v>-1</v>
      </c>
      <c r="L98" s="273">
        <v>-1</v>
      </c>
      <c r="M98" s="273">
        <v>-1</v>
      </c>
      <c r="N98" s="273">
        <v>-1</v>
      </c>
      <c r="O98" s="273">
        <v>-1</v>
      </c>
      <c r="P98" s="273">
        <v>-1</v>
      </c>
      <c r="Q98" s="273">
        <v>0</v>
      </c>
      <c r="R98" s="273">
        <v>0</v>
      </c>
      <c r="S98" s="273">
        <v>0</v>
      </c>
      <c r="T98" s="279"/>
      <c r="U98" s="279"/>
    </row>
    <row r="99" spans="5:23" x14ac:dyDescent="0.25">
      <c r="F99" s="93" t="s">
        <v>941</v>
      </c>
      <c r="G99" s="36" t="s">
        <v>132</v>
      </c>
      <c r="H99" s="93"/>
      <c r="I99" s="93"/>
      <c r="J99" s="274">
        <v>-1</v>
      </c>
      <c r="K99" s="274">
        <v>-1</v>
      </c>
      <c r="L99" s="274">
        <v>-1</v>
      </c>
      <c r="M99" s="274">
        <v>-1</v>
      </c>
      <c r="N99" s="274">
        <v>-1</v>
      </c>
      <c r="O99" s="274">
        <v>-1</v>
      </c>
      <c r="P99" s="274">
        <v>-1</v>
      </c>
      <c r="Q99" s="274">
        <v>0</v>
      </c>
      <c r="R99" s="274">
        <v>0</v>
      </c>
      <c r="S99" s="274">
        <v>0</v>
      </c>
      <c r="T99" s="240"/>
      <c r="U99" s="240"/>
    </row>
    <row r="100" spans="5:23" x14ac:dyDescent="0.25">
      <c r="G100" s="108"/>
      <c r="J100" s="252"/>
      <c r="K100" s="252"/>
      <c r="L100" s="252"/>
      <c r="M100" s="252"/>
      <c r="N100" s="252"/>
      <c r="O100" s="252"/>
      <c r="P100" s="252"/>
      <c r="Q100" s="252"/>
      <c r="R100" s="252"/>
      <c r="S100" s="252"/>
      <c r="T100" s="252"/>
      <c r="U100" s="252"/>
    </row>
    <row r="101" spans="5:23" x14ac:dyDescent="0.25">
      <c r="E101" s="96" t="s">
        <v>444</v>
      </c>
      <c r="G101" s="108"/>
      <c r="I101" s="293" t="s">
        <v>359</v>
      </c>
      <c r="J101" s="252"/>
      <c r="K101" s="252"/>
      <c r="L101" s="252"/>
      <c r="M101" s="252"/>
      <c r="N101" s="252"/>
      <c r="O101" s="252"/>
      <c r="P101" s="252"/>
      <c r="Q101" s="252"/>
      <c r="R101" s="252"/>
      <c r="S101" s="252"/>
      <c r="T101" s="252"/>
      <c r="U101" s="252"/>
      <c r="W101" s="88" t="s">
        <v>784</v>
      </c>
    </row>
    <row r="102" spans="5:23" x14ac:dyDescent="0.25">
      <c r="E102" s="82" t="s">
        <v>262</v>
      </c>
      <c r="G102" s="108"/>
      <c r="J102" s="252"/>
      <c r="K102" s="252"/>
      <c r="L102" s="252"/>
      <c r="M102" s="252"/>
      <c r="N102" s="252"/>
      <c r="O102" s="252"/>
      <c r="P102" s="252"/>
      <c r="Q102" s="252"/>
      <c r="R102" s="252"/>
      <c r="S102" s="252"/>
      <c r="T102" s="252"/>
      <c r="U102" s="252"/>
    </row>
    <row r="103" spans="5:23" x14ac:dyDescent="0.25">
      <c r="E103" s="82" t="s">
        <v>325</v>
      </c>
      <c r="G103" s="108"/>
      <c r="J103" s="252"/>
      <c r="K103" s="252"/>
      <c r="L103" s="252"/>
      <c r="M103" s="252"/>
      <c r="N103" s="252"/>
      <c r="O103" s="252"/>
      <c r="P103" s="252"/>
      <c r="Q103" s="252"/>
      <c r="R103" s="252"/>
      <c r="S103" s="252"/>
      <c r="T103" s="252"/>
      <c r="U103" s="252"/>
    </row>
    <row r="104" spans="5:23" x14ac:dyDescent="0.25">
      <c r="F104" s="91" t="s">
        <v>926</v>
      </c>
      <c r="G104" s="40" t="s">
        <v>132</v>
      </c>
      <c r="H104" s="91"/>
      <c r="I104" s="91"/>
      <c r="J104" s="267">
        <f t="shared" ref="J104:S119" si="6">IF(J$38 = "", J84, J84 * J$38)</f>
        <v>1</v>
      </c>
      <c r="K104" s="267">
        <f t="shared" si="6"/>
        <v>1</v>
      </c>
      <c r="L104" s="267">
        <f t="shared" si="6"/>
        <v>1</v>
      </c>
      <c r="M104" s="267">
        <f t="shared" si="6"/>
        <v>1</v>
      </c>
      <c r="N104" s="267">
        <f t="shared" si="6"/>
        <v>1</v>
      </c>
      <c r="O104" s="267">
        <f t="shared" si="6"/>
        <v>1</v>
      </c>
      <c r="P104" s="267">
        <f t="shared" si="6"/>
        <v>0</v>
      </c>
      <c r="Q104" s="267">
        <f t="shared" si="6"/>
        <v>1</v>
      </c>
      <c r="R104" s="267">
        <f t="shared" si="6"/>
        <v>1</v>
      </c>
      <c r="S104" s="267">
        <f t="shared" si="6"/>
        <v>1</v>
      </c>
      <c r="T104" s="238"/>
      <c r="U104" s="238"/>
    </row>
    <row r="105" spans="5:23" x14ac:dyDescent="0.25">
      <c r="F105" s="293" t="s">
        <v>927</v>
      </c>
      <c r="G105" s="109" t="s">
        <v>132</v>
      </c>
      <c r="J105" s="275">
        <f t="shared" si="6"/>
        <v>1</v>
      </c>
      <c r="K105" s="275">
        <f t="shared" si="6"/>
        <v>1</v>
      </c>
      <c r="L105" s="275">
        <f t="shared" si="6"/>
        <v>1</v>
      </c>
      <c r="M105" s="275">
        <f t="shared" si="6"/>
        <v>1</v>
      </c>
      <c r="N105" s="275">
        <f t="shared" si="6"/>
        <v>1</v>
      </c>
      <c r="O105" s="275">
        <f t="shared" si="6"/>
        <v>1</v>
      </c>
      <c r="P105" s="275">
        <f t="shared" si="6"/>
        <v>0</v>
      </c>
      <c r="Q105" s="275">
        <f t="shared" si="6"/>
        <v>1</v>
      </c>
      <c r="R105" s="275">
        <f t="shared" si="6"/>
        <v>1</v>
      </c>
      <c r="S105" s="275">
        <f t="shared" si="6"/>
        <v>1</v>
      </c>
      <c r="T105" s="279"/>
      <c r="U105" s="279"/>
    </row>
    <row r="106" spans="5:23" x14ac:dyDescent="0.25">
      <c r="F106" s="293" t="s">
        <v>928</v>
      </c>
      <c r="G106" s="109" t="s">
        <v>132</v>
      </c>
      <c r="J106" s="275">
        <f t="shared" si="6"/>
        <v>1</v>
      </c>
      <c r="K106" s="275">
        <f t="shared" si="6"/>
        <v>1</v>
      </c>
      <c r="L106" s="275">
        <f t="shared" si="6"/>
        <v>1</v>
      </c>
      <c r="M106" s="275">
        <f t="shared" si="6"/>
        <v>1</v>
      </c>
      <c r="N106" s="275">
        <f t="shared" si="6"/>
        <v>1</v>
      </c>
      <c r="O106" s="275">
        <f t="shared" si="6"/>
        <v>1</v>
      </c>
      <c r="P106" s="275">
        <f t="shared" si="6"/>
        <v>0</v>
      </c>
      <c r="Q106" s="275">
        <f t="shared" si="6"/>
        <v>1</v>
      </c>
      <c r="R106" s="275">
        <f t="shared" si="6"/>
        <v>1</v>
      </c>
      <c r="S106" s="275">
        <f t="shared" si="6"/>
        <v>1</v>
      </c>
      <c r="T106" s="279"/>
      <c r="U106" s="279"/>
    </row>
    <row r="107" spans="5:23" x14ac:dyDescent="0.25">
      <c r="F107" s="293" t="s">
        <v>929</v>
      </c>
      <c r="G107" s="109" t="s">
        <v>132</v>
      </c>
      <c r="J107" s="275">
        <f t="shared" si="6"/>
        <v>1</v>
      </c>
      <c r="K107" s="275">
        <f t="shared" si="6"/>
        <v>1</v>
      </c>
      <c r="L107" s="275">
        <f t="shared" si="6"/>
        <v>1</v>
      </c>
      <c r="M107" s="275">
        <f t="shared" si="6"/>
        <v>1</v>
      </c>
      <c r="N107" s="275">
        <f t="shared" si="6"/>
        <v>1</v>
      </c>
      <c r="O107" s="275">
        <f t="shared" si="6"/>
        <v>1</v>
      </c>
      <c r="P107" s="275">
        <f t="shared" si="6"/>
        <v>0</v>
      </c>
      <c r="Q107" s="275">
        <f t="shared" si="6"/>
        <v>1</v>
      </c>
      <c r="R107" s="275">
        <f t="shared" si="6"/>
        <v>1</v>
      </c>
      <c r="S107" s="275">
        <f t="shared" si="6"/>
        <v>1</v>
      </c>
      <c r="T107" s="279"/>
      <c r="U107" s="279"/>
    </row>
    <row r="108" spans="5:23" x14ac:dyDescent="0.25">
      <c r="F108" s="293" t="s">
        <v>930</v>
      </c>
      <c r="G108" s="109" t="s">
        <v>132</v>
      </c>
      <c r="J108" s="275">
        <f t="shared" si="6"/>
        <v>1</v>
      </c>
      <c r="K108" s="275">
        <f t="shared" si="6"/>
        <v>1</v>
      </c>
      <c r="L108" s="275">
        <f t="shared" si="6"/>
        <v>1</v>
      </c>
      <c r="M108" s="275">
        <f t="shared" si="6"/>
        <v>1</v>
      </c>
      <c r="N108" s="275">
        <f t="shared" si="6"/>
        <v>1</v>
      </c>
      <c r="O108" s="275">
        <f t="shared" si="6"/>
        <v>1</v>
      </c>
      <c r="P108" s="275">
        <f t="shared" si="6"/>
        <v>0</v>
      </c>
      <c r="Q108" s="275">
        <f t="shared" si="6"/>
        <v>1</v>
      </c>
      <c r="R108" s="275">
        <f t="shared" si="6"/>
        <v>1</v>
      </c>
      <c r="S108" s="275">
        <f t="shared" si="6"/>
        <v>1</v>
      </c>
      <c r="T108" s="279"/>
      <c r="U108" s="279"/>
    </row>
    <row r="109" spans="5:23" x14ac:dyDescent="0.25">
      <c r="F109" s="293" t="s">
        <v>931</v>
      </c>
      <c r="G109" s="109" t="s">
        <v>132</v>
      </c>
      <c r="J109" s="275">
        <f t="shared" si="6"/>
        <v>1</v>
      </c>
      <c r="K109" s="275">
        <f t="shared" si="6"/>
        <v>1</v>
      </c>
      <c r="L109" s="275">
        <f t="shared" si="6"/>
        <v>1</v>
      </c>
      <c r="M109" s="275">
        <f t="shared" si="6"/>
        <v>1</v>
      </c>
      <c r="N109" s="275">
        <f t="shared" si="6"/>
        <v>1</v>
      </c>
      <c r="O109" s="275">
        <f t="shared" si="6"/>
        <v>1</v>
      </c>
      <c r="P109" s="275">
        <f t="shared" si="6"/>
        <v>0</v>
      </c>
      <c r="Q109" s="275">
        <f t="shared" si="6"/>
        <v>1</v>
      </c>
      <c r="R109" s="275">
        <f t="shared" si="6"/>
        <v>1</v>
      </c>
      <c r="S109" s="275">
        <f t="shared" si="6"/>
        <v>0</v>
      </c>
      <c r="T109" s="279"/>
      <c r="U109" s="279"/>
    </row>
    <row r="110" spans="5:23" x14ac:dyDescent="0.25">
      <c r="F110" s="293" t="s">
        <v>932</v>
      </c>
      <c r="G110" s="109" t="s">
        <v>132</v>
      </c>
      <c r="J110" s="275">
        <f t="shared" si="6"/>
        <v>1</v>
      </c>
      <c r="K110" s="275">
        <f t="shared" si="6"/>
        <v>1</v>
      </c>
      <c r="L110" s="275">
        <f t="shared" si="6"/>
        <v>1</v>
      </c>
      <c r="M110" s="275">
        <f t="shared" si="6"/>
        <v>1</v>
      </c>
      <c r="N110" s="275">
        <f t="shared" si="6"/>
        <v>1</v>
      </c>
      <c r="O110" s="275">
        <f t="shared" si="6"/>
        <v>1</v>
      </c>
      <c r="P110" s="275">
        <f t="shared" si="6"/>
        <v>0</v>
      </c>
      <c r="Q110" s="275">
        <f t="shared" si="6"/>
        <v>1</v>
      </c>
      <c r="R110" s="275">
        <f t="shared" si="6"/>
        <v>0</v>
      </c>
      <c r="S110" s="275">
        <f t="shared" si="6"/>
        <v>0</v>
      </c>
      <c r="T110" s="279"/>
      <c r="U110" s="279"/>
    </row>
    <row r="111" spans="5:23" x14ac:dyDescent="0.25">
      <c r="F111" s="293" t="s">
        <v>933</v>
      </c>
      <c r="G111" s="109" t="s">
        <v>132</v>
      </c>
      <c r="J111" s="275">
        <f t="shared" si="6"/>
        <v>1</v>
      </c>
      <c r="K111" s="275">
        <f t="shared" si="6"/>
        <v>1</v>
      </c>
      <c r="L111" s="275">
        <f t="shared" si="6"/>
        <v>1</v>
      </c>
      <c r="M111" s="275">
        <f t="shared" si="6"/>
        <v>1</v>
      </c>
      <c r="N111" s="275">
        <f t="shared" si="6"/>
        <v>1</v>
      </c>
      <c r="O111" s="275">
        <f t="shared" si="6"/>
        <v>1</v>
      </c>
      <c r="P111" s="275">
        <f t="shared" si="6"/>
        <v>0</v>
      </c>
      <c r="Q111" s="275">
        <f t="shared" si="6"/>
        <v>1</v>
      </c>
      <c r="R111" s="275">
        <f t="shared" si="6"/>
        <v>1</v>
      </c>
      <c r="S111" s="275">
        <f t="shared" si="6"/>
        <v>1</v>
      </c>
      <c r="T111" s="279"/>
      <c r="U111" s="279"/>
    </row>
    <row r="112" spans="5:23" x14ac:dyDescent="0.25">
      <c r="F112" s="293" t="s">
        <v>934</v>
      </c>
      <c r="G112" s="109" t="s">
        <v>132</v>
      </c>
      <c r="J112" s="275">
        <f t="shared" si="6"/>
        <v>-1</v>
      </c>
      <c r="K112" s="275">
        <f t="shared" si="6"/>
        <v>-1</v>
      </c>
      <c r="L112" s="275">
        <f t="shared" si="6"/>
        <v>-1</v>
      </c>
      <c r="M112" s="275">
        <f t="shared" si="6"/>
        <v>-1</v>
      </c>
      <c r="N112" s="275">
        <f t="shared" si="6"/>
        <v>-1</v>
      </c>
      <c r="O112" s="275">
        <f t="shared" si="6"/>
        <v>-1</v>
      </c>
      <c r="P112" s="275">
        <f t="shared" si="6"/>
        <v>0</v>
      </c>
      <c r="Q112" s="275">
        <f t="shared" si="6"/>
        <v>-1</v>
      </c>
      <c r="R112" s="275">
        <f t="shared" si="6"/>
        <v>-1</v>
      </c>
      <c r="S112" s="275">
        <f t="shared" si="6"/>
        <v>0</v>
      </c>
      <c r="T112" s="279"/>
      <c r="U112" s="279"/>
    </row>
    <row r="113" spans="3:23" x14ac:dyDescent="0.25">
      <c r="F113" s="293" t="s">
        <v>935</v>
      </c>
      <c r="G113" s="109" t="s">
        <v>132</v>
      </c>
      <c r="J113" s="275">
        <f t="shared" si="6"/>
        <v>-1</v>
      </c>
      <c r="K113" s="275">
        <f t="shared" si="6"/>
        <v>-1</v>
      </c>
      <c r="L113" s="275">
        <f t="shared" si="6"/>
        <v>-1</v>
      </c>
      <c r="M113" s="275">
        <f t="shared" si="6"/>
        <v>-1</v>
      </c>
      <c r="N113" s="275">
        <f t="shared" si="6"/>
        <v>-1</v>
      </c>
      <c r="O113" s="275">
        <f t="shared" si="6"/>
        <v>-1</v>
      </c>
      <c r="P113" s="275">
        <f t="shared" si="6"/>
        <v>0</v>
      </c>
      <c r="Q113" s="275">
        <f t="shared" si="6"/>
        <v>-1</v>
      </c>
      <c r="R113" s="275">
        <f t="shared" si="6"/>
        <v>0</v>
      </c>
      <c r="S113" s="275">
        <f t="shared" si="6"/>
        <v>0</v>
      </c>
      <c r="T113" s="279"/>
      <c r="U113" s="279"/>
    </row>
    <row r="114" spans="3:23" x14ac:dyDescent="0.25">
      <c r="F114" s="293" t="s">
        <v>936</v>
      </c>
      <c r="G114" s="109" t="s">
        <v>132</v>
      </c>
      <c r="J114" s="275">
        <f t="shared" si="6"/>
        <v>-1</v>
      </c>
      <c r="K114" s="275">
        <f t="shared" si="6"/>
        <v>-1</v>
      </c>
      <c r="L114" s="275">
        <f t="shared" si="6"/>
        <v>-1</v>
      </c>
      <c r="M114" s="275">
        <f t="shared" si="6"/>
        <v>-1</v>
      </c>
      <c r="N114" s="275">
        <f t="shared" si="6"/>
        <v>-1</v>
      </c>
      <c r="O114" s="275">
        <f t="shared" si="6"/>
        <v>-1</v>
      </c>
      <c r="P114" s="275">
        <f t="shared" si="6"/>
        <v>0</v>
      </c>
      <c r="Q114" s="275">
        <f t="shared" si="6"/>
        <v>-1</v>
      </c>
      <c r="R114" s="275">
        <f t="shared" si="6"/>
        <v>-1</v>
      </c>
      <c r="S114" s="275">
        <f t="shared" si="6"/>
        <v>0</v>
      </c>
      <c r="T114" s="279"/>
      <c r="U114" s="279"/>
    </row>
    <row r="115" spans="3:23" x14ac:dyDescent="0.25">
      <c r="F115" s="293" t="s">
        <v>937</v>
      </c>
      <c r="G115" s="109" t="s">
        <v>132</v>
      </c>
      <c r="J115" s="275">
        <f t="shared" si="6"/>
        <v>-1</v>
      </c>
      <c r="K115" s="275">
        <f t="shared" si="6"/>
        <v>-1</v>
      </c>
      <c r="L115" s="275">
        <f t="shared" si="6"/>
        <v>-1</v>
      </c>
      <c r="M115" s="275">
        <f t="shared" si="6"/>
        <v>-1</v>
      </c>
      <c r="N115" s="275">
        <f t="shared" si="6"/>
        <v>-1</v>
      </c>
      <c r="O115" s="275">
        <f t="shared" si="6"/>
        <v>-1</v>
      </c>
      <c r="P115" s="275">
        <f t="shared" si="6"/>
        <v>0</v>
      </c>
      <c r="Q115" s="275">
        <f t="shared" si="6"/>
        <v>-1</v>
      </c>
      <c r="R115" s="275">
        <f t="shared" si="6"/>
        <v>-1</v>
      </c>
      <c r="S115" s="275">
        <f t="shared" si="6"/>
        <v>0</v>
      </c>
      <c r="T115" s="279"/>
      <c r="U115" s="279"/>
    </row>
    <row r="116" spans="3:23" x14ac:dyDescent="0.25">
      <c r="F116" s="293" t="s">
        <v>938</v>
      </c>
      <c r="G116" s="109" t="s">
        <v>132</v>
      </c>
      <c r="J116" s="275">
        <f t="shared" si="6"/>
        <v>-1</v>
      </c>
      <c r="K116" s="275">
        <f t="shared" si="6"/>
        <v>-1</v>
      </c>
      <c r="L116" s="275">
        <f t="shared" si="6"/>
        <v>-1</v>
      </c>
      <c r="M116" s="275">
        <f t="shared" si="6"/>
        <v>-1</v>
      </c>
      <c r="N116" s="275">
        <f t="shared" si="6"/>
        <v>-1</v>
      </c>
      <c r="O116" s="275">
        <f t="shared" si="6"/>
        <v>-1</v>
      </c>
      <c r="P116" s="275">
        <f t="shared" si="6"/>
        <v>0</v>
      </c>
      <c r="Q116" s="275">
        <f t="shared" si="6"/>
        <v>-1</v>
      </c>
      <c r="R116" s="275">
        <f t="shared" si="6"/>
        <v>0</v>
      </c>
      <c r="S116" s="275">
        <f t="shared" si="6"/>
        <v>0</v>
      </c>
      <c r="T116" s="279"/>
      <c r="U116" s="279"/>
    </row>
    <row r="117" spans="3:23" x14ac:dyDescent="0.25">
      <c r="F117" s="293" t="s">
        <v>939</v>
      </c>
      <c r="G117" s="109" t="s">
        <v>132</v>
      </c>
      <c r="J117" s="275">
        <f t="shared" si="6"/>
        <v>-1</v>
      </c>
      <c r="K117" s="275">
        <f t="shared" si="6"/>
        <v>-1</v>
      </c>
      <c r="L117" s="275">
        <f t="shared" si="6"/>
        <v>-1</v>
      </c>
      <c r="M117" s="275">
        <f t="shared" si="6"/>
        <v>-1</v>
      </c>
      <c r="N117" s="275">
        <f t="shared" si="6"/>
        <v>-1</v>
      </c>
      <c r="O117" s="275">
        <f t="shared" si="6"/>
        <v>-1</v>
      </c>
      <c r="P117" s="275">
        <f t="shared" si="6"/>
        <v>0</v>
      </c>
      <c r="Q117" s="275">
        <f t="shared" si="6"/>
        <v>-1</v>
      </c>
      <c r="R117" s="275">
        <f t="shared" si="6"/>
        <v>0</v>
      </c>
      <c r="S117" s="275">
        <f t="shared" si="6"/>
        <v>0</v>
      </c>
      <c r="T117" s="279"/>
      <c r="U117" s="279"/>
    </row>
    <row r="118" spans="3:23" x14ac:dyDescent="0.25">
      <c r="F118" s="293" t="s">
        <v>940</v>
      </c>
      <c r="G118" s="109" t="s">
        <v>132</v>
      </c>
      <c r="J118" s="275">
        <f t="shared" si="6"/>
        <v>-1</v>
      </c>
      <c r="K118" s="275">
        <f t="shared" si="6"/>
        <v>-1</v>
      </c>
      <c r="L118" s="275">
        <f t="shared" si="6"/>
        <v>-1</v>
      </c>
      <c r="M118" s="275">
        <f t="shared" si="6"/>
        <v>-1</v>
      </c>
      <c r="N118" s="275">
        <f t="shared" si="6"/>
        <v>-1</v>
      </c>
      <c r="O118" s="275">
        <f t="shared" si="6"/>
        <v>-1</v>
      </c>
      <c r="P118" s="275">
        <f t="shared" si="6"/>
        <v>0</v>
      </c>
      <c r="Q118" s="275">
        <f t="shared" si="6"/>
        <v>0</v>
      </c>
      <c r="R118" s="275">
        <f t="shared" si="6"/>
        <v>0</v>
      </c>
      <c r="S118" s="275">
        <f t="shared" si="6"/>
        <v>0</v>
      </c>
      <c r="T118" s="279"/>
      <c r="U118" s="279"/>
    </row>
    <row r="119" spans="3:23" x14ac:dyDescent="0.25">
      <c r="F119" s="93" t="s">
        <v>941</v>
      </c>
      <c r="G119" s="36" t="s">
        <v>132</v>
      </c>
      <c r="H119" s="93"/>
      <c r="I119" s="93"/>
      <c r="J119" s="268">
        <f t="shared" si="6"/>
        <v>-1</v>
      </c>
      <c r="K119" s="268">
        <f t="shared" si="6"/>
        <v>-1</v>
      </c>
      <c r="L119" s="268">
        <f t="shared" si="6"/>
        <v>-1</v>
      </c>
      <c r="M119" s="268">
        <f t="shared" si="6"/>
        <v>-1</v>
      </c>
      <c r="N119" s="268">
        <f t="shared" si="6"/>
        <v>-1</v>
      </c>
      <c r="O119" s="268">
        <f t="shared" si="6"/>
        <v>-1</v>
      </c>
      <c r="P119" s="268">
        <f t="shared" si="6"/>
        <v>0</v>
      </c>
      <c r="Q119" s="268">
        <f t="shared" si="6"/>
        <v>0</v>
      </c>
      <c r="R119" s="268">
        <f t="shared" si="6"/>
        <v>0</v>
      </c>
      <c r="S119" s="268">
        <f t="shared" si="6"/>
        <v>0</v>
      </c>
      <c r="T119" s="240"/>
      <c r="U119" s="240"/>
    </row>
    <row r="120" spans="3:23" x14ac:dyDescent="0.25">
      <c r="G120" s="108"/>
      <c r="J120" s="252"/>
      <c r="K120" s="252"/>
      <c r="L120" s="252"/>
      <c r="M120" s="252"/>
      <c r="N120" s="252"/>
      <c r="O120" s="252"/>
      <c r="P120" s="252"/>
      <c r="Q120" s="252"/>
      <c r="R120" s="252"/>
      <c r="S120" s="252"/>
      <c r="T120" s="252"/>
      <c r="U120" s="252"/>
    </row>
    <row r="121" spans="3:23" x14ac:dyDescent="0.25">
      <c r="C121" s="7" t="str">
        <f ca="1">INDEX('Version control'!$H$35:$H$61,MATCH($A$1,'Version control'!$F$35:$F$61,0),1)&amp;"-E: User loss factors"</f>
        <v>Section 505-E: User loss factors</v>
      </c>
      <c r="D121" s="7"/>
      <c r="E121" s="7"/>
      <c r="F121" s="7"/>
      <c r="G121" s="7"/>
      <c r="H121" s="7"/>
      <c r="I121" s="7"/>
      <c r="J121" s="242"/>
      <c r="K121" s="242"/>
      <c r="L121" s="242"/>
      <c r="M121" s="242"/>
      <c r="N121" s="242"/>
      <c r="O121" s="242"/>
      <c r="P121" s="242"/>
      <c r="Q121" s="242"/>
      <c r="R121" s="242"/>
      <c r="S121" s="242"/>
      <c r="T121" s="242"/>
      <c r="U121" s="242"/>
      <c r="V121" s="7"/>
      <c r="W121" s="7"/>
    </row>
    <row r="122" spans="3:23" x14ac:dyDescent="0.25">
      <c r="H122" s="88"/>
      <c r="I122" s="88"/>
      <c r="J122" s="276"/>
      <c r="K122" s="276"/>
      <c r="L122" s="276"/>
      <c r="M122" s="276"/>
      <c r="N122" s="276"/>
      <c r="O122" s="276"/>
      <c r="P122" s="276"/>
      <c r="Q122" s="276"/>
      <c r="R122" s="276"/>
      <c r="S122" s="276"/>
      <c r="T122" s="276"/>
      <c r="U122" s="276"/>
      <c r="W122" s="88"/>
    </row>
    <row r="123" spans="3:23" x14ac:dyDescent="0.25">
      <c r="E123" s="96" t="s">
        <v>333</v>
      </c>
      <c r="G123" s="108"/>
      <c r="J123" s="252"/>
      <c r="K123" s="252"/>
      <c r="L123" s="252"/>
      <c r="M123" s="252"/>
      <c r="N123" s="252"/>
      <c r="O123" s="252"/>
      <c r="P123" s="252"/>
      <c r="Q123" s="252"/>
      <c r="R123" s="252"/>
      <c r="S123" s="252"/>
      <c r="T123" s="252"/>
      <c r="U123" s="252"/>
      <c r="W123" s="88"/>
    </row>
    <row r="124" spans="3:23" x14ac:dyDescent="0.25">
      <c r="E124" s="82" t="s">
        <v>365</v>
      </c>
      <c r="G124" s="108"/>
      <c r="J124" s="252"/>
      <c r="K124" s="252"/>
      <c r="L124" s="252"/>
      <c r="M124" s="252"/>
      <c r="N124" s="252"/>
      <c r="O124" s="252"/>
      <c r="P124" s="252"/>
      <c r="Q124" s="252"/>
      <c r="R124" s="252"/>
      <c r="S124" s="252"/>
      <c r="T124" s="252"/>
      <c r="U124" s="252"/>
    </row>
    <row r="125" spans="3:23" x14ac:dyDescent="0.25">
      <c r="E125" s="82" t="s">
        <v>366</v>
      </c>
      <c r="G125" s="108"/>
      <c r="H125" s="41" t="s">
        <v>213</v>
      </c>
      <c r="J125" s="252"/>
      <c r="K125" s="252"/>
      <c r="L125" s="252"/>
      <c r="M125" s="252"/>
      <c r="N125" s="252"/>
      <c r="O125" s="252"/>
      <c r="P125" s="252"/>
      <c r="Q125" s="252"/>
      <c r="R125" s="252"/>
      <c r="S125" s="252"/>
      <c r="T125" s="252"/>
      <c r="U125" s="252"/>
    </row>
    <row r="126" spans="3:23" x14ac:dyDescent="0.25">
      <c r="F126" s="91" t="s">
        <v>926</v>
      </c>
      <c r="G126" s="40" t="s">
        <v>427</v>
      </c>
      <c r="H126" s="267">
        <f t="shared" ref="H126:H141" si="7">MAX(J126:S126)</f>
        <v>1.0880000000000001</v>
      </c>
      <c r="I126" s="91"/>
      <c r="J126" s="267">
        <f>OR(SUM(J65:$S65) = 1, SUM(J65:$S65) = -1) * J$29</f>
        <v>0</v>
      </c>
      <c r="K126" s="267">
        <f>OR(SUM(K65:$S65) = 1, SUM(K65:$S65) = -1) * K$29</f>
        <v>0</v>
      </c>
      <c r="L126" s="267">
        <f>OR(SUM(L65:$S65) = 1, SUM(L65:$S65) = -1) * L$29</f>
        <v>0</v>
      </c>
      <c r="M126" s="267">
        <f>OR(SUM(M65:$S65) = 1, SUM(M65:$S65) = -1) * M$29</f>
        <v>0</v>
      </c>
      <c r="N126" s="267">
        <f>OR(SUM(N65:$S65) = 1, SUM(N65:$S65) = -1) * N$29</f>
        <v>0</v>
      </c>
      <c r="O126" s="267">
        <f>OR(SUM(O65:$S65) = 1, SUM(O65:$S65) = -1) * O$29</f>
        <v>0</v>
      </c>
      <c r="P126" s="267">
        <f>OR(SUM(P65:$S65) = 1, SUM(P65:$S65) = -1) * P$29</f>
        <v>0</v>
      </c>
      <c r="Q126" s="267">
        <f>OR(SUM(Q65:$S65) = 1, SUM(Q65:$S65) = -1) * Q$29</f>
        <v>0</v>
      </c>
      <c r="R126" s="267">
        <f>OR(SUM(R65:$S65) = 1, SUM(R65:$S65) = -1) * R$29</f>
        <v>0</v>
      </c>
      <c r="S126" s="267">
        <f>OR(SUM(S65:$S65) = 1, SUM(S65:$S65) = -1) * S$29</f>
        <v>1.0880000000000001</v>
      </c>
      <c r="T126" s="238"/>
      <c r="U126" s="238"/>
      <c r="W126" s="88"/>
    </row>
    <row r="127" spans="3:23" x14ac:dyDescent="0.25">
      <c r="F127" s="293" t="s">
        <v>927</v>
      </c>
      <c r="G127" s="109" t="s">
        <v>427</v>
      </c>
      <c r="H127" s="275">
        <f t="shared" si="7"/>
        <v>1.0880000000000001</v>
      </c>
      <c r="J127" s="275">
        <f>OR(SUM(J66:$S66) = 1, SUM(J66:$S66) = -1) * J$29</f>
        <v>0</v>
      </c>
      <c r="K127" s="275">
        <f>OR(SUM(K66:$S66) = 1, SUM(K66:$S66) = -1) * K$29</f>
        <v>0</v>
      </c>
      <c r="L127" s="275">
        <f>OR(SUM(L66:$S66) = 1, SUM(L66:$S66) = -1) * L$29</f>
        <v>0</v>
      </c>
      <c r="M127" s="275">
        <f>OR(SUM(M66:$S66) = 1, SUM(M66:$S66) = -1) * M$29</f>
        <v>0</v>
      </c>
      <c r="N127" s="275">
        <f>OR(SUM(N66:$S66) = 1, SUM(N66:$S66) = -1) * N$29</f>
        <v>0</v>
      </c>
      <c r="O127" s="275">
        <f>OR(SUM(O66:$S66) = 1, SUM(O66:$S66) = -1) * O$29</f>
        <v>0</v>
      </c>
      <c r="P127" s="275">
        <f>OR(SUM(P66:$S66) = 1, SUM(P66:$S66) = -1) * P$29</f>
        <v>0</v>
      </c>
      <c r="Q127" s="275">
        <f>OR(SUM(Q66:$S66) = 1, SUM(Q66:$S66) = -1) * Q$29</f>
        <v>0</v>
      </c>
      <c r="R127" s="275">
        <f>OR(SUM(R66:$S66) = 1, SUM(R66:$S66) = -1) * R$29</f>
        <v>0</v>
      </c>
      <c r="S127" s="275">
        <f>OR(SUM(S66:$S66) = 1, SUM(S66:$S66) = -1) * S$29</f>
        <v>1.0880000000000001</v>
      </c>
      <c r="T127" s="279"/>
      <c r="U127" s="279"/>
      <c r="W127" s="88"/>
    </row>
    <row r="128" spans="3:23" x14ac:dyDescent="0.25">
      <c r="F128" s="293" t="s">
        <v>928</v>
      </c>
      <c r="G128" s="109" t="s">
        <v>427</v>
      </c>
      <c r="H128" s="275">
        <f t="shared" si="7"/>
        <v>1.0880000000000001</v>
      </c>
      <c r="J128" s="275">
        <f>OR(SUM(J67:$S67) = 1, SUM(J67:$S67) = -1) * J$29</f>
        <v>0</v>
      </c>
      <c r="K128" s="275">
        <f>OR(SUM(K67:$S67) = 1, SUM(K67:$S67) = -1) * K$29</f>
        <v>0</v>
      </c>
      <c r="L128" s="275">
        <f>OR(SUM(L67:$S67) = 1, SUM(L67:$S67) = -1) * L$29</f>
        <v>0</v>
      </c>
      <c r="M128" s="275">
        <f>OR(SUM(M67:$S67) = 1, SUM(M67:$S67) = -1) * M$29</f>
        <v>0</v>
      </c>
      <c r="N128" s="275">
        <f>OR(SUM(N67:$S67) = 1, SUM(N67:$S67) = -1) * N$29</f>
        <v>0</v>
      </c>
      <c r="O128" s="275">
        <f>OR(SUM(O67:$S67) = 1, SUM(O67:$S67) = -1) * O$29</f>
        <v>0</v>
      </c>
      <c r="P128" s="275">
        <f>OR(SUM(P67:$S67) = 1, SUM(P67:$S67) = -1) * P$29</f>
        <v>0</v>
      </c>
      <c r="Q128" s="275">
        <f>OR(SUM(Q67:$S67) = 1, SUM(Q67:$S67) = -1) * Q$29</f>
        <v>0</v>
      </c>
      <c r="R128" s="275">
        <f>OR(SUM(R67:$S67) = 1, SUM(R67:$S67) = -1) * R$29</f>
        <v>0</v>
      </c>
      <c r="S128" s="275">
        <f>OR(SUM(S67:$S67) = 1, SUM(S67:$S67) = -1) * S$29</f>
        <v>1.0880000000000001</v>
      </c>
      <c r="T128" s="279"/>
      <c r="U128" s="279"/>
      <c r="W128" s="88"/>
    </row>
    <row r="129" spans="5:23" x14ac:dyDescent="0.25">
      <c r="F129" s="293" t="s">
        <v>929</v>
      </c>
      <c r="G129" s="109" t="s">
        <v>427</v>
      </c>
      <c r="H129" s="275">
        <f t="shared" si="7"/>
        <v>1.0880000000000001</v>
      </c>
      <c r="J129" s="275">
        <f>OR(SUM(J68:$S68) = 1, SUM(J68:$S68) = -1) * J$29</f>
        <v>0</v>
      </c>
      <c r="K129" s="275">
        <f>OR(SUM(K68:$S68) = 1, SUM(K68:$S68) = -1) * K$29</f>
        <v>0</v>
      </c>
      <c r="L129" s="275">
        <f>OR(SUM(L68:$S68) = 1, SUM(L68:$S68) = -1) * L$29</f>
        <v>0</v>
      </c>
      <c r="M129" s="275">
        <f>OR(SUM(M68:$S68) = 1, SUM(M68:$S68) = -1) * M$29</f>
        <v>0</v>
      </c>
      <c r="N129" s="275">
        <f>OR(SUM(N68:$S68) = 1, SUM(N68:$S68) = -1) * N$29</f>
        <v>0</v>
      </c>
      <c r="O129" s="275">
        <f>OR(SUM(O68:$S68) = 1, SUM(O68:$S68) = -1) * O$29</f>
        <v>0</v>
      </c>
      <c r="P129" s="275">
        <f>OR(SUM(P68:$S68) = 1, SUM(P68:$S68) = -1) * P$29</f>
        <v>0</v>
      </c>
      <c r="Q129" s="275">
        <f>OR(SUM(Q68:$S68) = 1, SUM(Q68:$S68) = -1) * Q$29</f>
        <v>0</v>
      </c>
      <c r="R129" s="275">
        <f>OR(SUM(R68:$S68) = 1, SUM(R68:$S68) = -1) * R$29</f>
        <v>0</v>
      </c>
      <c r="S129" s="275">
        <f>OR(SUM(S68:$S68) = 1, SUM(S68:$S68) = -1) * S$29</f>
        <v>1.0880000000000001</v>
      </c>
      <c r="T129" s="279"/>
      <c r="U129" s="279"/>
    </row>
    <row r="130" spans="5:23" x14ac:dyDescent="0.25">
      <c r="F130" s="293" t="s">
        <v>930</v>
      </c>
      <c r="G130" s="109" t="s">
        <v>427</v>
      </c>
      <c r="H130" s="275">
        <f t="shared" si="7"/>
        <v>1.0880000000000001</v>
      </c>
      <c r="J130" s="275">
        <f>OR(SUM(J69:$S69) = 1, SUM(J69:$S69) = -1) * J$29</f>
        <v>0</v>
      </c>
      <c r="K130" s="275">
        <f>OR(SUM(K69:$S69) = 1, SUM(K69:$S69) = -1) * K$29</f>
        <v>0</v>
      </c>
      <c r="L130" s="275">
        <f>OR(SUM(L69:$S69) = 1, SUM(L69:$S69) = -1) * L$29</f>
        <v>0</v>
      </c>
      <c r="M130" s="275">
        <f>OR(SUM(M69:$S69) = 1, SUM(M69:$S69) = -1) * M$29</f>
        <v>0</v>
      </c>
      <c r="N130" s="275">
        <f>OR(SUM(N69:$S69) = 1, SUM(N69:$S69) = -1) * N$29</f>
        <v>0</v>
      </c>
      <c r="O130" s="275">
        <f>OR(SUM(O69:$S69) = 1, SUM(O69:$S69) = -1) * O$29</f>
        <v>0</v>
      </c>
      <c r="P130" s="275">
        <f>OR(SUM(P69:$S69) = 1, SUM(P69:$S69) = -1) * P$29</f>
        <v>0</v>
      </c>
      <c r="Q130" s="275">
        <f>OR(SUM(Q69:$S69) = 1, SUM(Q69:$S69) = -1) * Q$29</f>
        <v>0</v>
      </c>
      <c r="R130" s="275">
        <f>OR(SUM(R69:$S69) = 1, SUM(R69:$S69) = -1) * R$29</f>
        <v>0</v>
      </c>
      <c r="S130" s="275">
        <f>OR(SUM(S69:$S69) = 1, SUM(S69:$S69) = -1) * S$29</f>
        <v>1.0880000000000001</v>
      </c>
      <c r="T130" s="279"/>
      <c r="U130" s="279"/>
    </row>
    <row r="131" spans="5:23" x14ac:dyDescent="0.25">
      <c r="F131" s="293" t="s">
        <v>931</v>
      </c>
      <c r="G131" s="109" t="s">
        <v>427</v>
      </c>
      <c r="H131" s="275">
        <f t="shared" si="7"/>
        <v>1.044</v>
      </c>
      <c r="J131" s="275">
        <f>OR(SUM(J70:$S70) = 1, SUM(J70:$S70) = -1) * J$29</f>
        <v>0</v>
      </c>
      <c r="K131" s="275">
        <f>OR(SUM(K70:$S70) = 1, SUM(K70:$S70) = -1) * K$29</f>
        <v>0</v>
      </c>
      <c r="L131" s="275">
        <f>OR(SUM(L70:$S70) = 1, SUM(L70:$S70) = -1) * L$29</f>
        <v>0</v>
      </c>
      <c r="M131" s="275">
        <f>OR(SUM(M70:$S70) = 1, SUM(M70:$S70) = -1) * M$29</f>
        <v>0</v>
      </c>
      <c r="N131" s="275">
        <f>OR(SUM(N70:$S70) = 1, SUM(N70:$S70) = -1) * N$29</f>
        <v>0</v>
      </c>
      <c r="O131" s="275">
        <f>OR(SUM(O70:$S70) = 1, SUM(O70:$S70) = -1) * O$29</f>
        <v>0</v>
      </c>
      <c r="P131" s="275">
        <f>OR(SUM(P70:$S70) = 1, SUM(P70:$S70) = -1) * P$29</f>
        <v>0</v>
      </c>
      <c r="Q131" s="275">
        <f>OR(SUM(Q70:$S70) = 1, SUM(Q70:$S70) = -1) * Q$29</f>
        <v>0</v>
      </c>
      <c r="R131" s="275">
        <f>OR(SUM(R70:$S70) = 1, SUM(R70:$S70) = -1) * R$29</f>
        <v>1.044</v>
      </c>
      <c r="S131" s="275">
        <f>OR(SUM(S70:$S70) = 1, SUM(S70:$S70) = -1) * S$29</f>
        <v>0</v>
      </c>
      <c r="T131" s="279"/>
      <c r="U131" s="279"/>
    </row>
    <row r="132" spans="5:23" x14ac:dyDescent="0.25">
      <c r="F132" s="293" t="s">
        <v>932</v>
      </c>
      <c r="G132" s="109" t="s">
        <v>427</v>
      </c>
      <c r="H132" s="275">
        <f t="shared" si="7"/>
        <v>1.0289999999999999</v>
      </c>
      <c r="J132" s="275">
        <f>OR(SUM(J71:$S71) = 1, SUM(J71:$S71) = -1) * J$29</f>
        <v>0</v>
      </c>
      <c r="K132" s="275">
        <f>OR(SUM(K71:$S71) = 1, SUM(K71:$S71) = -1) * K$29</f>
        <v>0</v>
      </c>
      <c r="L132" s="275">
        <f>OR(SUM(L71:$S71) = 1, SUM(L71:$S71) = -1) * L$29</f>
        <v>0</v>
      </c>
      <c r="M132" s="275">
        <f>OR(SUM(M71:$S71) = 1, SUM(M71:$S71) = -1) * M$29</f>
        <v>0</v>
      </c>
      <c r="N132" s="275">
        <f>OR(SUM(N71:$S71) = 1, SUM(N71:$S71) = -1) * N$29</f>
        <v>0</v>
      </c>
      <c r="O132" s="275">
        <f>OR(SUM(O71:$S71) = 1, SUM(O71:$S71) = -1) * O$29</f>
        <v>0</v>
      </c>
      <c r="P132" s="275">
        <f>OR(SUM(P71:$S71) = 1, SUM(P71:$S71) = -1) * P$29</f>
        <v>1.02</v>
      </c>
      <c r="Q132" s="275">
        <f>OR(SUM(Q71:$S71) = 1, SUM(Q71:$S71) = -1) * Q$29</f>
        <v>1.0289999999999999</v>
      </c>
      <c r="R132" s="275">
        <f>OR(SUM(R71:$S71) = 1, SUM(R71:$S71) = -1) * R$29</f>
        <v>0</v>
      </c>
      <c r="S132" s="275">
        <f>OR(SUM(S71:$S71) = 1, SUM(S71:$S71) = -1) * S$29</f>
        <v>0</v>
      </c>
      <c r="T132" s="279"/>
      <c r="U132" s="279"/>
    </row>
    <row r="133" spans="5:23" x14ac:dyDescent="0.25">
      <c r="F133" s="293" t="s">
        <v>933</v>
      </c>
      <c r="G133" s="109" t="s">
        <v>427</v>
      </c>
      <c r="H133" s="275">
        <f t="shared" si="7"/>
        <v>1.0880000000000001</v>
      </c>
      <c r="J133" s="275">
        <f>OR(SUM(J72:$S72) = 1, SUM(J72:$S72) = -1) * J$29</f>
        <v>0</v>
      </c>
      <c r="K133" s="275">
        <f>OR(SUM(K72:$S72) = 1, SUM(K72:$S72) = -1) * K$29</f>
        <v>0</v>
      </c>
      <c r="L133" s="275">
        <f>OR(SUM(L72:$S72) = 1, SUM(L72:$S72) = -1) * L$29</f>
        <v>0</v>
      </c>
      <c r="M133" s="275">
        <f>OR(SUM(M72:$S72) = 1, SUM(M72:$S72) = -1) * M$29</f>
        <v>0</v>
      </c>
      <c r="N133" s="275">
        <f>OR(SUM(N72:$S72) = 1, SUM(N72:$S72) = -1) * N$29</f>
        <v>0</v>
      </c>
      <c r="O133" s="275">
        <f>OR(SUM(O72:$S72) = 1, SUM(O72:$S72) = -1) * O$29</f>
        <v>0</v>
      </c>
      <c r="P133" s="275">
        <f>OR(SUM(P72:$S72) = 1, SUM(P72:$S72) = -1) * P$29</f>
        <v>0</v>
      </c>
      <c r="Q133" s="275">
        <f>OR(SUM(Q72:$S72) = 1, SUM(Q72:$S72) = -1) * Q$29</f>
        <v>0</v>
      </c>
      <c r="R133" s="275">
        <f>OR(SUM(R72:$S72) = 1, SUM(R72:$S72) = -1) * R$29</f>
        <v>0</v>
      </c>
      <c r="S133" s="275">
        <f>OR(SUM(S72:$S72) = 1, SUM(S72:$S72) = -1) * S$29</f>
        <v>1.0880000000000001</v>
      </c>
      <c r="T133" s="279"/>
      <c r="U133" s="279"/>
    </row>
    <row r="134" spans="5:23" x14ac:dyDescent="0.25">
      <c r="F134" s="293" t="s">
        <v>934</v>
      </c>
      <c r="G134" s="109" t="s">
        <v>427</v>
      </c>
      <c r="H134" s="275">
        <f t="shared" si="7"/>
        <v>1.0880000000000001</v>
      </c>
      <c r="J134" s="275">
        <f>OR(SUM(J73:$S73) = 1, SUM(J73:$S73) = -1) * J$29</f>
        <v>0</v>
      </c>
      <c r="K134" s="275">
        <f>OR(SUM(K73:$S73) = 1, SUM(K73:$S73) = -1) * K$29</f>
        <v>0</v>
      </c>
      <c r="L134" s="275">
        <f>OR(SUM(L73:$S73) = 1, SUM(L73:$S73) = -1) * L$29</f>
        <v>0</v>
      </c>
      <c r="M134" s="275">
        <f>OR(SUM(M73:$S73) = 1, SUM(M73:$S73) = -1) * M$29</f>
        <v>0</v>
      </c>
      <c r="N134" s="275">
        <f>OR(SUM(N73:$S73) = 1, SUM(N73:$S73) = -1) * N$29</f>
        <v>0</v>
      </c>
      <c r="O134" s="275">
        <f>OR(SUM(O73:$S73) = 1, SUM(O73:$S73) = -1) * O$29</f>
        <v>0</v>
      </c>
      <c r="P134" s="275">
        <f>OR(SUM(P73:$S73) = 1, SUM(P73:$S73) = -1) * P$29</f>
        <v>0</v>
      </c>
      <c r="Q134" s="275">
        <f>OR(SUM(Q73:$S73) = 1, SUM(Q73:$S73) = -1) * Q$29</f>
        <v>0</v>
      </c>
      <c r="R134" s="275">
        <f>OR(SUM(R73:$S73) = 1, SUM(R73:$S73) = -1) * R$29</f>
        <v>0</v>
      </c>
      <c r="S134" s="275">
        <f>OR(SUM(S73:$S73) = 1, SUM(S73:$S73) = -1) * S$29</f>
        <v>1.0880000000000001</v>
      </c>
      <c r="T134" s="279"/>
      <c r="U134" s="279"/>
    </row>
    <row r="135" spans="5:23" x14ac:dyDescent="0.25">
      <c r="F135" s="293" t="s">
        <v>935</v>
      </c>
      <c r="G135" s="109" t="s">
        <v>427</v>
      </c>
      <c r="H135" s="275">
        <f t="shared" si="7"/>
        <v>1.044</v>
      </c>
      <c r="J135" s="275">
        <f>OR(SUM(J74:$S74) = 1, SUM(J74:$S74) = -1) * J$29</f>
        <v>0</v>
      </c>
      <c r="K135" s="275">
        <f>OR(SUM(K74:$S74) = 1, SUM(K74:$S74) = -1) * K$29</f>
        <v>0</v>
      </c>
      <c r="L135" s="275">
        <f>OR(SUM(L74:$S74) = 1, SUM(L74:$S74) = -1) * L$29</f>
        <v>0</v>
      </c>
      <c r="M135" s="275">
        <f>OR(SUM(M74:$S74) = 1, SUM(M74:$S74) = -1) * M$29</f>
        <v>0</v>
      </c>
      <c r="N135" s="275">
        <f>OR(SUM(N74:$S74) = 1, SUM(N74:$S74) = -1) * N$29</f>
        <v>0</v>
      </c>
      <c r="O135" s="275">
        <f>OR(SUM(O74:$S74) = 1, SUM(O74:$S74) = -1) * O$29</f>
        <v>0</v>
      </c>
      <c r="P135" s="275">
        <f>OR(SUM(P74:$S74) = 1, SUM(P74:$S74) = -1) * P$29</f>
        <v>0</v>
      </c>
      <c r="Q135" s="275">
        <f>OR(SUM(Q74:$S74) = 1, SUM(Q74:$S74) = -1) * Q$29</f>
        <v>0</v>
      </c>
      <c r="R135" s="275">
        <f>OR(SUM(R74:$S74) = 1, SUM(R74:$S74) = -1) * R$29</f>
        <v>1.044</v>
      </c>
      <c r="S135" s="275">
        <f>OR(SUM(S74:$S74) = 1, SUM(S74:$S74) = -1) * S$29</f>
        <v>0</v>
      </c>
      <c r="T135" s="279"/>
      <c r="U135" s="279"/>
    </row>
    <row r="136" spans="5:23" x14ac:dyDescent="0.25">
      <c r="F136" s="293" t="s">
        <v>936</v>
      </c>
      <c r="G136" s="109" t="s">
        <v>427</v>
      </c>
      <c r="H136" s="275">
        <f t="shared" si="7"/>
        <v>1.0880000000000001</v>
      </c>
      <c r="J136" s="275">
        <f>OR(SUM(J75:$S75) = 1, SUM(J75:$S75) = -1) * J$29</f>
        <v>0</v>
      </c>
      <c r="K136" s="275">
        <f>OR(SUM(K75:$S75) = 1, SUM(K75:$S75) = -1) * K$29</f>
        <v>0</v>
      </c>
      <c r="L136" s="275">
        <f>OR(SUM(L75:$S75) = 1, SUM(L75:$S75) = -1) * L$29</f>
        <v>0</v>
      </c>
      <c r="M136" s="275">
        <f>OR(SUM(M75:$S75) = 1, SUM(M75:$S75) = -1) * M$29</f>
        <v>0</v>
      </c>
      <c r="N136" s="275">
        <f>OR(SUM(N75:$S75) = 1, SUM(N75:$S75) = -1) * N$29</f>
        <v>0</v>
      </c>
      <c r="O136" s="275">
        <f>OR(SUM(O75:$S75) = 1, SUM(O75:$S75) = -1) * O$29</f>
        <v>0</v>
      </c>
      <c r="P136" s="275">
        <f>OR(SUM(P75:$S75) = 1, SUM(P75:$S75) = -1) * P$29</f>
        <v>0</v>
      </c>
      <c r="Q136" s="275">
        <f>OR(SUM(Q75:$S75) = 1, SUM(Q75:$S75) = -1) * Q$29</f>
        <v>0</v>
      </c>
      <c r="R136" s="275">
        <f>OR(SUM(R75:$S75) = 1, SUM(R75:$S75) = -1) * R$29</f>
        <v>0</v>
      </c>
      <c r="S136" s="275">
        <f>OR(SUM(S75:$S75) = 1, SUM(S75:$S75) = -1) * S$29</f>
        <v>1.0880000000000001</v>
      </c>
      <c r="T136" s="279"/>
      <c r="U136" s="279"/>
    </row>
    <row r="137" spans="5:23" x14ac:dyDescent="0.25">
      <c r="F137" s="293" t="s">
        <v>937</v>
      </c>
      <c r="G137" s="109" t="s">
        <v>427</v>
      </c>
      <c r="H137" s="275">
        <f t="shared" si="7"/>
        <v>1.0880000000000001</v>
      </c>
      <c r="J137" s="275">
        <f>OR(SUM(J76:$S76) = 1, SUM(J76:$S76) = -1) * J$29</f>
        <v>0</v>
      </c>
      <c r="K137" s="275">
        <f>OR(SUM(K76:$S76) = 1, SUM(K76:$S76) = -1) * K$29</f>
        <v>0</v>
      </c>
      <c r="L137" s="275">
        <f>OR(SUM(L76:$S76) = 1, SUM(L76:$S76) = -1) * L$29</f>
        <v>0</v>
      </c>
      <c r="M137" s="275">
        <f>OR(SUM(M76:$S76) = 1, SUM(M76:$S76) = -1) * M$29</f>
        <v>0</v>
      </c>
      <c r="N137" s="275">
        <f>OR(SUM(N76:$S76) = 1, SUM(N76:$S76) = -1) * N$29</f>
        <v>0</v>
      </c>
      <c r="O137" s="275">
        <f>OR(SUM(O76:$S76) = 1, SUM(O76:$S76) = -1) * O$29</f>
        <v>0</v>
      </c>
      <c r="P137" s="275">
        <f>OR(SUM(P76:$S76) = 1, SUM(P76:$S76) = -1) * P$29</f>
        <v>0</v>
      </c>
      <c r="Q137" s="275">
        <f>OR(SUM(Q76:$S76) = 1, SUM(Q76:$S76) = -1) * Q$29</f>
        <v>0</v>
      </c>
      <c r="R137" s="275">
        <f>OR(SUM(R76:$S76) = 1, SUM(R76:$S76) = -1) * R$29</f>
        <v>0</v>
      </c>
      <c r="S137" s="275">
        <f>OR(SUM(S76:$S76) = 1, SUM(S76:$S76) = -1) * S$29</f>
        <v>1.0880000000000001</v>
      </c>
      <c r="T137" s="279"/>
      <c r="U137" s="279"/>
    </row>
    <row r="138" spans="5:23" x14ac:dyDescent="0.25">
      <c r="F138" s="293" t="s">
        <v>938</v>
      </c>
      <c r="G138" s="109" t="s">
        <v>427</v>
      </c>
      <c r="H138" s="275">
        <f t="shared" si="7"/>
        <v>1.044</v>
      </c>
      <c r="J138" s="275">
        <f>OR(SUM(J77:$S77) = 1, SUM(J77:$S77) = -1) * J$29</f>
        <v>0</v>
      </c>
      <c r="K138" s="275">
        <f>OR(SUM(K77:$S77) = 1, SUM(K77:$S77) = -1) * K$29</f>
        <v>0</v>
      </c>
      <c r="L138" s="275">
        <f>OR(SUM(L77:$S77) = 1, SUM(L77:$S77) = -1) * L$29</f>
        <v>0</v>
      </c>
      <c r="M138" s="275">
        <f>OR(SUM(M77:$S77) = 1, SUM(M77:$S77) = -1) * M$29</f>
        <v>0</v>
      </c>
      <c r="N138" s="275">
        <f>OR(SUM(N77:$S77) = 1, SUM(N77:$S77) = -1) * N$29</f>
        <v>0</v>
      </c>
      <c r="O138" s="275">
        <f>OR(SUM(O77:$S77) = 1, SUM(O77:$S77) = -1) * O$29</f>
        <v>0</v>
      </c>
      <c r="P138" s="275">
        <f>OR(SUM(P77:$S77) = 1, SUM(P77:$S77) = -1) * P$29</f>
        <v>0</v>
      </c>
      <c r="Q138" s="275">
        <f>OR(SUM(Q77:$S77) = 1, SUM(Q77:$S77) = -1) * Q$29</f>
        <v>0</v>
      </c>
      <c r="R138" s="275">
        <f>OR(SUM(R77:$S77) = 1, SUM(R77:$S77) = -1) * R$29</f>
        <v>1.044</v>
      </c>
      <c r="S138" s="275">
        <f>OR(SUM(S77:$S77) = 1, SUM(S77:$S77) = -1) * S$29</f>
        <v>0</v>
      </c>
      <c r="T138" s="279"/>
      <c r="U138" s="279"/>
    </row>
    <row r="139" spans="5:23" x14ac:dyDescent="0.25">
      <c r="F139" s="293" t="s">
        <v>939</v>
      </c>
      <c r="G139" s="109" t="s">
        <v>427</v>
      </c>
      <c r="H139" s="275">
        <f t="shared" si="7"/>
        <v>1.044</v>
      </c>
      <c r="J139" s="275">
        <f>OR(SUM(J78:$S78) = 1, SUM(J78:$S78) = -1) * J$29</f>
        <v>0</v>
      </c>
      <c r="K139" s="275">
        <f>OR(SUM(K78:$S78) = 1, SUM(K78:$S78) = -1) * K$29</f>
        <v>0</v>
      </c>
      <c r="L139" s="275">
        <f>OR(SUM(L78:$S78) = 1, SUM(L78:$S78) = -1) * L$29</f>
        <v>0</v>
      </c>
      <c r="M139" s="275">
        <f>OR(SUM(M78:$S78) = 1, SUM(M78:$S78) = -1) * M$29</f>
        <v>0</v>
      </c>
      <c r="N139" s="275">
        <f>OR(SUM(N78:$S78) = 1, SUM(N78:$S78) = -1) * N$29</f>
        <v>0</v>
      </c>
      <c r="O139" s="275">
        <f>OR(SUM(O78:$S78) = 1, SUM(O78:$S78) = -1) * O$29</f>
        <v>0</v>
      </c>
      <c r="P139" s="275">
        <f>OR(SUM(P78:$S78) = 1, SUM(P78:$S78) = -1) * P$29</f>
        <v>0</v>
      </c>
      <c r="Q139" s="275">
        <f>OR(SUM(Q78:$S78) = 1, SUM(Q78:$S78) = -1) * Q$29</f>
        <v>0</v>
      </c>
      <c r="R139" s="275">
        <f>OR(SUM(R78:$S78) = 1, SUM(R78:$S78) = -1) * R$29</f>
        <v>1.044</v>
      </c>
      <c r="S139" s="275">
        <f>OR(SUM(S78:$S78) = 1, SUM(S78:$S78) = -1) * S$29</f>
        <v>0</v>
      </c>
      <c r="T139" s="279"/>
      <c r="U139" s="279"/>
    </row>
    <row r="140" spans="5:23" x14ac:dyDescent="0.25">
      <c r="F140" s="293" t="s">
        <v>940</v>
      </c>
      <c r="G140" s="109" t="s">
        <v>427</v>
      </c>
      <c r="H140" s="275">
        <f t="shared" si="7"/>
        <v>1.0289999999999999</v>
      </c>
      <c r="J140" s="275">
        <f>OR(SUM(J79:$S79) = 1, SUM(J79:$S79) = -1) * J$29</f>
        <v>0</v>
      </c>
      <c r="K140" s="275">
        <f>OR(SUM(K79:$S79) = 1, SUM(K79:$S79) = -1) * K$29</f>
        <v>0</v>
      </c>
      <c r="L140" s="275">
        <f>OR(SUM(L79:$S79) = 1, SUM(L79:$S79) = -1) * L$29</f>
        <v>0</v>
      </c>
      <c r="M140" s="275">
        <f>OR(SUM(M79:$S79) = 1, SUM(M79:$S79) = -1) * M$29</f>
        <v>0</v>
      </c>
      <c r="N140" s="275">
        <f>OR(SUM(N79:$S79) = 1, SUM(N79:$S79) = -1) * N$29</f>
        <v>0</v>
      </c>
      <c r="O140" s="275">
        <f>OR(SUM(O79:$S79) = 1, SUM(O79:$S79) = -1) * O$29</f>
        <v>0</v>
      </c>
      <c r="P140" s="275">
        <f>OR(SUM(P79:$S79) = 1, SUM(P79:$S79) = -1) * P$29</f>
        <v>1.02</v>
      </c>
      <c r="Q140" s="275">
        <f>OR(SUM(Q79:$S79) = 1, SUM(Q79:$S79) = -1) * Q$29</f>
        <v>1.0289999999999999</v>
      </c>
      <c r="R140" s="275">
        <f>OR(SUM(R79:$S79) = 1, SUM(R79:$S79) = -1) * R$29</f>
        <v>0</v>
      </c>
      <c r="S140" s="275">
        <f>OR(SUM(S79:$S79) = 1, SUM(S79:$S79) = -1) * S$29</f>
        <v>0</v>
      </c>
      <c r="T140" s="279"/>
      <c r="U140" s="279"/>
    </row>
    <row r="141" spans="5:23" x14ac:dyDescent="0.25">
      <c r="F141" s="93" t="s">
        <v>941</v>
      </c>
      <c r="G141" s="36" t="s">
        <v>427</v>
      </c>
      <c r="H141" s="268">
        <f t="shared" si="7"/>
        <v>1.0289999999999999</v>
      </c>
      <c r="I141" s="93"/>
      <c r="J141" s="268">
        <f>OR(SUM(J80:$S80) = 1, SUM(J80:$S80) = -1) * J$29</f>
        <v>0</v>
      </c>
      <c r="K141" s="268">
        <f>OR(SUM(K80:$S80) = 1, SUM(K80:$S80) = -1) * K$29</f>
        <v>0</v>
      </c>
      <c r="L141" s="268">
        <f>OR(SUM(L80:$S80) = 1, SUM(L80:$S80) = -1) * L$29</f>
        <v>0</v>
      </c>
      <c r="M141" s="268">
        <f>OR(SUM(M80:$S80) = 1, SUM(M80:$S80) = -1) * M$29</f>
        <v>0</v>
      </c>
      <c r="N141" s="268">
        <f>OR(SUM(N80:$S80) = 1, SUM(N80:$S80) = -1) * N$29</f>
        <v>0</v>
      </c>
      <c r="O141" s="268">
        <f>OR(SUM(O80:$S80) = 1, SUM(O80:$S80) = -1) * O$29</f>
        <v>0</v>
      </c>
      <c r="P141" s="268">
        <f>OR(SUM(P80:$S80) = 1, SUM(P80:$S80) = -1) * P$29</f>
        <v>1.02</v>
      </c>
      <c r="Q141" s="268">
        <f>OR(SUM(Q80:$S80) = 1, SUM(Q80:$S80) = -1) * Q$29</f>
        <v>1.0289999999999999</v>
      </c>
      <c r="R141" s="268">
        <f>OR(SUM(R80:$S80) = 1, SUM(R80:$S80) = -1) * R$29</f>
        <v>0</v>
      </c>
      <c r="S141" s="268">
        <f>OR(SUM(S80:$S80) = 1, SUM(S80:$S80) = -1) * S$29</f>
        <v>0</v>
      </c>
      <c r="T141" s="240"/>
      <c r="U141" s="240"/>
    </row>
    <row r="142" spans="5:23" x14ac:dyDescent="0.25">
      <c r="G142" s="108"/>
    </row>
    <row r="143" spans="5:23" x14ac:dyDescent="0.25">
      <c r="E143" s="96" t="s">
        <v>334</v>
      </c>
      <c r="G143" s="108"/>
      <c r="I143" s="293" t="s">
        <v>359</v>
      </c>
      <c r="W143" s="88" t="s">
        <v>711</v>
      </c>
    </row>
    <row r="144" spans="5:23" x14ac:dyDescent="0.25">
      <c r="E144" s="82" t="s">
        <v>325</v>
      </c>
      <c r="G144" s="108"/>
    </row>
    <row r="145" spans="6:23" x14ac:dyDescent="0.25">
      <c r="F145" s="91" t="s">
        <v>926</v>
      </c>
      <c r="G145" s="40" t="s">
        <v>427</v>
      </c>
      <c r="H145" s="74"/>
      <c r="I145" s="91"/>
      <c r="J145" s="254">
        <f t="shared" ref="J145:S160" si="8">$H126 * J104</f>
        <v>1.0880000000000001</v>
      </c>
      <c r="K145" s="254">
        <f t="shared" si="8"/>
        <v>1.0880000000000001</v>
      </c>
      <c r="L145" s="254">
        <f t="shared" si="8"/>
        <v>1.0880000000000001</v>
      </c>
      <c r="M145" s="254">
        <f t="shared" si="8"/>
        <v>1.0880000000000001</v>
      </c>
      <c r="N145" s="254">
        <f t="shared" si="8"/>
        <v>1.0880000000000001</v>
      </c>
      <c r="O145" s="254">
        <f t="shared" si="8"/>
        <v>1.0880000000000001</v>
      </c>
      <c r="P145" s="254">
        <f t="shared" si="8"/>
        <v>0</v>
      </c>
      <c r="Q145" s="254">
        <f t="shared" si="8"/>
        <v>1.0880000000000001</v>
      </c>
      <c r="R145" s="254">
        <f t="shared" si="8"/>
        <v>1.0880000000000001</v>
      </c>
      <c r="S145" s="254">
        <f t="shared" si="8"/>
        <v>1.0880000000000001</v>
      </c>
      <c r="T145" s="238"/>
      <c r="U145" s="238"/>
    </row>
    <row r="146" spans="6:23" x14ac:dyDescent="0.25">
      <c r="F146" s="293" t="s">
        <v>927</v>
      </c>
      <c r="G146" s="109" t="s">
        <v>427</v>
      </c>
      <c r="H146" s="90"/>
      <c r="J146" s="256">
        <f t="shared" si="8"/>
        <v>1.0880000000000001</v>
      </c>
      <c r="K146" s="256">
        <f t="shared" si="8"/>
        <v>1.0880000000000001</v>
      </c>
      <c r="L146" s="256">
        <f t="shared" si="8"/>
        <v>1.0880000000000001</v>
      </c>
      <c r="M146" s="256">
        <f t="shared" si="8"/>
        <v>1.0880000000000001</v>
      </c>
      <c r="N146" s="256">
        <f t="shared" si="8"/>
        <v>1.0880000000000001</v>
      </c>
      <c r="O146" s="256">
        <f t="shared" si="8"/>
        <v>1.0880000000000001</v>
      </c>
      <c r="P146" s="256">
        <f t="shared" si="8"/>
        <v>0</v>
      </c>
      <c r="Q146" s="256">
        <f t="shared" si="8"/>
        <v>1.0880000000000001</v>
      </c>
      <c r="R146" s="256">
        <f t="shared" si="8"/>
        <v>1.0880000000000001</v>
      </c>
      <c r="S146" s="256">
        <f t="shared" si="8"/>
        <v>1.0880000000000001</v>
      </c>
      <c r="T146" s="279"/>
      <c r="U146" s="279"/>
      <c r="W146" s="88"/>
    </row>
    <row r="147" spans="6:23" x14ac:dyDescent="0.25">
      <c r="F147" s="293" t="s">
        <v>928</v>
      </c>
      <c r="G147" s="109" t="s">
        <v>427</v>
      </c>
      <c r="H147" s="90"/>
      <c r="J147" s="256">
        <f t="shared" si="8"/>
        <v>1.0880000000000001</v>
      </c>
      <c r="K147" s="256">
        <f t="shared" si="8"/>
        <v>1.0880000000000001</v>
      </c>
      <c r="L147" s="256">
        <f t="shared" si="8"/>
        <v>1.0880000000000001</v>
      </c>
      <c r="M147" s="256">
        <f t="shared" si="8"/>
        <v>1.0880000000000001</v>
      </c>
      <c r="N147" s="256">
        <f t="shared" si="8"/>
        <v>1.0880000000000001</v>
      </c>
      <c r="O147" s="256">
        <f t="shared" si="8"/>
        <v>1.0880000000000001</v>
      </c>
      <c r="P147" s="256">
        <f t="shared" si="8"/>
        <v>0</v>
      </c>
      <c r="Q147" s="256">
        <f t="shared" si="8"/>
        <v>1.0880000000000001</v>
      </c>
      <c r="R147" s="256">
        <f t="shared" si="8"/>
        <v>1.0880000000000001</v>
      </c>
      <c r="S147" s="256">
        <f t="shared" si="8"/>
        <v>1.0880000000000001</v>
      </c>
      <c r="T147" s="279"/>
      <c r="U147" s="279"/>
      <c r="W147" s="88"/>
    </row>
    <row r="148" spans="6:23" x14ac:dyDescent="0.25">
      <c r="F148" s="293" t="s">
        <v>929</v>
      </c>
      <c r="G148" s="109" t="s">
        <v>427</v>
      </c>
      <c r="H148" s="90"/>
      <c r="J148" s="256">
        <f t="shared" si="8"/>
        <v>1.0880000000000001</v>
      </c>
      <c r="K148" s="256">
        <f t="shared" si="8"/>
        <v>1.0880000000000001</v>
      </c>
      <c r="L148" s="256">
        <f t="shared" si="8"/>
        <v>1.0880000000000001</v>
      </c>
      <c r="M148" s="256">
        <f t="shared" si="8"/>
        <v>1.0880000000000001</v>
      </c>
      <c r="N148" s="256">
        <f t="shared" si="8"/>
        <v>1.0880000000000001</v>
      </c>
      <c r="O148" s="256">
        <f t="shared" si="8"/>
        <v>1.0880000000000001</v>
      </c>
      <c r="P148" s="256">
        <f t="shared" si="8"/>
        <v>0</v>
      </c>
      <c r="Q148" s="256">
        <f t="shared" si="8"/>
        <v>1.0880000000000001</v>
      </c>
      <c r="R148" s="256">
        <f t="shared" si="8"/>
        <v>1.0880000000000001</v>
      </c>
      <c r="S148" s="256">
        <f t="shared" si="8"/>
        <v>1.0880000000000001</v>
      </c>
      <c r="T148" s="279"/>
      <c r="U148" s="279"/>
    </row>
    <row r="149" spans="6:23" x14ac:dyDescent="0.25">
      <c r="F149" s="293" t="s">
        <v>930</v>
      </c>
      <c r="G149" s="109" t="s">
        <v>427</v>
      </c>
      <c r="H149" s="90"/>
      <c r="J149" s="256">
        <f t="shared" si="8"/>
        <v>1.0880000000000001</v>
      </c>
      <c r="K149" s="256">
        <f t="shared" si="8"/>
        <v>1.0880000000000001</v>
      </c>
      <c r="L149" s="256">
        <f t="shared" si="8"/>
        <v>1.0880000000000001</v>
      </c>
      <c r="M149" s="256">
        <f t="shared" si="8"/>
        <v>1.0880000000000001</v>
      </c>
      <c r="N149" s="256">
        <f t="shared" si="8"/>
        <v>1.0880000000000001</v>
      </c>
      <c r="O149" s="256">
        <f t="shared" si="8"/>
        <v>1.0880000000000001</v>
      </c>
      <c r="P149" s="256">
        <f t="shared" si="8"/>
        <v>0</v>
      </c>
      <c r="Q149" s="256">
        <f t="shared" si="8"/>
        <v>1.0880000000000001</v>
      </c>
      <c r="R149" s="256">
        <f t="shared" si="8"/>
        <v>1.0880000000000001</v>
      </c>
      <c r="S149" s="256">
        <f t="shared" si="8"/>
        <v>1.0880000000000001</v>
      </c>
      <c r="T149" s="279"/>
      <c r="U149" s="279"/>
    </row>
    <row r="150" spans="6:23" x14ac:dyDescent="0.25">
      <c r="F150" s="293" t="s">
        <v>931</v>
      </c>
      <c r="G150" s="109" t="s">
        <v>427</v>
      </c>
      <c r="H150" s="90"/>
      <c r="J150" s="256">
        <f t="shared" si="8"/>
        <v>1.044</v>
      </c>
      <c r="K150" s="256">
        <f t="shared" si="8"/>
        <v>1.044</v>
      </c>
      <c r="L150" s="256">
        <f t="shared" si="8"/>
        <v>1.044</v>
      </c>
      <c r="M150" s="256">
        <f t="shared" si="8"/>
        <v>1.044</v>
      </c>
      <c r="N150" s="256">
        <f t="shared" si="8"/>
        <v>1.044</v>
      </c>
      <c r="O150" s="256">
        <f t="shared" si="8"/>
        <v>1.044</v>
      </c>
      <c r="P150" s="256">
        <f t="shared" si="8"/>
        <v>0</v>
      </c>
      <c r="Q150" s="256">
        <f t="shared" si="8"/>
        <v>1.044</v>
      </c>
      <c r="R150" s="256">
        <f t="shared" si="8"/>
        <v>1.044</v>
      </c>
      <c r="S150" s="256">
        <f t="shared" si="8"/>
        <v>0</v>
      </c>
      <c r="T150" s="279"/>
      <c r="U150" s="279"/>
    </row>
    <row r="151" spans="6:23" x14ac:dyDescent="0.25">
      <c r="F151" s="293" t="s">
        <v>932</v>
      </c>
      <c r="G151" s="109" t="s">
        <v>427</v>
      </c>
      <c r="H151" s="90"/>
      <c r="J151" s="256">
        <f t="shared" si="8"/>
        <v>1.0289999999999999</v>
      </c>
      <c r="K151" s="256">
        <f t="shared" si="8"/>
        <v>1.0289999999999999</v>
      </c>
      <c r="L151" s="256">
        <f t="shared" si="8"/>
        <v>1.0289999999999999</v>
      </c>
      <c r="M151" s="256">
        <f t="shared" si="8"/>
        <v>1.0289999999999999</v>
      </c>
      <c r="N151" s="256">
        <f t="shared" si="8"/>
        <v>1.0289999999999999</v>
      </c>
      <c r="O151" s="256">
        <f t="shared" si="8"/>
        <v>1.0289999999999999</v>
      </c>
      <c r="P151" s="256">
        <f t="shared" si="8"/>
        <v>0</v>
      </c>
      <c r="Q151" s="256">
        <f t="shared" si="8"/>
        <v>1.0289999999999999</v>
      </c>
      <c r="R151" s="256">
        <f t="shared" si="8"/>
        <v>0</v>
      </c>
      <c r="S151" s="256">
        <f t="shared" si="8"/>
        <v>0</v>
      </c>
      <c r="T151" s="279"/>
      <c r="U151" s="279"/>
    </row>
    <row r="152" spans="6:23" x14ac:dyDescent="0.25">
      <c r="F152" s="293" t="s">
        <v>933</v>
      </c>
      <c r="G152" s="109" t="s">
        <v>427</v>
      </c>
      <c r="H152" s="90"/>
      <c r="J152" s="256">
        <f t="shared" si="8"/>
        <v>1.0880000000000001</v>
      </c>
      <c r="K152" s="256">
        <f t="shared" si="8"/>
        <v>1.0880000000000001</v>
      </c>
      <c r="L152" s="256">
        <f t="shared" si="8"/>
        <v>1.0880000000000001</v>
      </c>
      <c r="M152" s="256">
        <f t="shared" si="8"/>
        <v>1.0880000000000001</v>
      </c>
      <c r="N152" s="256">
        <f t="shared" si="8"/>
        <v>1.0880000000000001</v>
      </c>
      <c r="O152" s="256">
        <f t="shared" si="8"/>
        <v>1.0880000000000001</v>
      </c>
      <c r="P152" s="256">
        <f t="shared" si="8"/>
        <v>0</v>
      </c>
      <c r="Q152" s="256">
        <f t="shared" si="8"/>
        <v>1.0880000000000001</v>
      </c>
      <c r="R152" s="256">
        <f t="shared" si="8"/>
        <v>1.0880000000000001</v>
      </c>
      <c r="S152" s="256">
        <f t="shared" si="8"/>
        <v>1.0880000000000001</v>
      </c>
      <c r="T152" s="279"/>
      <c r="U152" s="279"/>
    </row>
    <row r="153" spans="6:23" x14ac:dyDescent="0.25">
      <c r="F153" s="293" t="s">
        <v>934</v>
      </c>
      <c r="G153" s="109" t="s">
        <v>427</v>
      </c>
      <c r="H153" s="90"/>
      <c r="J153" s="256">
        <f t="shared" si="8"/>
        <v>-1.0880000000000001</v>
      </c>
      <c r="K153" s="256">
        <f t="shared" si="8"/>
        <v>-1.0880000000000001</v>
      </c>
      <c r="L153" s="256">
        <f t="shared" si="8"/>
        <v>-1.0880000000000001</v>
      </c>
      <c r="M153" s="256">
        <f t="shared" si="8"/>
        <v>-1.0880000000000001</v>
      </c>
      <c r="N153" s="256">
        <f t="shared" si="8"/>
        <v>-1.0880000000000001</v>
      </c>
      <c r="O153" s="256">
        <f t="shared" si="8"/>
        <v>-1.0880000000000001</v>
      </c>
      <c r="P153" s="256">
        <f t="shared" si="8"/>
        <v>0</v>
      </c>
      <c r="Q153" s="256">
        <f t="shared" si="8"/>
        <v>-1.0880000000000001</v>
      </c>
      <c r="R153" s="256">
        <f t="shared" si="8"/>
        <v>-1.0880000000000001</v>
      </c>
      <c r="S153" s="256">
        <f t="shared" si="8"/>
        <v>0</v>
      </c>
      <c r="T153" s="279"/>
      <c r="U153" s="279"/>
    </row>
    <row r="154" spans="6:23" x14ac:dyDescent="0.25">
      <c r="F154" s="293" t="s">
        <v>935</v>
      </c>
      <c r="G154" s="109" t="s">
        <v>427</v>
      </c>
      <c r="H154" s="90"/>
      <c r="J154" s="256">
        <f t="shared" si="8"/>
        <v>-1.044</v>
      </c>
      <c r="K154" s="256">
        <f t="shared" si="8"/>
        <v>-1.044</v>
      </c>
      <c r="L154" s="256">
        <f t="shared" si="8"/>
        <v>-1.044</v>
      </c>
      <c r="M154" s="256">
        <f t="shared" si="8"/>
        <v>-1.044</v>
      </c>
      <c r="N154" s="256">
        <f t="shared" si="8"/>
        <v>-1.044</v>
      </c>
      <c r="O154" s="256">
        <f t="shared" si="8"/>
        <v>-1.044</v>
      </c>
      <c r="P154" s="256">
        <f t="shared" si="8"/>
        <v>0</v>
      </c>
      <c r="Q154" s="256">
        <f t="shared" si="8"/>
        <v>-1.044</v>
      </c>
      <c r="R154" s="256">
        <f t="shared" si="8"/>
        <v>0</v>
      </c>
      <c r="S154" s="256">
        <f t="shared" si="8"/>
        <v>0</v>
      </c>
      <c r="T154" s="279"/>
      <c r="U154" s="279"/>
    </row>
    <row r="155" spans="6:23" x14ac:dyDescent="0.25">
      <c r="F155" s="293" t="s">
        <v>936</v>
      </c>
      <c r="G155" s="109" t="s">
        <v>427</v>
      </c>
      <c r="H155" s="90"/>
      <c r="J155" s="256">
        <f t="shared" si="8"/>
        <v>-1.0880000000000001</v>
      </c>
      <c r="K155" s="256">
        <f t="shared" si="8"/>
        <v>-1.0880000000000001</v>
      </c>
      <c r="L155" s="256">
        <f t="shared" si="8"/>
        <v>-1.0880000000000001</v>
      </c>
      <c r="M155" s="256">
        <f t="shared" si="8"/>
        <v>-1.0880000000000001</v>
      </c>
      <c r="N155" s="256">
        <f t="shared" si="8"/>
        <v>-1.0880000000000001</v>
      </c>
      <c r="O155" s="256">
        <f t="shared" si="8"/>
        <v>-1.0880000000000001</v>
      </c>
      <c r="P155" s="256">
        <f t="shared" si="8"/>
        <v>0</v>
      </c>
      <c r="Q155" s="256">
        <f t="shared" si="8"/>
        <v>-1.0880000000000001</v>
      </c>
      <c r="R155" s="256">
        <f t="shared" si="8"/>
        <v>-1.0880000000000001</v>
      </c>
      <c r="S155" s="256">
        <f t="shared" si="8"/>
        <v>0</v>
      </c>
      <c r="T155" s="279"/>
      <c r="U155" s="279"/>
    </row>
    <row r="156" spans="6:23" x14ac:dyDescent="0.25">
      <c r="F156" s="293" t="s">
        <v>937</v>
      </c>
      <c r="G156" s="109" t="s">
        <v>427</v>
      </c>
      <c r="H156" s="90"/>
      <c r="J156" s="256">
        <f t="shared" si="8"/>
        <v>-1.0880000000000001</v>
      </c>
      <c r="K156" s="256">
        <f t="shared" si="8"/>
        <v>-1.0880000000000001</v>
      </c>
      <c r="L156" s="256">
        <f t="shared" si="8"/>
        <v>-1.0880000000000001</v>
      </c>
      <c r="M156" s="256">
        <f t="shared" si="8"/>
        <v>-1.0880000000000001</v>
      </c>
      <c r="N156" s="256">
        <f t="shared" si="8"/>
        <v>-1.0880000000000001</v>
      </c>
      <c r="O156" s="256">
        <f t="shared" si="8"/>
        <v>-1.0880000000000001</v>
      </c>
      <c r="P156" s="256">
        <f t="shared" si="8"/>
        <v>0</v>
      </c>
      <c r="Q156" s="256">
        <f t="shared" si="8"/>
        <v>-1.0880000000000001</v>
      </c>
      <c r="R156" s="256">
        <f t="shared" si="8"/>
        <v>-1.0880000000000001</v>
      </c>
      <c r="S156" s="256">
        <f t="shared" si="8"/>
        <v>0</v>
      </c>
      <c r="T156" s="279"/>
      <c r="U156" s="279"/>
    </row>
    <row r="157" spans="6:23" x14ac:dyDescent="0.25">
      <c r="F157" s="293" t="s">
        <v>938</v>
      </c>
      <c r="G157" s="109" t="s">
        <v>427</v>
      </c>
      <c r="H157" s="90"/>
      <c r="J157" s="256">
        <f t="shared" si="8"/>
        <v>-1.044</v>
      </c>
      <c r="K157" s="256">
        <f t="shared" si="8"/>
        <v>-1.044</v>
      </c>
      <c r="L157" s="256">
        <f t="shared" si="8"/>
        <v>-1.044</v>
      </c>
      <c r="M157" s="256">
        <f t="shared" si="8"/>
        <v>-1.044</v>
      </c>
      <c r="N157" s="256">
        <f t="shared" si="8"/>
        <v>-1.044</v>
      </c>
      <c r="O157" s="256">
        <f t="shared" si="8"/>
        <v>-1.044</v>
      </c>
      <c r="P157" s="256">
        <f t="shared" si="8"/>
        <v>0</v>
      </c>
      <c r="Q157" s="256">
        <f t="shared" si="8"/>
        <v>-1.044</v>
      </c>
      <c r="R157" s="256">
        <f t="shared" si="8"/>
        <v>0</v>
      </c>
      <c r="S157" s="256">
        <f t="shared" si="8"/>
        <v>0</v>
      </c>
      <c r="T157" s="279"/>
      <c r="U157" s="279"/>
    </row>
    <row r="158" spans="6:23" x14ac:dyDescent="0.25">
      <c r="F158" s="293" t="s">
        <v>939</v>
      </c>
      <c r="G158" s="109" t="s">
        <v>427</v>
      </c>
      <c r="H158" s="90"/>
      <c r="J158" s="256">
        <f t="shared" si="8"/>
        <v>-1.044</v>
      </c>
      <c r="K158" s="256">
        <f t="shared" si="8"/>
        <v>-1.044</v>
      </c>
      <c r="L158" s="256">
        <f t="shared" si="8"/>
        <v>-1.044</v>
      </c>
      <c r="M158" s="256">
        <f t="shared" si="8"/>
        <v>-1.044</v>
      </c>
      <c r="N158" s="256">
        <f t="shared" si="8"/>
        <v>-1.044</v>
      </c>
      <c r="O158" s="256">
        <f t="shared" si="8"/>
        <v>-1.044</v>
      </c>
      <c r="P158" s="256">
        <f t="shared" si="8"/>
        <v>0</v>
      </c>
      <c r="Q158" s="256">
        <f t="shared" si="8"/>
        <v>-1.044</v>
      </c>
      <c r="R158" s="256">
        <f t="shared" si="8"/>
        <v>0</v>
      </c>
      <c r="S158" s="256">
        <f t="shared" si="8"/>
        <v>0</v>
      </c>
      <c r="T158" s="279"/>
      <c r="U158" s="279"/>
    </row>
    <row r="159" spans="6:23" x14ac:dyDescent="0.25">
      <c r="F159" s="293" t="s">
        <v>940</v>
      </c>
      <c r="G159" s="109" t="s">
        <v>427</v>
      </c>
      <c r="H159" s="90"/>
      <c r="J159" s="256">
        <f t="shared" si="8"/>
        <v>-1.0289999999999999</v>
      </c>
      <c r="K159" s="256">
        <f t="shared" si="8"/>
        <v>-1.0289999999999999</v>
      </c>
      <c r="L159" s="256">
        <f t="shared" si="8"/>
        <v>-1.0289999999999999</v>
      </c>
      <c r="M159" s="256">
        <f t="shared" si="8"/>
        <v>-1.0289999999999999</v>
      </c>
      <c r="N159" s="256">
        <f t="shared" si="8"/>
        <v>-1.0289999999999999</v>
      </c>
      <c r="O159" s="256">
        <f t="shared" si="8"/>
        <v>-1.0289999999999999</v>
      </c>
      <c r="P159" s="256">
        <f t="shared" si="8"/>
        <v>0</v>
      </c>
      <c r="Q159" s="256">
        <f t="shared" si="8"/>
        <v>0</v>
      </c>
      <c r="R159" s="256">
        <f t="shared" si="8"/>
        <v>0</v>
      </c>
      <c r="S159" s="256">
        <f t="shared" si="8"/>
        <v>0</v>
      </c>
      <c r="T159" s="279"/>
      <c r="U159" s="279"/>
    </row>
    <row r="160" spans="6:23" x14ac:dyDescent="0.25">
      <c r="F160" s="93" t="s">
        <v>941</v>
      </c>
      <c r="G160" s="36" t="s">
        <v>427</v>
      </c>
      <c r="H160" s="187"/>
      <c r="I160" s="93"/>
      <c r="J160" s="258">
        <f t="shared" si="8"/>
        <v>-1.0289999999999999</v>
      </c>
      <c r="K160" s="258">
        <f t="shared" si="8"/>
        <v>-1.0289999999999999</v>
      </c>
      <c r="L160" s="258">
        <f t="shared" si="8"/>
        <v>-1.0289999999999999</v>
      </c>
      <c r="M160" s="258">
        <f t="shared" si="8"/>
        <v>-1.0289999999999999</v>
      </c>
      <c r="N160" s="258">
        <f t="shared" si="8"/>
        <v>-1.0289999999999999</v>
      </c>
      <c r="O160" s="258">
        <f t="shared" si="8"/>
        <v>-1.0289999999999999</v>
      </c>
      <c r="P160" s="258">
        <f t="shared" si="8"/>
        <v>0</v>
      </c>
      <c r="Q160" s="258">
        <f t="shared" si="8"/>
        <v>0</v>
      </c>
      <c r="R160" s="258">
        <f t="shared" si="8"/>
        <v>0</v>
      </c>
      <c r="S160" s="258">
        <f t="shared" si="8"/>
        <v>0</v>
      </c>
      <c r="T160" s="240"/>
      <c r="U160" s="240"/>
    </row>
    <row r="161" spans="5:23" x14ac:dyDescent="0.25">
      <c r="G161" s="108"/>
      <c r="J161" s="252"/>
      <c r="K161" s="252"/>
      <c r="L161" s="252"/>
      <c r="M161" s="252"/>
      <c r="N161" s="252"/>
      <c r="O161" s="252"/>
      <c r="P161" s="252"/>
      <c r="Q161" s="252"/>
      <c r="R161" s="252"/>
      <c r="S161" s="252"/>
      <c r="T161" s="252"/>
      <c r="U161" s="252"/>
    </row>
    <row r="162" spans="5:23" x14ac:dyDescent="0.25">
      <c r="E162" s="96" t="s">
        <v>333</v>
      </c>
      <c r="G162" s="108"/>
      <c r="I162" s="293" t="s">
        <v>359</v>
      </c>
      <c r="J162" s="252"/>
      <c r="K162" s="252"/>
      <c r="L162" s="252"/>
      <c r="M162" s="252"/>
      <c r="N162" s="252"/>
      <c r="O162" s="252"/>
      <c r="P162" s="252"/>
      <c r="Q162" s="252"/>
      <c r="R162" s="252"/>
      <c r="S162" s="252"/>
      <c r="T162" s="252"/>
      <c r="U162" s="252"/>
      <c r="W162" s="88" t="s">
        <v>711</v>
      </c>
    </row>
    <row r="163" spans="5:23" x14ac:dyDescent="0.25">
      <c r="E163" s="82" t="s">
        <v>325</v>
      </c>
      <c r="G163" s="108"/>
      <c r="J163" s="252"/>
      <c r="K163" s="252"/>
      <c r="L163" s="252"/>
      <c r="M163" s="252"/>
      <c r="N163" s="252"/>
      <c r="O163" s="252"/>
      <c r="P163" s="252"/>
      <c r="Q163" s="252"/>
      <c r="R163" s="252"/>
      <c r="S163" s="252"/>
      <c r="T163" s="252"/>
      <c r="U163" s="252"/>
    </row>
    <row r="164" spans="5:23" x14ac:dyDescent="0.25">
      <c r="F164" s="91" t="s">
        <v>926</v>
      </c>
      <c r="G164" s="40" t="s">
        <v>427</v>
      </c>
      <c r="H164" s="74"/>
      <c r="I164" s="91"/>
      <c r="J164" s="238"/>
      <c r="K164" s="238"/>
      <c r="L164" s="238"/>
      <c r="M164" s="238"/>
      <c r="N164" s="238"/>
      <c r="O164" s="238"/>
      <c r="P164" s="238"/>
      <c r="Q164" s="238"/>
      <c r="R164" s="238"/>
      <c r="S164" s="238"/>
      <c r="T164" s="238"/>
      <c r="U164" s="238"/>
    </row>
    <row r="165" spans="5:23" x14ac:dyDescent="0.25">
      <c r="F165" s="293" t="s">
        <v>927</v>
      </c>
      <c r="G165" s="109" t="s">
        <v>427</v>
      </c>
      <c r="H165" s="90"/>
      <c r="J165" s="279"/>
      <c r="K165" s="279"/>
      <c r="L165" s="279"/>
      <c r="M165" s="279"/>
      <c r="N165" s="279"/>
      <c r="O165" s="279"/>
      <c r="P165" s="279"/>
      <c r="Q165" s="279"/>
      <c r="R165" s="279"/>
      <c r="S165" s="279"/>
      <c r="T165" s="279"/>
      <c r="U165" s="279"/>
      <c r="W165" s="88"/>
    </row>
    <row r="166" spans="5:23" x14ac:dyDescent="0.25">
      <c r="F166" s="293" t="s">
        <v>928</v>
      </c>
      <c r="G166" s="109" t="s">
        <v>427</v>
      </c>
      <c r="H166" s="90"/>
      <c r="J166" s="279"/>
      <c r="K166" s="279"/>
      <c r="L166" s="279"/>
      <c r="M166" s="279"/>
      <c r="N166" s="279"/>
      <c r="O166" s="279"/>
      <c r="P166" s="279"/>
      <c r="Q166" s="279"/>
      <c r="R166" s="279"/>
      <c r="S166" s="279"/>
      <c r="T166" s="279"/>
      <c r="U166" s="279"/>
      <c r="W166" s="88"/>
    </row>
    <row r="167" spans="5:23" x14ac:dyDescent="0.25">
      <c r="F167" s="293" t="s">
        <v>929</v>
      </c>
      <c r="G167" s="109" t="s">
        <v>427</v>
      </c>
      <c r="H167" s="90"/>
      <c r="J167" s="279"/>
      <c r="K167" s="279"/>
      <c r="L167" s="279"/>
      <c r="M167" s="279"/>
      <c r="N167" s="279"/>
      <c r="O167" s="279"/>
      <c r="P167" s="279"/>
      <c r="Q167" s="279"/>
      <c r="R167" s="279"/>
      <c r="S167" s="279"/>
      <c r="T167" s="279"/>
      <c r="U167" s="279"/>
    </row>
    <row r="168" spans="5:23" x14ac:dyDescent="0.25">
      <c r="F168" s="293" t="s">
        <v>930</v>
      </c>
      <c r="G168" s="109" t="s">
        <v>427</v>
      </c>
      <c r="H168" s="90"/>
      <c r="J168" s="279"/>
      <c r="K168" s="279"/>
      <c r="L168" s="279"/>
      <c r="M168" s="279"/>
      <c r="N168" s="279"/>
      <c r="O168" s="279"/>
      <c r="P168" s="279"/>
      <c r="Q168" s="279"/>
      <c r="R168" s="279"/>
      <c r="S168" s="279"/>
      <c r="T168" s="279"/>
      <c r="U168" s="279"/>
    </row>
    <row r="169" spans="5:23" x14ac:dyDescent="0.25">
      <c r="F169" s="293" t="s">
        <v>931</v>
      </c>
      <c r="G169" s="109" t="s">
        <v>427</v>
      </c>
      <c r="H169" s="90"/>
      <c r="J169" s="279"/>
      <c r="K169" s="279"/>
      <c r="L169" s="279"/>
      <c r="M169" s="279"/>
      <c r="N169" s="279"/>
      <c r="O169" s="279"/>
      <c r="P169" s="279"/>
      <c r="Q169" s="279"/>
      <c r="R169" s="279"/>
      <c r="S169" s="279"/>
      <c r="T169" s="279"/>
      <c r="U169" s="279"/>
    </row>
    <row r="170" spans="5:23" x14ac:dyDescent="0.25">
      <c r="F170" s="293" t="s">
        <v>932</v>
      </c>
      <c r="G170" s="109" t="s">
        <v>427</v>
      </c>
      <c r="H170" s="90"/>
      <c r="J170" s="279"/>
      <c r="K170" s="279"/>
      <c r="L170" s="279"/>
      <c r="M170" s="279"/>
      <c r="N170" s="279"/>
      <c r="O170" s="279"/>
      <c r="P170" s="279"/>
      <c r="Q170" s="279"/>
      <c r="R170" s="279"/>
      <c r="S170" s="279"/>
      <c r="T170" s="279"/>
      <c r="U170" s="279"/>
    </row>
    <row r="171" spans="5:23" x14ac:dyDescent="0.25">
      <c r="F171" s="293" t="s">
        <v>933</v>
      </c>
      <c r="G171" s="109" t="s">
        <v>427</v>
      </c>
      <c r="H171" s="90"/>
      <c r="J171" s="279"/>
      <c r="K171" s="279"/>
      <c r="L171" s="279"/>
      <c r="M171" s="279"/>
      <c r="N171" s="279"/>
      <c r="O171" s="279"/>
      <c r="P171" s="279"/>
      <c r="Q171" s="279"/>
      <c r="R171" s="279"/>
      <c r="S171" s="279"/>
      <c r="T171" s="279"/>
      <c r="U171" s="279"/>
    </row>
    <row r="172" spans="5:23" x14ac:dyDescent="0.25">
      <c r="F172" s="293" t="s">
        <v>934</v>
      </c>
      <c r="G172" s="109" t="s">
        <v>427</v>
      </c>
      <c r="H172" s="90"/>
      <c r="J172" s="256">
        <f t="shared" ref="J172:S179" si="9">$H134 * J73</f>
        <v>-1.0880000000000001</v>
      </c>
      <c r="K172" s="256">
        <f t="shared" si="9"/>
        <v>-1.0880000000000001</v>
      </c>
      <c r="L172" s="256">
        <f t="shared" si="9"/>
        <v>-1.0880000000000001</v>
      </c>
      <c r="M172" s="256">
        <f t="shared" si="9"/>
        <v>-1.0880000000000001</v>
      </c>
      <c r="N172" s="256">
        <f t="shared" si="9"/>
        <v>-1.0880000000000001</v>
      </c>
      <c r="O172" s="256">
        <f t="shared" si="9"/>
        <v>-1.0880000000000001</v>
      </c>
      <c r="P172" s="256">
        <f t="shared" si="9"/>
        <v>0</v>
      </c>
      <c r="Q172" s="256">
        <f t="shared" si="9"/>
        <v>-1.0880000000000001</v>
      </c>
      <c r="R172" s="256">
        <f t="shared" si="9"/>
        <v>-1.0880000000000001</v>
      </c>
      <c r="S172" s="256">
        <f t="shared" si="9"/>
        <v>-1.0880000000000001</v>
      </c>
      <c r="T172" s="279"/>
      <c r="U172" s="279"/>
    </row>
    <row r="173" spans="5:23" x14ac:dyDescent="0.25">
      <c r="F173" s="293" t="s">
        <v>935</v>
      </c>
      <c r="G173" s="109" t="s">
        <v>427</v>
      </c>
      <c r="H173" s="90"/>
      <c r="J173" s="256">
        <f t="shared" si="9"/>
        <v>-1.044</v>
      </c>
      <c r="K173" s="256">
        <f t="shared" si="9"/>
        <v>-1.044</v>
      </c>
      <c r="L173" s="256">
        <f t="shared" si="9"/>
        <v>-1.044</v>
      </c>
      <c r="M173" s="256">
        <f t="shared" si="9"/>
        <v>-1.044</v>
      </c>
      <c r="N173" s="256">
        <f t="shared" si="9"/>
        <v>-1.044</v>
      </c>
      <c r="O173" s="256">
        <f t="shared" si="9"/>
        <v>-1.044</v>
      </c>
      <c r="P173" s="256">
        <f t="shared" si="9"/>
        <v>0</v>
      </c>
      <c r="Q173" s="256">
        <f t="shared" si="9"/>
        <v>-1.044</v>
      </c>
      <c r="R173" s="256">
        <f t="shared" si="9"/>
        <v>-1.044</v>
      </c>
      <c r="S173" s="256">
        <f t="shared" si="9"/>
        <v>0</v>
      </c>
      <c r="T173" s="279"/>
      <c r="U173" s="279"/>
    </row>
    <row r="174" spans="5:23" x14ac:dyDescent="0.25">
      <c r="F174" s="293" t="s">
        <v>936</v>
      </c>
      <c r="G174" s="109" t="s">
        <v>427</v>
      </c>
      <c r="H174" s="90"/>
      <c r="J174" s="256">
        <f t="shared" si="9"/>
        <v>-1.0880000000000001</v>
      </c>
      <c r="K174" s="256">
        <f t="shared" si="9"/>
        <v>-1.0880000000000001</v>
      </c>
      <c r="L174" s="256">
        <f t="shared" si="9"/>
        <v>-1.0880000000000001</v>
      </c>
      <c r="M174" s="256">
        <f t="shared" si="9"/>
        <v>-1.0880000000000001</v>
      </c>
      <c r="N174" s="256">
        <f t="shared" si="9"/>
        <v>-1.0880000000000001</v>
      </c>
      <c r="O174" s="256">
        <f t="shared" si="9"/>
        <v>-1.0880000000000001</v>
      </c>
      <c r="P174" s="256">
        <f t="shared" si="9"/>
        <v>0</v>
      </c>
      <c r="Q174" s="256">
        <f t="shared" si="9"/>
        <v>-1.0880000000000001</v>
      </c>
      <c r="R174" s="256">
        <f t="shared" si="9"/>
        <v>-1.0880000000000001</v>
      </c>
      <c r="S174" s="256">
        <f t="shared" si="9"/>
        <v>-1.0880000000000001</v>
      </c>
      <c r="T174" s="279"/>
      <c r="U174" s="279"/>
    </row>
    <row r="175" spans="5:23" x14ac:dyDescent="0.25">
      <c r="F175" s="293" t="s">
        <v>937</v>
      </c>
      <c r="G175" s="109" t="s">
        <v>427</v>
      </c>
      <c r="H175" s="90"/>
      <c r="J175" s="256">
        <f t="shared" si="9"/>
        <v>-1.0880000000000001</v>
      </c>
      <c r="K175" s="256">
        <f t="shared" si="9"/>
        <v>-1.0880000000000001</v>
      </c>
      <c r="L175" s="256">
        <f t="shared" si="9"/>
        <v>-1.0880000000000001</v>
      </c>
      <c r="M175" s="256">
        <f t="shared" si="9"/>
        <v>-1.0880000000000001</v>
      </c>
      <c r="N175" s="256">
        <f t="shared" si="9"/>
        <v>-1.0880000000000001</v>
      </c>
      <c r="O175" s="256">
        <f t="shared" si="9"/>
        <v>-1.0880000000000001</v>
      </c>
      <c r="P175" s="256">
        <f t="shared" si="9"/>
        <v>0</v>
      </c>
      <c r="Q175" s="256">
        <f t="shared" si="9"/>
        <v>-1.0880000000000001</v>
      </c>
      <c r="R175" s="256">
        <f t="shared" si="9"/>
        <v>-1.0880000000000001</v>
      </c>
      <c r="S175" s="256">
        <f t="shared" si="9"/>
        <v>-1.0880000000000001</v>
      </c>
      <c r="T175" s="279"/>
      <c r="U175" s="279"/>
    </row>
    <row r="176" spans="5:23" x14ac:dyDescent="0.25">
      <c r="F176" s="293" t="s">
        <v>938</v>
      </c>
      <c r="G176" s="109" t="s">
        <v>427</v>
      </c>
      <c r="H176" s="90"/>
      <c r="J176" s="256">
        <f t="shared" si="9"/>
        <v>-1.044</v>
      </c>
      <c r="K176" s="256">
        <f t="shared" si="9"/>
        <v>-1.044</v>
      </c>
      <c r="L176" s="256">
        <f t="shared" si="9"/>
        <v>-1.044</v>
      </c>
      <c r="M176" s="256">
        <f t="shared" si="9"/>
        <v>-1.044</v>
      </c>
      <c r="N176" s="256">
        <f t="shared" si="9"/>
        <v>-1.044</v>
      </c>
      <c r="O176" s="256">
        <f t="shared" si="9"/>
        <v>-1.044</v>
      </c>
      <c r="P176" s="256">
        <f t="shared" si="9"/>
        <v>0</v>
      </c>
      <c r="Q176" s="256">
        <f t="shared" si="9"/>
        <v>-1.044</v>
      </c>
      <c r="R176" s="256">
        <f t="shared" si="9"/>
        <v>-1.044</v>
      </c>
      <c r="S176" s="256">
        <f t="shared" si="9"/>
        <v>0</v>
      </c>
      <c r="T176" s="279"/>
      <c r="U176" s="279"/>
    </row>
    <row r="177" spans="2:23" x14ac:dyDescent="0.25">
      <c r="F177" s="293" t="s">
        <v>939</v>
      </c>
      <c r="G177" s="109" t="s">
        <v>427</v>
      </c>
      <c r="H177" s="90"/>
      <c r="J177" s="256">
        <f t="shared" si="9"/>
        <v>-1.044</v>
      </c>
      <c r="K177" s="256">
        <f t="shared" si="9"/>
        <v>-1.044</v>
      </c>
      <c r="L177" s="256">
        <f t="shared" si="9"/>
        <v>-1.044</v>
      </c>
      <c r="M177" s="256">
        <f t="shared" si="9"/>
        <v>-1.044</v>
      </c>
      <c r="N177" s="256">
        <f t="shared" si="9"/>
        <v>-1.044</v>
      </c>
      <c r="O177" s="256">
        <f t="shared" si="9"/>
        <v>-1.044</v>
      </c>
      <c r="P177" s="256">
        <f t="shared" si="9"/>
        <v>0</v>
      </c>
      <c r="Q177" s="256">
        <f t="shared" si="9"/>
        <v>-1.044</v>
      </c>
      <c r="R177" s="256">
        <f t="shared" si="9"/>
        <v>-1.044</v>
      </c>
      <c r="S177" s="256">
        <f t="shared" si="9"/>
        <v>0</v>
      </c>
      <c r="T177" s="279"/>
      <c r="U177" s="279"/>
    </row>
    <row r="178" spans="2:23" x14ac:dyDescent="0.25">
      <c r="F178" s="293" t="s">
        <v>940</v>
      </c>
      <c r="G178" s="109" t="s">
        <v>427</v>
      </c>
      <c r="H178" s="90"/>
      <c r="J178" s="256">
        <f t="shared" si="9"/>
        <v>-1.0289999999999999</v>
      </c>
      <c r="K178" s="256">
        <f t="shared" si="9"/>
        <v>-1.0289999999999999</v>
      </c>
      <c r="L178" s="256">
        <f t="shared" si="9"/>
        <v>-1.0289999999999999</v>
      </c>
      <c r="M178" s="256">
        <f t="shared" si="9"/>
        <v>-1.0289999999999999</v>
      </c>
      <c r="N178" s="256">
        <f t="shared" si="9"/>
        <v>-1.0289999999999999</v>
      </c>
      <c r="O178" s="256">
        <f t="shared" si="9"/>
        <v>-1.0289999999999999</v>
      </c>
      <c r="P178" s="256">
        <f t="shared" si="9"/>
        <v>0</v>
      </c>
      <c r="Q178" s="256">
        <f t="shared" si="9"/>
        <v>-1.0289999999999999</v>
      </c>
      <c r="R178" s="256">
        <f t="shared" si="9"/>
        <v>0</v>
      </c>
      <c r="S178" s="256">
        <f t="shared" si="9"/>
        <v>0</v>
      </c>
      <c r="T178" s="279"/>
      <c r="U178" s="279"/>
    </row>
    <row r="179" spans="2:23" x14ac:dyDescent="0.25">
      <c r="F179" s="93" t="s">
        <v>941</v>
      </c>
      <c r="G179" s="36" t="s">
        <v>427</v>
      </c>
      <c r="H179" s="187"/>
      <c r="I179" s="93"/>
      <c r="J179" s="258">
        <f t="shared" si="9"/>
        <v>-1.0289999999999999</v>
      </c>
      <c r="K179" s="258">
        <f t="shared" si="9"/>
        <v>-1.0289999999999999</v>
      </c>
      <c r="L179" s="258">
        <f t="shared" si="9"/>
        <v>-1.0289999999999999</v>
      </c>
      <c r="M179" s="258">
        <f t="shared" si="9"/>
        <v>-1.0289999999999999</v>
      </c>
      <c r="N179" s="258">
        <f t="shared" si="9"/>
        <v>-1.0289999999999999</v>
      </c>
      <c r="O179" s="258">
        <f t="shared" si="9"/>
        <v>-1.0289999999999999</v>
      </c>
      <c r="P179" s="258">
        <f t="shared" si="9"/>
        <v>0</v>
      </c>
      <c r="Q179" s="258">
        <f t="shared" si="9"/>
        <v>-1.0289999999999999</v>
      </c>
      <c r="R179" s="258">
        <f t="shared" si="9"/>
        <v>0</v>
      </c>
      <c r="S179" s="258">
        <f t="shared" si="9"/>
        <v>0</v>
      </c>
      <c r="T179" s="240"/>
      <c r="U179" s="240"/>
    </row>
    <row r="180" spans="2:23" x14ac:dyDescent="0.25">
      <c r="G180" s="108"/>
    </row>
    <row r="181" spans="2:23" x14ac:dyDescent="0.25">
      <c r="B181" s="95" t="s">
        <v>109</v>
      </c>
      <c r="C181" s="95"/>
      <c r="D181" s="72"/>
      <c r="E181" s="72"/>
      <c r="F181" s="72"/>
      <c r="G181" s="166"/>
      <c r="H181" s="72"/>
      <c r="I181" s="72"/>
      <c r="J181" s="72"/>
      <c r="K181" s="72"/>
      <c r="L181" s="72"/>
      <c r="M181" s="72"/>
      <c r="N181" s="72"/>
      <c r="O181" s="72"/>
      <c r="P181" s="72"/>
      <c r="Q181" s="72"/>
      <c r="R181" s="72"/>
      <c r="S181" s="72"/>
      <c r="T181" s="72"/>
      <c r="U181" s="72"/>
      <c r="V181" s="72"/>
      <c r="W181" s="72"/>
    </row>
    <row r="182" spans="2:23" x14ac:dyDescent="0.25">
      <c r="G182" s="108"/>
    </row>
    <row r="183" spans="2:23" x14ac:dyDescent="0.25">
      <c r="E183" s="293" t="s">
        <v>415</v>
      </c>
      <c r="G183" s="122" t="s">
        <v>588</v>
      </c>
      <c r="H183" s="310">
        <f t="array" ref="H183">SUM(IF(ISERROR(H19:W181), 1))</f>
        <v>0</v>
      </c>
    </row>
    <row r="185" spans="2:23" x14ac:dyDescent="0.25">
      <c r="B185" s="95" t="s">
        <v>110</v>
      </c>
      <c r="C185" s="95"/>
      <c r="D185" s="95"/>
      <c r="E185" s="95"/>
      <c r="F185" s="95"/>
      <c r="G185" s="95"/>
      <c r="H185" s="95"/>
      <c r="I185" s="95"/>
      <c r="J185" s="95"/>
      <c r="K185" s="32"/>
      <c r="L185" s="32"/>
      <c r="M185" s="32"/>
      <c r="N185" s="32"/>
      <c r="O185" s="32"/>
      <c r="P185" s="32"/>
      <c r="Q185" s="32"/>
      <c r="R185" s="32"/>
      <c r="S185" s="32"/>
      <c r="T185" s="32"/>
      <c r="U185" s="95"/>
      <c r="V185" s="95"/>
      <c r="W185" s="95"/>
    </row>
  </sheetData>
  <sheetProtection sheet="1" objects="1" formatCells="0" formatColumns="0" formatRows="0" sort="0" autoFilter="0"/>
  <conditionalFormatting sqref="A4:XFD4">
    <cfRule type="expression" dxfId="170" priority="2">
      <formula>LEFT($A$4,1) &lt;&gt; "0"</formula>
    </cfRule>
  </conditionalFormatting>
  <conditionalFormatting sqref="H183">
    <cfRule type="cellIs" dxfId="169" priority="1" operator="greaterThan">
      <formula>0</formula>
    </cfRule>
  </conditionalFormatting>
  <dataValidations count="1">
    <dataValidation type="decimal" allowBlank="1" showInputMessage="1" showErrorMessage="1" errorTitle="Invalid diversity allowance" error="Invalid diversity allowance (negative number or unused cell)." sqref="H37" xr:uid="{4DEDBFA4-D2F5-43A5-8FCB-9AB5B01A3782}">
      <formula1>0</formula1>
      <formula2>4</formula2>
    </dataValidation>
  </dataValidations>
  <hyperlinks>
    <hyperlink ref="B5:F5" location="'Model map'!A1" display="Click here to return to model map" xr:uid="{B3A49A94-93FA-47BC-B51D-D3D88570521C}"/>
  </hyperlinks>
  <pageMargins left="0.7" right="0.7" top="0.75" bottom="0.75" header="0.3" footer="0.3"/>
  <pageSetup paperSize="9" fitToHeight="0" orientation="portrait" r:id="rId1"/>
  <headerFooter>
    <oddHeader>&amp;L&amp;A&amp;C&amp;R&amp;P of &amp;N</oddHeader>
    <oddFooter>&amp;F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tabColor theme="6" tint="0.39997558519241921"/>
  </sheetPr>
  <dimension ref="A1:CS79"/>
  <sheetViews>
    <sheetView showGridLines="0" zoomScale="80" zoomScaleNormal="80" workbookViewId="0">
      <pane ySplit="3" topLeftCell="A4" activePane="bottomLeft" state="frozen"/>
      <selection pane="bottomLeft" activeCell="H2" sqref="H2"/>
    </sheetView>
  </sheetViews>
  <sheetFormatPr defaultColWidth="0" defaultRowHeight="15" x14ac:dyDescent="0.25"/>
  <cols>
    <col min="1" max="5" width="2.5703125" style="50" customWidth="1"/>
    <col min="6" max="6" width="20.5703125" style="50" customWidth="1"/>
    <col min="7" max="7" width="22.5703125" style="50" customWidth="1"/>
    <col min="8" max="8" width="24.42578125" style="50" customWidth="1"/>
    <col min="9" max="9" width="30.5703125" style="50" customWidth="1"/>
    <col min="10" max="10" width="19.42578125" style="122" bestFit="1" customWidth="1"/>
    <col min="11" max="11" width="10.5703125" style="50" customWidth="1"/>
    <col min="12" max="12" width="82.5703125" style="50" customWidth="1"/>
    <col min="13" max="13" width="2.5703125" style="50" customWidth="1"/>
    <col min="14" max="16384" width="9.140625" style="50" hidden="1"/>
  </cols>
  <sheetData>
    <row r="1" spans="1:97" s="49" customFormat="1" x14ac:dyDescent="0.25">
      <c r="A1" s="10" t="str">
        <f ca="1">MID(CELL("filename",A1),FIND("]",CELL("filename",A1))+1,255)</f>
        <v>Version control</v>
      </c>
    </row>
    <row r="2" spans="1:97" s="49" customFormat="1" x14ac:dyDescent="0.25">
      <c r="A2" s="49" t="str">
        <f>Cover!D21&amp;" - "&amp;Cover!D23</f>
        <v>Southern Electric Power Distribution plc - Final</v>
      </c>
    </row>
    <row r="3" spans="1:97" s="46" customFormat="1" x14ac:dyDescent="0.25">
      <c r="A3" s="46" t="str">
        <f>Cover!D2&amp;" - "&amp;Cover!D8&amp;" v"&amp;Cover!D10&amp;" - "&amp;Cover!D19</f>
        <v>ARP model - Release for charge setting v7 - 2023/24</v>
      </c>
    </row>
    <row r="4" spans="1:97" s="293" customFormat="1" x14ac:dyDescent="0.25">
      <c r="A4" s="228" t="str">
        <f>J62 &amp; IF(J62 = 1, " issue", " issues") &amp;" identified in checks on this sheet"</f>
        <v>0 issues identified in checks on this sheet</v>
      </c>
      <c r="B4" s="229"/>
      <c r="C4" s="229"/>
      <c r="D4" s="229"/>
      <c r="E4" s="229"/>
      <c r="F4" s="229"/>
      <c r="G4" s="229"/>
      <c r="H4" s="230"/>
      <c r="I4" s="230"/>
      <c r="J4" s="229"/>
      <c r="K4" s="221"/>
      <c r="L4" s="221"/>
      <c r="M4" s="221"/>
      <c r="N4" s="221"/>
      <c r="O4" s="221"/>
      <c r="P4" s="221"/>
      <c r="Q4" s="221"/>
      <c r="R4" s="221"/>
      <c r="S4" s="221"/>
      <c r="T4" s="221"/>
      <c r="U4" s="221"/>
      <c r="V4" s="221"/>
      <c r="W4" s="221"/>
      <c r="X4" s="221"/>
      <c r="Y4" s="221"/>
      <c r="Z4" s="221"/>
      <c r="AA4" s="221"/>
      <c r="AB4" s="221"/>
      <c r="AC4" s="221"/>
      <c r="AD4" s="221"/>
      <c r="AE4" s="221"/>
      <c r="AF4" s="221"/>
      <c r="AG4" s="221"/>
      <c r="AH4" s="221"/>
      <c r="AI4" s="221"/>
      <c r="AJ4" s="221"/>
      <c r="AK4" s="221"/>
      <c r="AL4" s="221"/>
      <c r="AM4" s="221"/>
      <c r="AN4" s="221"/>
      <c r="AO4" s="221"/>
      <c r="AP4" s="221"/>
      <c r="AQ4" s="221"/>
      <c r="AR4" s="221"/>
      <c r="AS4" s="221"/>
      <c r="AT4" s="221"/>
      <c r="AU4" s="221"/>
      <c r="AV4" s="221"/>
      <c r="AW4" s="221"/>
      <c r="AX4" s="221"/>
      <c r="AY4" s="221"/>
      <c r="AZ4" s="221"/>
      <c r="BA4" s="221"/>
      <c r="BB4" s="221"/>
      <c r="BC4" s="221"/>
      <c r="BD4" s="221"/>
      <c r="BE4" s="221"/>
      <c r="BF4" s="221"/>
      <c r="BG4" s="221"/>
      <c r="BH4" s="221"/>
      <c r="BI4" s="221"/>
      <c r="BJ4" s="221"/>
      <c r="BK4" s="221"/>
      <c r="BL4" s="221"/>
      <c r="BM4" s="221"/>
      <c r="BN4" s="221"/>
      <c r="BO4" s="221"/>
      <c r="BP4" s="221"/>
      <c r="BQ4" s="221"/>
      <c r="BR4" s="221"/>
      <c r="BS4" s="221"/>
      <c r="BT4" s="221"/>
      <c r="BU4" s="221"/>
      <c r="BV4" s="221"/>
      <c r="BW4" s="221"/>
      <c r="BX4" s="221"/>
      <c r="BY4" s="221"/>
      <c r="BZ4" s="221"/>
      <c r="CA4" s="221"/>
      <c r="CB4" s="221"/>
      <c r="CC4" s="221"/>
      <c r="CD4" s="221"/>
      <c r="CE4" s="221"/>
      <c r="CF4" s="221"/>
      <c r="CG4" s="221"/>
      <c r="CH4" s="221"/>
      <c r="CI4" s="221"/>
      <c r="CJ4" s="221"/>
      <c r="CK4" s="221"/>
      <c r="CL4" s="221"/>
      <c r="CM4" s="221"/>
      <c r="CN4" s="221"/>
      <c r="CO4" s="221"/>
      <c r="CP4" s="221"/>
      <c r="CQ4" s="221"/>
      <c r="CR4" s="221"/>
      <c r="CS4" s="221"/>
    </row>
    <row r="5" spans="1:97" x14ac:dyDescent="0.25">
      <c r="A5" s="47"/>
      <c r="B5" s="51" t="s">
        <v>218</v>
      </c>
      <c r="C5" s="51"/>
      <c r="D5" s="51"/>
      <c r="E5" s="51"/>
      <c r="F5" s="51"/>
      <c r="G5" s="52"/>
      <c r="H5" s="52"/>
      <c r="I5" s="52"/>
      <c r="J5" s="52"/>
      <c r="K5" s="52"/>
      <c r="L5" s="51"/>
    </row>
    <row r="6" spans="1:97" x14ac:dyDescent="0.25">
      <c r="A6" s="47"/>
      <c r="B6" s="47"/>
      <c r="C6" s="47"/>
      <c r="D6" s="47"/>
      <c r="E6" s="47"/>
      <c r="F6" s="47"/>
      <c r="G6" s="48"/>
      <c r="H6" s="48"/>
      <c r="I6" s="48"/>
      <c r="J6" s="121"/>
      <c r="K6" s="48"/>
      <c r="L6" s="47"/>
    </row>
    <row r="7" spans="1:97" x14ac:dyDescent="0.25">
      <c r="A7" s="47"/>
      <c r="B7" s="47"/>
      <c r="C7" s="47"/>
      <c r="D7" s="47"/>
      <c r="F7" s="47" t="s">
        <v>219</v>
      </c>
      <c r="H7" s="225">
        <f>LOOKUP(2,1/(F20:F31&lt;&gt;""),F20:F31)</f>
        <v>44522</v>
      </c>
      <c r="I7" s="53"/>
      <c r="J7" s="53"/>
      <c r="K7" s="47"/>
      <c r="L7" s="47"/>
    </row>
    <row r="8" spans="1:97" x14ac:dyDescent="0.25">
      <c r="A8" s="47"/>
      <c r="B8" s="47"/>
      <c r="C8" s="47"/>
      <c r="D8" s="47"/>
      <c r="F8" s="47"/>
      <c r="H8" s="120"/>
      <c r="I8" s="48"/>
      <c r="J8" s="121"/>
      <c r="K8" s="47"/>
      <c r="L8" s="47"/>
    </row>
    <row r="9" spans="1:97" x14ac:dyDescent="0.25">
      <c r="A9" s="47"/>
      <c r="B9" s="47"/>
      <c r="C9" s="47"/>
      <c r="D9" s="47"/>
      <c r="F9" s="47" t="s">
        <v>216</v>
      </c>
      <c r="H9" s="226" t="str">
        <f>LOOKUP(2,1/(G20:G31&lt;&gt;""),G20:G31)</f>
        <v>Release for charge setting</v>
      </c>
      <c r="I9" s="54"/>
      <c r="J9" s="54"/>
      <c r="K9" s="47"/>
      <c r="L9" s="47"/>
    </row>
    <row r="10" spans="1:97" x14ac:dyDescent="0.25">
      <c r="A10" s="47"/>
      <c r="B10" s="47"/>
      <c r="C10" s="47"/>
      <c r="D10" s="47"/>
      <c r="F10" s="47"/>
      <c r="H10" s="120"/>
      <c r="I10" s="47"/>
      <c r="J10" s="120"/>
      <c r="K10" s="47"/>
      <c r="L10" s="47"/>
    </row>
    <row r="11" spans="1:97" x14ac:dyDescent="0.25">
      <c r="A11" s="47"/>
      <c r="B11" s="47"/>
      <c r="C11" s="47"/>
      <c r="D11" s="47"/>
      <c r="F11" s="365" t="s">
        <v>922</v>
      </c>
      <c r="H11" s="226">
        <f>LOOKUP(2,1/(H20:H31&lt;&gt;""),H20:H31)</f>
        <v>7</v>
      </c>
      <c r="I11" s="54"/>
      <c r="J11" s="54"/>
      <c r="K11" s="47"/>
      <c r="L11" s="47"/>
    </row>
    <row r="12" spans="1:97" x14ac:dyDescent="0.25">
      <c r="A12" s="47"/>
      <c r="B12" s="47"/>
      <c r="C12" s="47"/>
      <c r="D12" s="47"/>
      <c r="F12" s="47"/>
      <c r="H12" s="120"/>
      <c r="I12" s="48"/>
      <c r="J12" s="121"/>
      <c r="K12" s="47"/>
      <c r="L12" s="47"/>
    </row>
    <row r="13" spans="1:97" s="195" customFormat="1" x14ac:dyDescent="0.25">
      <c r="A13" s="220"/>
      <c r="B13" s="220"/>
      <c r="C13" s="220"/>
      <c r="D13" s="220"/>
      <c r="F13" s="120" t="s">
        <v>645</v>
      </c>
      <c r="H13" s="222" t="str">
        <f>LOOKUP(2,1/(I20:I31&lt;&gt;""),I20:I31)</f>
        <v>Attachment A_Charging Methodologies Pre-Release_01042023 (shared 15/11/2021)</v>
      </c>
      <c r="I13" s="223"/>
      <c r="J13" s="223"/>
      <c r="K13" s="223"/>
      <c r="L13" s="220"/>
      <c r="M13" s="220"/>
      <c r="N13" s="221"/>
    </row>
    <row r="14" spans="1:97" s="195" customFormat="1" x14ac:dyDescent="0.25">
      <c r="A14" s="220"/>
      <c r="B14" s="220"/>
      <c r="C14" s="220"/>
      <c r="D14" s="220"/>
      <c r="F14" s="220"/>
      <c r="H14" s="224"/>
      <c r="I14" s="223"/>
      <c r="J14" s="223"/>
      <c r="K14" s="223"/>
      <c r="L14" s="220"/>
      <c r="M14" s="220"/>
      <c r="N14" s="221"/>
    </row>
    <row r="15" spans="1:97" x14ac:dyDescent="0.25">
      <c r="A15" s="47"/>
      <c r="B15" s="47"/>
      <c r="C15" s="47"/>
      <c r="D15" s="47"/>
      <c r="F15" s="120" t="s">
        <v>675</v>
      </c>
      <c r="H15" s="226" t="str">
        <f>LOOKUP(2,1/(J20:J31&lt;&gt;""),J20:J31)</f>
        <v>Schedules 16 &amp; 20</v>
      </c>
      <c r="I15" s="48"/>
      <c r="J15" s="121"/>
      <c r="K15" s="47"/>
      <c r="L15" s="47"/>
    </row>
    <row r="16" spans="1:97" x14ac:dyDescent="0.25">
      <c r="A16" s="47"/>
      <c r="B16" s="47"/>
      <c r="C16" s="47"/>
      <c r="D16" s="47"/>
      <c r="E16" s="47"/>
      <c r="F16" s="47"/>
      <c r="H16" s="48"/>
      <c r="I16" s="48"/>
      <c r="J16" s="121"/>
      <c r="K16" s="47"/>
      <c r="L16" s="47"/>
    </row>
    <row r="17" spans="1:12" x14ac:dyDescent="0.25">
      <c r="A17" s="47"/>
      <c r="B17" s="51" t="s">
        <v>226</v>
      </c>
      <c r="C17" s="51"/>
      <c r="D17" s="51"/>
      <c r="E17" s="51"/>
      <c r="F17" s="51"/>
      <c r="G17" s="52"/>
      <c r="H17" s="52"/>
      <c r="I17" s="52"/>
      <c r="J17" s="52"/>
      <c r="K17" s="52"/>
      <c r="L17" s="51"/>
    </row>
    <row r="18" spans="1:12" x14ac:dyDescent="0.25">
      <c r="A18" s="47"/>
      <c r="B18" s="47"/>
      <c r="C18" s="47"/>
      <c r="D18" s="47"/>
      <c r="E18" s="47"/>
      <c r="F18" s="47"/>
      <c r="G18" s="48"/>
      <c r="H18" s="47"/>
      <c r="I18" s="47"/>
      <c r="J18" s="120"/>
      <c r="K18" s="47"/>
      <c r="L18" s="47"/>
    </row>
    <row r="19" spans="1:12" x14ac:dyDescent="0.25">
      <c r="A19" s="47"/>
      <c r="B19" s="47"/>
      <c r="C19" s="47"/>
      <c r="D19" s="47"/>
      <c r="E19" s="47"/>
      <c r="F19" s="55" t="s">
        <v>220</v>
      </c>
      <c r="G19" s="56" t="s">
        <v>221</v>
      </c>
      <c r="H19" s="55" t="s">
        <v>918</v>
      </c>
      <c r="I19" s="56" t="s">
        <v>673</v>
      </c>
      <c r="J19" s="56" t="s">
        <v>674</v>
      </c>
      <c r="K19" s="56" t="s">
        <v>158</v>
      </c>
      <c r="L19" s="56" t="s">
        <v>222</v>
      </c>
    </row>
    <row r="20" spans="1:12" ht="30" x14ac:dyDescent="0.25">
      <c r="A20" s="47"/>
      <c r="B20" s="47"/>
      <c r="C20" s="47"/>
      <c r="D20" s="47"/>
      <c r="E20" s="47"/>
      <c r="F20" s="317">
        <v>43250</v>
      </c>
      <c r="G20" s="313" t="s">
        <v>913</v>
      </c>
      <c r="H20" s="313">
        <v>1</v>
      </c>
      <c r="I20" s="313" t="s">
        <v>680</v>
      </c>
      <c r="J20" s="313" t="s">
        <v>917</v>
      </c>
      <c r="K20" s="313" t="s">
        <v>571</v>
      </c>
      <c r="L20" s="313" t="s">
        <v>677</v>
      </c>
    </row>
    <row r="21" spans="1:12" ht="30" x14ac:dyDescent="0.25">
      <c r="A21" s="47"/>
      <c r="B21" s="47"/>
      <c r="C21" s="47"/>
      <c r="D21" s="47"/>
      <c r="E21" s="47"/>
      <c r="F21" s="317">
        <v>43301</v>
      </c>
      <c r="G21" s="313" t="s">
        <v>913</v>
      </c>
      <c r="H21" s="313">
        <v>2</v>
      </c>
      <c r="I21" s="313" t="s">
        <v>914</v>
      </c>
      <c r="J21" s="313" t="s">
        <v>917</v>
      </c>
      <c r="K21" s="313" t="s">
        <v>571</v>
      </c>
      <c r="L21" s="313" t="s">
        <v>915</v>
      </c>
    </row>
    <row r="22" spans="1:12" s="122" customFormat="1" ht="45" x14ac:dyDescent="0.25">
      <c r="A22" s="120"/>
      <c r="B22" s="120"/>
      <c r="C22" s="120"/>
      <c r="D22" s="120"/>
      <c r="E22" s="120"/>
      <c r="F22" s="317">
        <v>43389</v>
      </c>
      <c r="G22" s="313" t="s">
        <v>919</v>
      </c>
      <c r="H22" s="313">
        <v>3</v>
      </c>
      <c r="I22" s="363" t="s">
        <v>920</v>
      </c>
      <c r="J22" s="313" t="s">
        <v>917</v>
      </c>
      <c r="K22" s="363" t="s">
        <v>571</v>
      </c>
      <c r="L22" s="363" t="s">
        <v>921</v>
      </c>
    </row>
    <row r="23" spans="1:12" s="122" customFormat="1" ht="60" x14ac:dyDescent="0.25">
      <c r="A23" s="120"/>
      <c r="B23" s="120"/>
      <c r="C23" s="120"/>
      <c r="D23" s="120"/>
      <c r="E23" s="120"/>
      <c r="F23" s="317">
        <v>43663</v>
      </c>
      <c r="G23" s="313" t="s">
        <v>913</v>
      </c>
      <c r="H23" s="313">
        <v>4</v>
      </c>
      <c r="I23" s="313" t="s">
        <v>924</v>
      </c>
      <c r="J23" s="313" t="s">
        <v>917</v>
      </c>
      <c r="K23" s="313" t="s">
        <v>571</v>
      </c>
      <c r="L23" s="313" t="s">
        <v>925</v>
      </c>
    </row>
    <row r="24" spans="1:12" s="122" customFormat="1" ht="60" x14ac:dyDescent="0.25">
      <c r="A24" s="120"/>
      <c r="B24" s="120"/>
      <c r="C24" s="120"/>
      <c r="D24" s="120"/>
      <c r="E24" s="120"/>
      <c r="F24" s="457">
        <v>43777</v>
      </c>
      <c r="G24" s="458" t="s">
        <v>919</v>
      </c>
      <c r="H24" s="458">
        <v>5</v>
      </c>
      <c r="I24" s="458" t="s">
        <v>992</v>
      </c>
      <c r="J24" s="313" t="s">
        <v>917</v>
      </c>
      <c r="K24" s="458" t="s">
        <v>571</v>
      </c>
      <c r="L24" s="459" t="s">
        <v>991</v>
      </c>
    </row>
    <row r="25" spans="1:12" s="122" customFormat="1" ht="90" x14ac:dyDescent="0.25">
      <c r="A25" s="120"/>
      <c r="B25" s="120"/>
      <c r="C25" s="120"/>
      <c r="D25" s="120"/>
      <c r="E25" s="120"/>
      <c r="F25" s="317">
        <v>43860</v>
      </c>
      <c r="G25" s="313" t="s">
        <v>919</v>
      </c>
      <c r="H25" s="313">
        <v>6</v>
      </c>
      <c r="I25" s="458" t="s">
        <v>996</v>
      </c>
      <c r="J25" s="313" t="s">
        <v>917</v>
      </c>
      <c r="K25" s="458" t="s">
        <v>571</v>
      </c>
      <c r="L25" s="363" t="s">
        <v>997</v>
      </c>
    </row>
    <row r="26" spans="1:12" s="122" customFormat="1" ht="45" x14ac:dyDescent="0.25">
      <c r="A26" s="120"/>
      <c r="B26" s="120"/>
      <c r="C26" s="120"/>
      <c r="D26" s="120"/>
      <c r="E26" s="120"/>
      <c r="F26" s="317">
        <v>43977</v>
      </c>
      <c r="G26" s="313" t="s">
        <v>913</v>
      </c>
      <c r="H26" s="313">
        <v>6</v>
      </c>
      <c r="I26" s="313" t="s">
        <v>1221</v>
      </c>
      <c r="J26" s="313" t="s">
        <v>917</v>
      </c>
      <c r="K26" s="313" t="s">
        <v>571</v>
      </c>
      <c r="L26" s="313" t="s">
        <v>1220</v>
      </c>
    </row>
    <row r="27" spans="1:12" ht="60" x14ac:dyDescent="0.25">
      <c r="A27" s="47"/>
      <c r="B27" s="47"/>
      <c r="C27" s="47"/>
      <c r="D27" s="47"/>
      <c r="E27" s="47"/>
      <c r="F27" s="317">
        <v>44141</v>
      </c>
      <c r="G27" s="313" t="s">
        <v>919</v>
      </c>
      <c r="H27" s="313">
        <v>7</v>
      </c>
      <c r="I27" s="313" t="s">
        <v>1233</v>
      </c>
      <c r="J27" s="313" t="s">
        <v>917</v>
      </c>
      <c r="K27" s="313" t="s">
        <v>571</v>
      </c>
      <c r="L27" s="313" t="s">
        <v>921</v>
      </c>
    </row>
    <row r="28" spans="1:12" ht="45" x14ac:dyDescent="0.25">
      <c r="A28" s="120"/>
      <c r="B28" s="47"/>
      <c r="C28" s="47"/>
      <c r="D28" s="47"/>
      <c r="E28" s="47"/>
      <c r="F28" s="317">
        <v>44225</v>
      </c>
      <c r="G28" s="313" t="s">
        <v>913</v>
      </c>
      <c r="H28" s="313">
        <v>7</v>
      </c>
      <c r="I28" s="313" t="s">
        <v>1249</v>
      </c>
      <c r="J28" s="313" t="s">
        <v>917</v>
      </c>
      <c r="K28" s="313" t="s">
        <v>571</v>
      </c>
      <c r="L28" s="313" t="s">
        <v>1247</v>
      </c>
    </row>
    <row r="29" spans="1:12" s="122" customFormat="1" ht="60" x14ac:dyDescent="0.25">
      <c r="A29" s="120"/>
      <c r="B29" s="120"/>
      <c r="C29" s="120"/>
      <c r="D29" s="120"/>
      <c r="E29" s="120"/>
      <c r="F29" s="317">
        <v>44522</v>
      </c>
      <c r="G29" s="313" t="s">
        <v>919</v>
      </c>
      <c r="H29" s="313">
        <v>7</v>
      </c>
      <c r="I29" s="313" t="s">
        <v>1253</v>
      </c>
      <c r="J29" s="313" t="s">
        <v>917</v>
      </c>
      <c r="K29" s="313" t="s">
        <v>571</v>
      </c>
      <c r="L29" s="313" t="s">
        <v>1254</v>
      </c>
    </row>
    <row r="30" spans="1:12" x14ac:dyDescent="0.25">
      <c r="A30" s="47"/>
      <c r="B30" s="47"/>
      <c r="C30" s="47"/>
      <c r="D30" s="47"/>
      <c r="E30" s="47"/>
      <c r="F30" s="317"/>
      <c r="G30" s="313"/>
      <c r="H30" s="313"/>
      <c r="I30" s="313"/>
      <c r="J30" s="313"/>
      <c r="K30" s="313"/>
      <c r="L30" s="313"/>
    </row>
    <row r="32" spans="1:12" x14ac:dyDescent="0.25">
      <c r="B32" s="51" t="s">
        <v>227</v>
      </c>
      <c r="C32" s="51"/>
      <c r="D32" s="51"/>
      <c r="E32" s="51"/>
      <c r="F32" s="51"/>
      <c r="G32" s="52"/>
      <c r="H32" s="52"/>
      <c r="I32" s="52"/>
      <c r="J32" s="52"/>
      <c r="K32" s="52"/>
      <c r="L32" s="51"/>
    </row>
    <row r="34" spans="5:10" x14ac:dyDescent="0.25">
      <c r="E34" s="57" t="s">
        <v>228</v>
      </c>
      <c r="F34" s="194"/>
      <c r="G34" s="61"/>
      <c r="H34" s="61"/>
      <c r="I34" s="61"/>
      <c r="J34" s="61"/>
    </row>
    <row r="35" spans="5:10" x14ac:dyDescent="0.25">
      <c r="F35" s="59" t="str">
        <f>"ARP_"&amp;F39</f>
        <v>ARP_Inputs by customer type</v>
      </c>
      <c r="G35" s="60"/>
      <c r="H35" s="318" t="s">
        <v>652</v>
      </c>
      <c r="I35" s="60" t="s">
        <v>588</v>
      </c>
      <c r="J35" s="113">
        <f>'ARP_Inputs by customer type'!$H$1994</f>
        <v>0</v>
      </c>
    </row>
    <row r="36" spans="5:10" x14ac:dyDescent="0.25">
      <c r="F36" s="59" t="str">
        <f>"ARP_"&amp;F40</f>
        <v>ARP_Inputs by network level</v>
      </c>
      <c r="G36" s="60"/>
      <c r="H36" s="318" t="s">
        <v>653</v>
      </c>
      <c r="I36" s="60" t="s">
        <v>588</v>
      </c>
      <c r="J36" s="113">
        <f>'ARP_Inputs by network level'!$H$218</f>
        <v>0</v>
      </c>
    </row>
    <row r="37" spans="5:10" x14ac:dyDescent="0.25">
      <c r="F37" s="59" t="str">
        <f>"ARP_"&amp;F41</f>
        <v>ARP_General inputs</v>
      </c>
      <c r="G37" s="60"/>
      <c r="H37" s="318" t="s">
        <v>654</v>
      </c>
      <c r="I37" s="60" t="s">
        <v>588</v>
      </c>
      <c r="J37" s="113">
        <f>'ARP_General inputs'!$H$125</f>
        <v>0</v>
      </c>
    </row>
    <row r="38" spans="5:10" x14ac:dyDescent="0.25">
      <c r="F38" s="59" t="s">
        <v>428</v>
      </c>
      <c r="G38" s="60"/>
      <c r="H38" s="318" t="s">
        <v>834</v>
      </c>
      <c r="I38" s="60" t="s">
        <v>588</v>
      </c>
      <c r="J38" s="114">
        <f>'Fixed inputs'!H197</f>
        <v>0</v>
      </c>
    </row>
    <row r="39" spans="5:10" x14ac:dyDescent="0.25">
      <c r="E39" s="59"/>
      <c r="F39" s="59" t="s">
        <v>445</v>
      </c>
      <c r="G39" s="60"/>
      <c r="H39" s="318" t="s">
        <v>835</v>
      </c>
      <c r="I39" s="60" t="s">
        <v>588</v>
      </c>
      <c r="J39" s="114">
        <f>'Inputs by customer type'!H216</f>
        <v>0</v>
      </c>
    </row>
    <row r="40" spans="5:10" x14ac:dyDescent="0.25">
      <c r="E40" s="59"/>
      <c r="F40" s="59" t="s">
        <v>195</v>
      </c>
      <c r="G40" s="60"/>
      <c r="H40" s="318" t="s">
        <v>836</v>
      </c>
      <c r="I40" s="60" t="s">
        <v>588</v>
      </c>
      <c r="J40" s="114">
        <f>'General inputs'!H118</f>
        <v>0</v>
      </c>
    </row>
    <row r="41" spans="5:10" x14ac:dyDescent="0.25">
      <c r="E41" s="59"/>
      <c r="F41" s="59" t="s">
        <v>552</v>
      </c>
      <c r="G41" s="60"/>
      <c r="H41" s="318" t="s">
        <v>837</v>
      </c>
      <c r="I41" s="60" t="s">
        <v>588</v>
      </c>
      <c r="J41" s="114">
        <f>'General inputs'!H118</f>
        <v>0</v>
      </c>
    </row>
    <row r="42" spans="5:10" x14ac:dyDescent="0.25">
      <c r="F42" s="59" t="s">
        <v>431</v>
      </c>
      <c r="G42" s="60"/>
      <c r="H42" s="318" t="s">
        <v>838</v>
      </c>
      <c r="I42" s="60" t="s">
        <v>588</v>
      </c>
      <c r="J42" s="114">
        <f>'Standing charge factors'!H58</f>
        <v>0</v>
      </c>
    </row>
    <row r="43" spans="5:10" x14ac:dyDescent="0.25">
      <c r="F43" s="59" t="s">
        <v>432</v>
      </c>
      <c r="G43" s="60"/>
      <c r="H43" s="318" t="s">
        <v>839</v>
      </c>
      <c r="I43" s="60" t="s">
        <v>588</v>
      </c>
      <c r="J43" s="114">
        <f>'Load &amp; loss characteristics'!H183</f>
        <v>0</v>
      </c>
    </row>
    <row r="44" spans="5:10" x14ac:dyDescent="0.25">
      <c r="F44" s="59" t="s">
        <v>232</v>
      </c>
      <c r="G44" s="60"/>
      <c r="H44" s="318" t="s">
        <v>840</v>
      </c>
      <c r="I44" s="60" t="s">
        <v>588</v>
      </c>
      <c r="J44" s="114">
        <f>'Customer contributions'!H70</f>
        <v>0</v>
      </c>
    </row>
    <row r="45" spans="5:10" x14ac:dyDescent="0.25">
      <c r="F45" s="59" t="s">
        <v>233</v>
      </c>
      <c r="G45" s="60"/>
      <c r="H45" s="318" t="s">
        <v>841</v>
      </c>
      <c r="I45" s="60" t="s">
        <v>588</v>
      </c>
      <c r="J45" s="114">
        <f>'Volume adjustments'!H693</f>
        <v>0</v>
      </c>
    </row>
    <row r="46" spans="5:10" x14ac:dyDescent="0.25">
      <c r="F46" s="59" t="s">
        <v>224</v>
      </c>
      <c r="G46" s="60"/>
      <c r="H46" s="318" t="s">
        <v>842</v>
      </c>
      <c r="I46" s="60" t="s">
        <v>588</v>
      </c>
      <c r="J46" s="114">
        <f>'Pseudo-load coefficients'!H306</f>
        <v>0</v>
      </c>
    </row>
    <row r="47" spans="5:10" x14ac:dyDescent="0.25">
      <c r="F47" s="59" t="s">
        <v>433</v>
      </c>
      <c r="G47" s="60"/>
      <c r="H47" s="318" t="s">
        <v>843</v>
      </c>
      <c r="I47" s="60" t="s">
        <v>588</v>
      </c>
      <c r="J47" s="114">
        <f>'System peak demand'!H281</f>
        <v>0</v>
      </c>
    </row>
    <row r="48" spans="5:10" x14ac:dyDescent="0.25">
      <c r="F48" s="59" t="s">
        <v>225</v>
      </c>
      <c r="G48" s="60"/>
      <c r="H48" s="318" t="s">
        <v>844</v>
      </c>
      <c r="I48" s="60" t="s">
        <v>588</v>
      </c>
      <c r="J48" s="114">
        <f>'Service model assets'!H38</f>
        <v>0</v>
      </c>
    </row>
    <row r="49" spans="2:12" x14ac:dyDescent="0.25">
      <c r="F49" s="59" t="s">
        <v>294</v>
      </c>
      <c r="G49" s="60"/>
      <c r="H49" s="318" t="s">
        <v>845</v>
      </c>
      <c r="I49" s="60" t="s">
        <v>588</v>
      </c>
      <c r="J49" s="114">
        <f>'Unit costs'!H131</f>
        <v>0</v>
      </c>
    </row>
    <row r="50" spans="2:12" x14ac:dyDescent="0.25">
      <c r="F50" s="59" t="s">
        <v>234</v>
      </c>
      <c r="G50" s="60"/>
      <c r="H50" s="318" t="s">
        <v>846</v>
      </c>
      <c r="I50" s="60" t="s">
        <v>588</v>
      </c>
      <c r="J50" s="114">
        <f>'Initial unit rates'!H241</f>
        <v>0</v>
      </c>
    </row>
    <row r="51" spans="2:12" x14ac:dyDescent="0.25">
      <c r="F51" s="59" t="s">
        <v>434</v>
      </c>
      <c r="G51" s="60"/>
      <c r="H51" s="318" t="s">
        <v>847</v>
      </c>
      <c r="I51" s="60" t="s">
        <v>588</v>
      </c>
      <c r="J51" s="114">
        <f>'Service model charges'!H48</f>
        <v>0</v>
      </c>
    </row>
    <row r="52" spans="2:12" x14ac:dyDescent="0.25">
      <c r="F52" s="59" t="s">
        <v>435</v>
      </c>
      <c r="G52" s="60"/>
      <c r="H52" s="318" t="s">
        <v>848</v>
      </c>
      <c r="I52" s="60" t="s">
        <v>588</v>
      </c>
      <c r="J52" s="114">
        <f>'Unit rate charges'!H223</f>
        <v>0</v>
      </c>
    </row>
    <row r="53" spans="2:12" x14ac:dyDescent="0.25">
      <c r="F53" s="59" t="s">
        <v>236</v>
      </c>
      <c r="G53" s="60"/>
      <c r="H53" s="318" t="s">
        <v>849</v>
      </c>
      <c r="I53" s="60" t="s">
        <v>588</v>
      </c>
      <c r="J53" s="114">
        <f>'Capacity charges'!H295</f>
        <v>0</v>
      </c>
    </row>
    <row r="54" spans="2:12" x14ac:dyDescent="0.25">
      <c r="F54" s="59" t="s">
        <v>394</v>
      </c>
      <c r="G54" s="60"/>
      <c r="H54" s="318" t="s">
        <v>850</v>
      </c>
      <c r="I54" s="60" t="s">
        <v>588</v>
      </c>
      <c r="J54" s="114">
        <f>'Reactive power charges'!H254</f>
        <v>0</v>
      </c>
    </row>
    <row r="55" spans="2:12" x14ac:dyDescent="0.25">
      <c r="F55" s="59" t="s">
        <v>237</v>
      </c>
      <c r="G55" s="60"/>
      <c r="H55" s="318" t="s">
        <v>851</v>
      </c>
      <c r="I55" s="60" t="s">
        <v>588</v>
      </c>
      <c r="J55" s="114">
        <f>'Fixed charges'!H165</f>
        <v>0</v>
      </c>
    </row>
    <row r="56" spans="2:12" s="122" customFormat="1" x14ac:dyDescent="0.25">
      <c r="F56" s="59" t="s">
        <v>1246</v>
      </c>
      <c r="G56" s="60"/>
      <c r="H56" s="318" t="s">
        <v>852</v>
      </c>
      <c r="I56" s="60" t="s">
        <v>588</v>
      </c>
      <c r="J56" s="114">
        <f>'SoLR &amp; bad debt adders'!H71</f>
        <v>0</v>
      </c>
    </row>
    <row r="57" spans="2:12" x14ac:dyDescent="0.25">
      <c r="F57" s="59" t="s">
        <v>238</v>
      </c>
      <c r="G57" s="60"/>
      <c r="H57" s="318" t="s">
        <v>853</v>
      </c>
      <c r="I57" s="60" t="s">
        <v>588</v>
      </c>
      <c r="J57" s="114">
        <f>'Revenue matching'!H433</f>
        <v>0</v>
      </c>
    </row>
    <row r="58" spans="2:12" x14ac:dyDescent="0.25">
      <c r="F58" s="59" t="s">
        <v>185</v>
      </c>
      <c r="G58" s="60"/>
      <c r="H58" s="318" t="s">
        <v>989</v>
      </c>
      <c r="I58" s="60" t="s">
        <v>588</v>
      </c>
      <c r="J58" s="114">
        <f>Rounding!H178</f>
        <v>0</v>
      </c>
    </row>
    <row r="59" spans="2:12" x14ac:dyDescent="0.25">
      <c r="F59" s="59" t="s">
        <v>553</v>
      </c>
      <c r="G59" s="60"/>
      <c r="H59" s="318" t="s">
        <v>998</v>
      </c>
      <c r="I59" s="60" t="s">
        <v>588</v>
      </c>
      <c r="J59" s="113">
        <f>'Net revenue summary'!H146</f>
        <v>0</v>
      </c>
    </row>
    <row r="60" spans="2:12" x14ac:dyDescent="0.25">
      <c r="F60" s="59" t="s">
        <v>436</v>
      </c>
      <c r="G60" s="60"/>
      <c r="H60" s="318" t="s">
        <v>999</v>
      </c>
      <c r="I60" s="60" t="s">
        <v>588</v>
      </c>
      <c r="J60" s="114">
        <f>'Tariff summary'!H641</f>
        <v>0</v>
      </c>
    </row>
    <row r="61" spans="2:12" x14ac:dyDescent="0.25">
      <c r="F61" s="59" t="s">
        <v>483</v>
      </c>
      <c r="G61" s="60"/>
      <c r="H61" s="318" t="s">
        <v>1000</v>
      </c>
      <c r="I61" s="60" t="s">
        <v>588</v>
      </c>
      <c r="J61" s="113">
        <f>'Typical bills'!H121</f>
        <v>0</v>
      </c>
    </row>
    <row r="62" spans="2:12" s="122" customFormat="1" x14ac:dyDescent="0.25">
      <c r="F62" s="312" t="s">
        <v>111</v>
      </c>
      <c r="G62" s="298"/>
      <c r="H62" s="298"/>
      <c r="I62" s="298" t="s">
        <v>588</v>
      </c>
      <c r="J62" s="515">
        <f>IFERROR(SUM(J35:J61), 1)</f>
        <v>0</v>
      </c>
    </row>
    <row r="63" spans="2:12" x14ac:dyDescent="0.25">
      <c r="E63" s="60"/>
      <c r="F63" s="60"/>
      <c r="G63" s="60"/>
      <c r="H63" s="60"/>
      <c r="I63" s="60"/>
      <c r="J63" s="60"/>
    </row>
    <row r="64" spans="2:12" x14ac:dyDescent="0.25">
      <c r="B64" s="51" t="s">
        <v>229</v>
      </c>
      <c r="C64" s="51"/>
      <c r="D64" s="51"/>
      <c r="E64" s="51"/>
      <c r="F64" s="51"/>
      <c r="G64" s="52"/>
      <c r="H64" s="52"/>
      <c r="I64" s="52"/>
      <c r="J64" s="52"/>
      <c r="K64" s="52"/>
      <c r="L64" s="51"/>
    </row>
    <row r="66" spans="2:12" x14ac:dyDescent="0.25">
      <c r="F66" s="56" t="s">
        <v>230</v>
      </c>
    </row>
    <row r="67" spans="2:12" x14ac:dyDescent="0.25">
      <c r="F67" s="319" t="s">
        <v>223</v>
      </c>
    </row>
    <row r="68" spans="2:12" x14ac:dyDescent="0.25">
      <c r="F68" s="319" t="s">
        <v>678</v>
      </c>
    </row>
    <row r="69" spans="2:12" x14ac:dyDescent="0.25">
      <c r="F69" s="319" t="s">
        <v>913</v>
      </c>
    </row>
    <row r="70" spans="2:12" s="122" customFormat="1" ht="30" x14ac:dyDescent="0.25">
      <c r="F70" s="364" t="s">
        <v>919</v>
      </c>
    </row>
    <row r="71" spans="2:12" s="122" customFormat="1" x14ac:dyDescent="0.25">
      <c r="F71" s="319"/>
    </row>
    <row r="72" spans="2:12" s="122" customFormat="1" x14ac:dyDescent="0.25">
      <c r="F72" s="319"/>
    </row>
    <row r="73" spans="2:12" s="122" customFormat="1" x14ac:dyDescent="0.25">
      <c r="F73" s="319"/>
    </row>
    <row r="74" spans="2:12" s="122" customFormat="1" x14ac:dyDescent="0.25">
      <c r="F74" s="319"/>
    </row>
    <row r="75" spans="2:12" s="122" customFormat="1" x14ac:dyDescent="0.25">
      <c r="F75" s="319"/>
    </row>
    <row r="76" spans="2:12" s="122" customFormat="1" x14ac:dyDescent="0.25">
      <c r="F76" s="319"/>
    </row>
    <row r="77" spans="2:12" x14ac:dyDescent="0.25">
      <c r="F77" s="319" t="s">
        <v>231</v>
      </c>
    </row>
    <row r="79" spans="2:12" x14ac:dyDescent="0.25">
      <c r="B79" s="51" t="s">
        <v>110</v>
      </c>
      <c r="C79" s="51"/>
      <c r="D79" s="51"/>
      <c r="E79" s="51"/>
      <c r="F79" s="51"/>
      <c r="G79" s="52"/>
      <c r="H79" s="52"/>
      <c r="I79" s="52"/>
      <c r="J79" s="52"/>
      <c r="K79" s="52"/>
      <c r="L79" s="51"/>
    </row>
  </sheetData>
  <sheetProtection sheet="1" objects="1" formatCells="0" formatColumns="0" formatRows="0" sort="0" autoFilter="0"/>
  <dataConsolidate/>
  <phoneticPr fontId="39" type="noConversion"/>
  <conditionalFormatting sqref="A4:XFD4">
    <cfRule type="expression" dxfId="255" priority="2">
      <formula>LEFT($A$4,1) &lt;&gt; "0"</formula>
    </cfRule>
  </conditionalFormatting>
  <conditionalFormatting sqref="J35:J62">
    <cfRule type="cellIs" dxfId="254" priority="1" operator="greaterThan">
      <formula>0</formula>
    </cfRule>
  </conditionalFormatting>
  <dataValidations count="4">
    <dataValidation type="whole" operator="greaterThan" allowBlank="1" showInputMessage="1" showErrorMessage="1" errorTitle="Stage model version" error="A positive integer value has not been selected" promptTitle="Stage model version" prompt="Input must be an integer. The value should return to 1 when a new development stage is reached." sqref="H20:H30" xr:uid="{00000000-0002-0000-0100-000000000000}">
      <formula1>0</formula1>
    </dataValidation>
    <dataValidation type="date" operator="greaterThan" allowBlank="1" showInputMessage="1" showErrorMessage="1" promptTitle="Model date" prompt="Input a date" sqref="F20:F30" xr:uid="{00000000-0002-0000-0100-000002000000}">
      <formula1>43028</formula1>
    </dataValidation>
    <dataValidation type="list" allowBlank="1" showInputMessage="1" showErrorMessage="1" errorTitle="Development stage" error="Selection is not consistent with the list of options specified below" promptTitle="Development stage" prompt="Select from the list of options" sqref="G20:G23 G25:G30" xr:uid="{00000000-0002-0000-0100-000001000000}">
      <formula1>$F$67:$F$77</formula1>
    </dataValidation>
    <dataValidation type="list" allowBlank="1" showInputMessage="1" showErrorMessage="1" errorTitle="Development stage" error="Selection is not consistent with the list of options specified below" promptTitle="Development stage" prompt="Select from the list of options" sqref="G24" xr:uid="{9C176EC3-8428-4EC6-96B4-F292419BF541}">
      <formula1>$F$64:$F$74</formula1>
    </dataValidation>
  </dataValidations>
  <hyperlinks>
    <hyperlink ref="I67" location="'Cover'!A1" display="Cover" xr:uid="{00000000-0004-0000-0100-000000000000}"/>
    <hyperlink ref="I68" location="'Version control'!A1" display="Version control" xr:uid="{00000000-0004-0000-0100-000001000000}"/>
    <hyperlink ref="I77" location="'Model map'!A1" display="Model map" xr:uid="{00000000-0004-0000-0100-000002000000}"/>
    <hyperlink ref="I78" location="'Inputs &gt;&gt;'!A1" display="Inputs &gt;&gt;" xr:uid="{00000000-0004-0000-0100-000003000000}"/>
  </hyperlinks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041829-5636-47CA-8CFB-3AAEA61B6814}">
  <sheetPr codeName="Sheet35">
    <tabColor theme="4" tint="0.59999389629810485"/>
    <pageSetUpPr fitToPage="1"/>
  </sheetPr>
  <dimension ref="A1:KG72"/>
  <sheetViews>
    <sheetView showGridLines="0" zoomScale="80" zoomScaleNormal="80" workbookViewId="0">
      <pane xSplit="9" ySplit="5" topLeftCell="J6" activePane="bottomRight" state="frozen"/>
      <selection pane="topRight"/>
      <selection pane="bottomLeft"/>
      <selection pane="bottomRight"/>
    </sheetView>
  </sheetViews>
  <sheetFormatPr defaultColWidth="0" defaultRowHeight="15" x14ac:dyDescent="0.25"/>
  <cols>
    <col min="1" max="5" width="2.5703125" style="293" customWidth="1"/>
    <col min="6" max="6" width="59.5703125" style="293" customWidth="1"/>
    <col min="7" max="8" width="20.5703125" style="293" customWidth="1"/>
    <col min="9" max="9" width="2.42578125" style="293" customWidth="1"/>
    <col min="10" max="21" width="17" style="293" customWidth="1"/>
    <col min="22" max="22" width="2.42578125" style="293" customWidth="1"/>
    <col min="23" max="23" width="50.5703125" style="293" customWidth="1"/>
    <col min="24" max="24" width="2.42578125" style="293" customWidth="1"/>
    <col min="25" max="42" width="17" style="293" hidden="1" customWidth="1"/>
    <col min="43" max="43" width="2.42578125" style="293" hidden="1" customWidth="1"/>
    <col min="44" max="44" width="18.42578125" style="293" hidden="1" customWidth="1"/>
    <col min="45" max="45" width="4.42578125" style="293" hidden="1" customWidth="1"/>
    <col min="46" max="293" width="24.5703125" style="293" hidden="1" customWidth="1"/>
    <col min="294" max="16384" width="8.5703125" style="293" hidden="1"/>
  </cols>
  <sheetData>
    <row r="1" spans="1:23" s="10" customFormat="1" x14ac:dyDescent="0.25">
      <c r="A1" s="10" t="str">
        <f ca="1">MID(CELL("filename",A1),FIND("]",CELL("filename",A1))+1,255)</f>
        <v>Customer contributions</v>
      </c>
    </row>
    <row r="2" spans="1:23" s="10" customFormat="1" x14ac:dyDescent="0.25">
      <c r="A2" s="10" t="str">
        <f>Cover!D21&amp;" - "&amp;Cover!D23</f>
        <v>Southern Electric Power Distribution plc - Final</v>
      </c>
    </row>
    <row r="3" spans="1:23" s="46" customFormat="1" x14ac:dyDescent="0.25">
      <c r="A3" s="46" t="str">
        <f>Cover!D2&amp;" - "&amp;Cover!D8&amp;" v"&amp;Cover!D10&amp;" - "&amp;Cover!D19</f>
        <v>ARP model - Release for charge setting v7 - 2023/24</v>
      </c>
    </row>
    <row r="4" spans="1:23" x14ac:dyDescent="0.25">
      <c r="A4" s="366" t="str">
        <f>H70 &amp; IF(H70 = 1, " issue", " issues") &amp;" identified in checks on this sheet"</f>
        <v>0 issues identified in checks on this sheet</v>
      </c>
      <c r="B4" s="108"/>
      <c r="C4" s="108"/>
      <c r="D4" s="108"/>
      <c r="E4" s="108"/>
      <c r="F4" s="108"/>
      <c r="G4" s="108"/>
      <c r="H4" s="111"/>
      <c r="I4" s="111"/>
      <c r="J4" s="108"/>
    </row>
    <row r="5" spans="1:23" x14ac:dyDescent="0.25">
      <c r="B5" s="367" t="s">
        <v>451</v>
      </c>
      <c r="C5" s="368"/>
      <c r="D5" s="368"/>
      <c r="E5" s="368"/>
      <c r="F5" s="368"/>
      <c r="G5" s="1" t="s">
        <v>91</v>
      </c>
      <c r="H5" s="2" t="s">
        <v>92</v>
      </c>
      <c r="W5" s="1" t="s">
        <v>93</v>
      </c>
    </row>
    <row r="7" spans="1:23" x14ac:dyDescent="0.25">
      <c r="B7" s="95" t="s">
        <v>90</v>
      </c>
      <c r="C7" s="95"/>
      <c r="D7" s="95"/>
      <c r="E7" s="95"/>
      <c r="F7" s="95"/>
      <c r="G7" s="95"/>
      <c r="H7" s="95"/>
      <c r="I7" s="95"/>
      <c r="J7" s="95"/>
      <c r="K7" s="95"/>
      <c r="L7" s="95"/>
      <c r="M7" s="95"/>
      <c r="N7" s="95"/>
      <c r="O7" s="95"/>
      <c r="P7" s="95"/>
      <c r="Q7" s="95"/>
      <c r="R7" s="95"/>
      <c r="S7" s="95"/>
      <c r="T7" s="95"/>
      <c r="U7" s="95"/>
      <c r="V7" s="95"/>
      <c r="W7" s="95"/>
    </row>
    <row r="9" spans="1:23" x14ac:dyDescent="0.25">
      <c r="C9" s="82" t="s">
        <v>794</v>
      </c>
    </row>
    <row r="10" spans="1:23" x14ac:dyDescent="0.25">
      <c r="C10" s="82" t="s">
        <v>795</v>
      </c>
    </row>
    <row r="12" spans="1:23" x14ac:dyDescent="0.25">
      <c r="B12" s="95" t="s">
        <v>232</v>
      </c>
      <c r="C12" s="95"/>
      <c r="D12" s="95"/>
      <c r="E12" s="95"/>
      <c r="F12" s="95"/>
      <c r="G12" s="95"/>
      <c r="H12" s="95"/>
      <c r="I12" s="95"/>
      <c r="J12" s="95"/>
      <c r="K12" s="95"/>
      <c r="L12" s="95"/>
      <c r="M12" s="95"/>
      <c r="N12" s="95"/>
      <c r="O12" s="95"/>
      <c r="P12" s="95"/>
      <c r="Q12" s="95"/>
      <c r="R12" s="95"/>
      <c r="S12" s="95"/>
      <c r="T12" s="95"/>
      <c r="U12" s="95"/>
      <c r="V12" s="95"/>
      <c r="W12" s="95"/>
    </row>
    <row r="14" spans="1:23" x14ac:dyDescent="0.25">
      <c r="C14" s="82" t="s">
        <v>425</v>
      </c>
    </row>
    <row r="16" spans="1:23" x14ac:dyDescent="0.25">
      <c r="C16" s="7" t="str">
        <f ca="1">INDEX('Version control'!$H$35:$H$61,MATCH($A$1,'Version control'!$F$35:$F$61,0),1)&amp;"-A: Network use factors"</f>
        <v>Section 506-A: Network use factors</v>
      </c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</row>
    <row r="18" spans="5:23" x14ac:dyDescent="0.25">
      <c r="E18" s="96" t="s">
        <v>153</v>
      </c>
      <c r="H18" s="88"/>
      <c r="I18" s="88" t="s">
        <v>359</v>
      </c>
      <c r="J18" s="88"/>
      <c r="K18" s="88"/>
      <c r="L18" s="88"/>
      <c r="M18" s="88"/>
      <c r="N18" s="88"/>
      <c r="O18" s="88"/>
      <c r="P18" s="88"/>
      <c r="Q18" s="88"/>
      <c r="R18" s="88"/>
      <c r="S18" s="88"/>
      <c r="T18" s="88"/>
      <c r="U18" s="88"/>
      <c r="W18" s="88" t="s">
        <v>702</v>
      </c>
    </row>
    <row r="19" spans="5:23" x14ac:dyDescent="0.25">
      <c r="E19" s="82" t="s">
        <v>191</v>
      </c>
      <c r="H19" s="88"/>
      <c r="I19" s="88"/>
      <c r="J19" s="88"/>
      <c r="K19" s="88"/>
      <c r="L19" s="88"/>
      <c r="M19" s="88"/>
      <c r="N19" s="88"/>
      <c r="O19" s="88"/>
      <c r="P19" s="88"/>
      <c r="Q19" s="88"/>
      <c r="R19" s="88"/>
      <c r="S19" s="88"/>
      <c r="T19" s="88"/>
      <c r="U19" s="88"/>
      <c r="W19" s="88"/>
    </row>
    <row r="20" spans="5:23" x14ac:dyDescent="0.25">
      <c r="F20" s="13"/>
      <c r="G20" s="13"/>
      <c r="H20" s="12"/>
      <c r="I20" s="12"/>
      <c r="J20" s="119" t="s">
        <v>83</v>
      </c>
      <c r="K20" s="119" t="s">
        <v>82</v>
      </c>
      <c r="L20" s="119" t="s">
        <v>81</v>
      </c>
      <c r="M20" s="119" t="s">
        <v>80</v>
      </c>
      <c r="O20" s="88"/>
      <c r="P20" s="88"/>
      <c r="Q20" s="88"/>
      <c r="R20" s="88"/>
      <c r="S20" s="88"/>
      <c r="T20" s="88"/>
      <c r="U20" s="88"/>
    </row>
    <row r="21" spans="5:23" x14ac:dyDescent="0.25">
      <c r="F21" s="14" t="s">
        <v>926</v>
      </c>
      <c r="G21" s="108" t="s">
        <v>132</v>
      </c>
      <c r="H21" s="88"/>
      <c r="I21" s="88"/>
      <c r="J21" s="139">
        <f t="array" ref="J21:M36">TRANSPOSE('Fixed inputs'!J53:Y56)</f>
        <v>0</v>
      </c>
      <c r="K21" s="139">
        <v>0</v>
      </c>
      <c r="L21" s="139">
        <v>0</v>
      </c>
      <c r="M21" s="139">
        <v>1</v>
      </c>
      <c r="S21" s="88"/>
      <c r="T21" s="88"/>
      <c r="U21" s="88"/>
      <c r="W21" s="88"/>
    </row>
    <row r="22" spans="5:23" x14ac:dyDescent="0.25">
      <c r="F22" s="14" t="s">
        <v>927</v>
      </c>
      <c r="G22" s="108" t="s">
        <v>132</v>
      </c>
      <c r="H22" s="88"/>
      <c r="I22" s="88"/>
      <c r="J22" s="139">
        <v>0</v>
      </c>
      <c r="K22" s="139">
        <v>0</v>
      </c>
      <c r="L22" s="139">
        <v>0</v>
      </c>
      <c r="M22" s="139">
        <v>1</v>
      </c>
      <c r="S22" s="88"/>
      <c r="T22" s="88"/>
      <c r="U22" s="88"/>
      <c r="W22" s="88"/>
    </row>
    <row r="23" spans="5:23" x14ac:dyDescent="0.25">
      <c r="F23" s="14" t="s">
        <v>928</v>
      </c>
      <c r="G23" s="108" t="s">
        <v>132</v>
      </c>
      <c r="H23" s="88"/>
      <c r="I23" s="88"/>
      <c r="J23" s="139">
        <v>0</v>
      </c>
      <c r="K23" s="139">
        <v>0</v>
      </c>
      <c r="L23" s="139">
        <v>0</v>
      </c>
      <c r="M23" s="139">
        <v>1</v>
      </c>
      <c r="S23" s="88"/>
      <c r="T23" s="88"/>
      <c r="U23" s="88"/>
      <c r="W23" s="88"/>
    </row>
    <row r="24" spans="5:23" x14ac:dyDescent="0.25">
      <c r="F24" s="14" t="s">
        <v>929</v>
      </c>
      <c r="G24" s="108" t="s">
        <v>132</v>
      </c>
      <c r="H24" s="88"/>
      <c r="I24" s="88"/>
      <c r="J24" s="139">
        <v>0</v>
      </c>
      <c r="K24" s="139">
        <v>0</v>
      </c>
      <c r="L24" s="139">
        <v>0</v>
      </c>
      <c r="M24" s="139">
        <v>1</v>
      </c>
      <c r="S24" s="88"/>
      <c r="T24" s="88"/>
      <c r="U24" s="88"/>
      <c r="W24" s="88"/>
    </row>
    <row r="25" spans="5:23" x14ac:dyDescent="0.25">
      <c r="F25" s="14" t="s">
        <v>930</v>
      </c>
      <c r="G25" s="108" t="s">
        <v>132</v>
      </c>
      <c r="H25" s="88"/>
      <c r="I25" s="88"/>
      <c r="J25" s="139">
        <v>0</v>
      </c>
      <c r="K25" s="139">
        <v>0</v>
      </c>
      <c r="L25" s="139">
        <v>0</v>
      </c>
      <c r="M25" s="139">
        <v>1</v>
      </c>
      <c r="S25" s="88"/>
      <c r="T25" s="88"/>
      <c r="U25" s="88"/>
      <c r="W25" s="88"/>
    </row>
    <row r="26" spans="5:23" x14ac:dyDescent="0.25">
      <c r="F26" s="14" t="s">
        <v>931</v>
      </c>
      <c r="G26" s="108" t="s">
        <v>132</v>
      </c>
      <c r="H26" s="88"/>
      <c r="I26" s="88"/>
      <c r="J26" s="139">
        <v>0</v>
      </c>
      <c r="K26" s="139">
        <v>0</v>
      </c>
      <c r="L26" s="139">
        <v>1</v>
      </c>
      <c r="M26" s="139">
        <v>0</v>
      </c>
      <c r="S26" s="88"/>
      <c r="T26" s="88"/>
      <c r="U26" s="88"/>
      <c r="W26" s="88"/>
    </row>
    <row r="27" spans="5:23" x14ac:dyDescent="0.25">
      <c r="F27" s="14" t="s">
        <v>932</v>
      </c>
      <c r="G27" s="108" t="s">
        <v>132</v>
      </c>
      <c r="H27" s="88"/>
      <c r="I27" s="88"/>
      <c r="J27" s="139">
        <v>0</v>
      </c>
      <c r="K27" s="139">
        <v>1</v>
      </c>
      <c r="L27" s="139">
        <v>0</v>
      </c>
      <c r="M27" s="139">
        <v>0</v>
      </c>
      <c r="S27" s="88"/>
      <c r="T27" s="88"/>
      <c r="U27" s="88"/>
      <c r="W27" s="88"/>
    </row>
    <row r="28" spans="5:23" x14ac:dyDescent="0.25">
      <c r="F28" s="14" t="s">
        <v>933</v>
      </c>
      <c r="G28" s="108" t="s">
        <v>132</v>
      </c>
      <c r="H28" s="88"/>
      <c r="I28" s="88"/>
      <c r="J28" s="139">
        <v>0</v>
      </c>
      <c r="K28" s="139">
        <v>0</v>
      </c>
      <c r="L28" s="139">
        <v>0</v>
      </c>
      <c r="M28" s="139">
        <v>1</v>
      </c>
      <c r="S28" s="88"/>
      <c r="T28" s="88"/>
      <c r="U28" s="88"/>
      <c r="W28" s="88"/>
    </row>
    <row r="29" spans="5:23" x14ac:dyDescent="0.25">
      <c r="F29" s="14" t="s">
        <v>934</v>
      </c>
      <c r="G29" s="108" t="s">
        <v>132</v>
      </c>
      <c r="H29" s="88"/>
      <c r="I29" s="88"/>
      <c r="J29" s="139">
        <v>0</v>
      </c>
      <c r="K29" s="139">
        <v>0</v>
      </c>
      <c r="L29" s="139">
        <v>0</v>
      </c>
      <c r="M29" s="139">
        <v>1</v>
      </c>
      <c r="S29" s="88"/>
      <c r="T29" s="88"/>
      <c r="U29" s="88"/>
      <c r="W29" s="88"/>
    </row>
    <row r="30" spans="5:23" x14ac:dyDescent="0.25">
      <c r="F30" s="14" t="s">
        <v>935</v>
      </c>
      <c r="G30" s="108" t="s">
        <v>132</v>
      </c>
      <c r="H30" s="88"/>
      <c r="I30" s="88"/>
      <c r="J30" s="139">
        <v>0</v>
      </c>
      <c r="K30" s="139">
        <v>0</v>
      </c>
      <c r="L30" s="139">
        <v>1</v>
      </c>
      <c r="M30" s="139">
        <v>0</v>
      </c>
      <c r="S30" s="88"/>
      <c r="T30" s="88"/>
      <c r="U30" s="88"/>
      <c r="W30" s="88"/>
    </row>
    <row r="31" spans="5:23" x14ac:dyDescent="0.25">
      <c r="F31" s="14" t="s">
        <v>936</v>
      </c>
      <c r="G31" s="108" t="s">
        <v>132</v>
      </c>
      <c r="H31" s="88"/>
      <c r="I31" s="88"/>
      <c r="J31" s="139">
        <v>0</v>
      </c>
      <c r="K31" s="139">
        <v>0</v>
      </c>
      <c r="L31" s="139">
        <v>0</v>
      </c>
      <c r="M31" s="139">
        <v>1</v>
      </c>
      <c r="S31" s="88"/>
      <c r="T31" s="88"/>
      <c r="U31" s="88"/>
      <c r="W31" s="88"/>
    </row>
    <row r="32" spans="5:23" x14ac:dyDescent="0.25">
      <c r="F32" s="14" t="s">
        <v>937</v>
      </c>
      <c r="G32" s="108" t="s">
        <v>132</v>
      </c>
      <c r="H32" s="88"/>
      <c r="I32" s="88"/>
      <c r="J32" s="139">
        <v>0</v>
      </c>
      <c r="K32" s="139">
        <v>0</v>
      </c>
      <c r="L32" s="139">
        <v>0</v>
      </c>
      <c r="M32" s="139">
        <v>1</v>
      </c>
      <c r="S32" s="88"/>
      <c r="T32" s="88"/>
      <c r="U32" s="88"/>
      <c r="W32" s="88"/>
    </row>
    <row r="33" spans="3:23" x14ac:dyDescent="0.25">
      <c r="F33" s="14" t="s">
        <v>938</v>
      </c>
      <c r="G33" s="108" t="s">
        <v>132</v>
      </c>
      <c r="H33" s="88"/>
      <c r="I33" s="88"/>
      <c r="J33" s="139">
        <v>0</v>
      </c>
      <c r="K33" s="139">
        <v>0</v>
      </c>
      <c r="L33" s="139">
        <v>1</v>
      </c>
      <c r="M33" s="139">
        <v>0</v>
      </c>
      <c r="S33" s="88"/>
      <c r="T33" s="88"/>
      <c r="U33" s="88"/>
      <c r="W33" s="88"/>
    </row>
    <row r="34" spans="3:23" x14ac:dyDescent="0.25">
      <c r="F34" s="14" t="s">
        <v>939</v>
      </c>
      <c r="G34" s="108" t="s">
        <v>132</v>
      </c>
      <c r="H34" s="88"/>
      <c r="I34" s="88"/>
      <c r="J34" s="139">
        <v>0</v>
      </c>
      <c r="K34" s="139">
        <v>0</v>
      </c>
      <c r="L34" s="139">
        <v>1</v>
      </c>
      <c r="M34" s="139">
        <v>0</v>
      </c>
      <c r="S34" s="88"/>
      <c r="T34" s="88"/>
      <c r="U34" s="88"/>
      <c r="W34" s="88"/>
    </row>
    <row r="35" spans="3:23" x14ac:dyDescent="0.25">
      <c r="F35" s="14" t="s">
        <v>940</v>
      </c>
      <c r="G35" s="108" t="s">
        <v>132</v>
      </c>
      <c r="H35" s="88"/>
      <c r="I35" s="88"/>
      <c r="J35" s="139">
        <v>0</v>
      </c>
      <c r="K35" s="139">
        <v>1</v>
      </c>
      <c r="L35" s="139">
        <v>0</v>
      </c>
      <c r="M35" s="139">
        <v>0</v>
      </c>
      <c r="S35" s="88"/>
      <c r="T35" s="88"/>
      <c r="U35" s="88"/>
      <c r="W35" s="88"/>
    </row>
    <row r="36" spans="3:23" x14ac:dyDescent="0.25">
      <c r="F36" s="15" t="s">
        <v>941</v>
      </c>
      <c r="G36" s="131" t="s">
        <v>132</v>
      </c>
      <c r="H36" s="97"/>
      <c r="I36" s="97"/>
      <c r="J36" s="140">
        <v>0</v>
      </c>
      <c r="K36" s="140">
        <v>1</v>
      </c>
      <c r="L36" s="140">
        <v>0</v>
      </c>
      <c r="M36" s="140">
        <v>0</v>
      </c>
      <c r="S36" s="88"/>
      <c r="T36" s="88"/>
      <c r="U36" s="88"/>
      <c r="W36" s="88"/>
    </row>
    <row r="37" spans="3:23" x14ac:dyDescent="0.25">
      <c r="H37" s="88"/>
      <c r="I37" s="88"/>
      <c r="J37" s="88"/>
      <c r="K37" s="88"/>
      <c r="L37" s="88"/>
      <c r="M37" s="88"/>
      <c r="N37" s="88"/>
      <c r="O37" s="88"/>
      <c r="P37" s="88"/>
      <c r="Q37" s="88"/>
      <c r="R37" s="88"/>
      <c r="S37" s="88"/>
      <c r="T37" s="88"/>
      <c r="U37" s="88"/>
      <c r="W37" s="88"/>
    </row>
    <row r="38" spans="3:23" x14ac:dyDescent="0.25">
      <c r="C38" s="7" t="str">
        <f ca="1">INDEX('Version control'!$H$35:$H$61,MATCH($A$1,'Version control'!$F$35:$F$61,0),1)&amp;"-B: Customer contributions"</f>
        <v>Section 506-B: Customer contributions</v>
      </c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</row>
    <row r="40" spans="3:23" x14ac:dyDescent="0.25">
      <c r="E40" s="96" t="s">
        <v>520</v>
      </c>
      <c r="H40" s="88"/>
      <c r="I40" s="88" t="s">
        <v>359</v>
      </c>
      <c r="J40" s="88"/>
      <c r="K40" s="88"/>
      <c r="L40" s="88"/>
      <c r="M40" s="88"/>
      <c r="N40" s="88"/>
      <c r="O40" s="88"/>
      <c r="P40" s="88"/>
      <c r="Q40" s="88"/>
      <c r="R40" s="88"/>
      <c r="S40" s="88"/>
      <c r="T40" s="88"/>
      <c r="U40" s="88"/>
      <c r="W40" s="88" t="s">
        <v>712</v>
      </c>
    </row>
    <row r="41" spans="3:23" x14ac:dyDescent="0.25">
      <c r="E41" s="82" t="s">
        <v>192</v>
      </c>
      <c r="H41" s="88"/>
      <c r="I41" s="88"/>
      <c r="J41" s="88"/>
      <c r="K41" s="88"/>
      <c r="L41" s="88"/>
      <c r="M41" s="88"/>
      <c r="N41" s="88"/>
      <c r="O41" s="88"/>
      <c r="P41" s="88"/>
      <c r="Q41" s="88"/>
      <c r="R41" s="88"/>
      <c r="S41" s="88"/>
      <c r="T41" s="88"/>
      <c r="U41" s="88"/>
      <c r="W41" s="88"/>
    </row>
    <row r="42" spans="3:23" x14ac:dyDescent="0.25">
      <c r="E42" s="96"/>
      <c r="F42" s="31"/>
      <c r="G42" s="31"/>
      <c r="H42" s="31"/>
      <c r="I42" s="31"/>
      <c r="J42" s="31" t="s">
        <v>267</v>
      </c>
      <c r="K42" s="389" t="s">
        <v>43</v>
      </c>
      <c r="L42" s="389" t="s">
        <v>44</v>
      </c>
      <c r="M42" s="389" t="s">
        <v>45</v>
      </c>
      <c r="N42" s="389" t="s">
        <v>46</v>
      </c>
      <c r="O42" s="389" t="s">
        <v>47</v>
      </c>
      <c r="P42" s="389" t="s">
        <v>51</v>
      </c>
      <c r="Q42" s="389" t="s">
        <v>48</v>
      </c>
      <c r="R42" s="389" t="s">
        <v>49</v>
      </c>
      <c r="S42" s="389" t="s">
        <v>50</v>
      </c>
      <c r="T42" s="389" t="s">
        <v>124</v>
      </c>
      <c r="U42" s="389" t="s">
        <v>123</v>
      </c>
    </row>
    <row r="43" spans="3:23" x14ac:dyDescent="0.25">
      <c r="F43" s="14" t="s">
        <v>80</v>
      </c>
      <c r="G43" s="109" t="s">
        <v>94</v>
      </c>
      <c r="H43" s="88"/>
      <c r="I43" s="88"/>
      <c r="J43" s="79"/>
      <c r="K43" s="79"/>
      <c r="L43" s="143">
        <f>'Inputs by network level'!L29</f>
        <v>0</v>
      </c>
      <c r="M43" s="143">
        <f>'Inputs by network level'!M29</f>
        <v>0</v>
      </c>
      <c r="N43" s="143">
        <f>'Inputs by network level'!N29</f>
        <v>1.2370413198693E-2</v>
      </c>
      <c r="O43" s="143">
        <f>'Inputs by network level'!O29</f>
        <v>2.4400925983857801E-2</v>
      </c>
      <c r="P43" s="143">
        <f>'Inputs by network level'!P29</f>
        <v>0</v>
      </c>
      <c r="Q43" s="143">
        <f>'Inputs by network level'!Q29</f>
        <v>0.34379931777325301</v>
      </c>
      <c r="R43" s="143">
        <f>'Inputs by network level'!R29</f>
        <v>0.42351973684210498</v>
      </c>
      <c r="S43" s="143">
        <f>'Inputs by network level'!S29</f>
        <v>0.95595667870036105</v>
      </c>
      <c r="T43" s="79"/>
      <c r="U43" s="79"/>
      <c r="W43" s="88"/>
    </row>
    <row r="44" spans="3:23" x14ac:dyDescent="0.25">
      <c r="F44" s="14" t="s">
        <v>81</v>
      </c>
      <c r="G44" s="109" t="s">
        <v>94</v>
      </c>
      <c r="H44" s="88"/>
      <c r="I44" s="88"/>
      <c r="J44" s="79"/>
      <c r="K44" s="79"/>
      <c r="L44" s="143">
        <f>'Inputs by network level'!L30</f>
        <v>0</v>
      </c>
      <c r="M44" s="143">
        <f>'Inputs by network level'!M30</f>
        <v>0</v>
      </c>
      <c r="N44" s="143">
        <f>'Inputs by network level'!N30</f>
        <v>1.2370413198693E-2</v>
      </c>
      <c r="O44" s="143">
        <f>'Inputs by network level'!O30</f>
        <v>2.4400925983857801E-2</v>
      </c>
      <c r="P44" s="143">
        <f>'Inputs by network level'!P30</f>
        <v>0</v>
      </c>
      <c r="Q44" s="143">
        <f>'Inputs by network level'!Q30</f>
        <v>0.34379931777325301</v>
      </c>
      <c r="R44" s="143">
        <f>'Inputs by network level'!R30</f>
        <v>0.42351973684210498</v>
      </c>
      <c r="S44" s="143">
        <f>'Inputs by network level'!S30</f>
        <v>0</v>
      </c>
      <c r="T44" s="79"/>
      <c r="U44" s="79"/>
      <c r="W44" s="88"/>
    </row>
    <row r="45" spans="3:23" x14ac:dyDescent="0.25">
      <c r="F45" s="14" t="s">
        <v>82</v>
      </c>
      <c r="G45" s="109" t="s">
        <v>94</v>
      </c>
      <c r="H45" s="88"/>
      <c r="I45" s="88"/>
      <c r="J45" s="79"/>
      <c r="K45" s="79"/>
      <c r="L45" s="143">
        <f>'Inputs by network level'!L31</f>
        <v>0</v>
      </c>
      <c r="M45" s="143">
        <f>'Inputs by network level'!M31</f>
        <v>0</v>
      </c>
      <c r="N45" s="143">
        <f>'Inputs by network level'!N31</f>
        <v>3.4530744799792602E-2</v>
      </c>
      <c r="O45" s="143">
        <f>'Inputs by network level'!O31</f>
        <v>6.6381013698021907E-2</v>
      </c>
      <c r="P45" s="143">
        <f>'Inputs by network level'!P31</f>
        <v>0</v>
      </c>
      <c r="Q45" s="143">
        <f>'Inputs by network level'!Q31</f>
        <v>0.38323267678152101</v>
      </c>
      <c r="R45" s="143">
        <f>'Inputs by network level'!R31</f>
        <v>0</v>
      </c>
      <c r="S45" s="143">
        <f>'Inputs by network level'!S31</f>
        <v>0</v>
      </c>
      <c r="T45" s="79"/>
      <c r="U45" s="79"/>
      <c r="W45" s="88"/>
    </row>
    <row r="46" spans="3:23" x14ac:dyDescent="0.25">
      <c r="F46" s="15" t="s">
        <v>83</v>
      </c>
      <c r="G46" s="36" t="s">
        <v>94</v>
      </c>
      <c r="H46" s="97"/>
      <c r="I46" s="97"/>
      <c r="J46" s="102"/>
      <c r="K46" s="102"/>
      <c r="L46" s="390">
        <f>'Inputs by network level'!L32</f>
        <v>0</v>
      </c>
      <c r="M46" s="390">
        <f>'Inputs by network level'!M32</f>
        <v>0</v>
      </c>
      <c r="N46" s="390">
        <f>'Inputs by network level'!N32</f>
        <v>3.4530744799792602E-2</v>
      </c>
      <c r="O46" s="390">
        <f>'Inputs by network level'!O32</f>
        <v>6.6381013698021907E-2</v>
      </c>
      <c r="P46" s="390">
        <f>'Inputs by network level'!P32</f>
        <v>0</v>
      </c>
      <c r="Q46" s="390">
        <f>'Inputs by network level'!Q32</f>
        <v>0</v>
      </c>
      <c r="R46" s="390">
        <f>'Inputs by network level'!R32</f>
        <v>0</v>
      </c>
      <c r="S46" s="390">
        <f>'Inputs by network level'!S32</f>
        <v>0</v>
      </c>
      <c r="T46" s="102"/>
      <c r="U46" s="102"/>
      <c r="W46" s="88"/>
    </row>
    <row r="47" spans="3:23" x14ac:dyDescent="0.25">
      <c r="G47" s="108"/>
      <c r="H47" s="88"/>
      <c r="I47" s="88"/>
      <c r="J47" s="88"/>
      <c r="K47" s="88"/>
      <c r="L47" s="88"/>
      <c r="M47" s="88"/>
      <c r="N47" s="88"/>
      <c r="O47" s="88"/>
      <c r="P47" s="88"/>
      <c r="Q47" s="88"/>
      <c r="R47" s="88"/>
      <c r="S47" s="88"/>
      <c r="T47" s="88"/>
      <c r="U47" s="88"/>
      <c r="W47" s="88"/>
    </row>
    <row r="48" spans="3:23" x14ac:dyDescent="0.25">
      <c r="E48" s="96" t="s">
        <v>521</v>
      </c>
      <c r="H48" s="108"/>
      <c r="I48" s="88"/>
      <c r="J48" s="88"/>
      <c r="K48" s="88"/>
      <c r="L48" s="88"/>
      <c r="M48" s="88"/>
      <c r="N48" s="88"/>
      <c r="O48" s="88"/>
      <c r="P48" s="88"/>
      <c r="Q48" s="88"/>
      <c r="R48" s="88"/>
      <c r="S48" s="88"/>
      <c r="T48" s="88"/>
      <c r="U48" s="88"/>
      <c r="W48" s="88"/>
    </row>
    <row r="49" spans="5:23" x14ac:dyDescent="0.25">
      <c r="E49" s="82" t="s">
        <v>193</v>
      </c>
      <c r="H49" s="108"/>
      <c r="I49" s="88"/>
      <c r="J49" s="88"/>
      <c r="K49" s="88"/>
      <c r="L49" s="88"/>
      <c r="M49" s="88"/>
      <c r="N49" s="88"/>
      <c r="O49" s="88"/>
      <c r="P49" s="88"/>
      <c r="Q49" s="88"/>
      <c r="R49" s="88"/>
      <c r="S49" s="88"/>
      <c r="T49" s="88"/>
      <c r="U49" s="88"/>
      <c r="W49" s="88"/>
    </row>
    <row r="50" spans="5:23" x14ac:dyDescent="0.25">
      <c r="F50" s="31"/>
      <c r="G50" s="31"/>
      <c r="H50" s="167"/>
      <c r="I50" s="31"/>
      <c r="J50" s="31" t="s">
        <v>267</v>
      </c>
      <c r="K50" s="389" t="s">
        <v>43</v>
      </c>
      <c r="L50" s="389" t="s">
        <v>44</v>
      </c>
      <c r="M50" s="389" t="s">
        <v>45</v>
      </c>
      <c r="N50" s="389" t="s">
        <v>46</v>
      </c>
      <c r="O50" s="389" t="s">
        <v>47</v>
      </c>
      <c r="P50" s="389" t="s">
        <v>51</v>
      </c>
      <c r="Q50" s="389" t="s">
        <v>48</v>
      </c>
      <c r="R50" s="389" t="s">
        <v>49</v>
      </c>
      <c r="S50" s="389" t="s">
        <v>50</v>
      </c>
      <c r="T50" s="389" t="s">
        <v>124</v>
      </c>
      <c r="U50" s="389" t="s">
        <v>123</v>
      </c>
      <c r="W50" s="88"/>
    </row>
    <row r="51" spans="5:23" x14ac:dyDescent="0.25">
      <c r="F51" s="14" t="s">
        <v>926</v>
      </c>
      <c r="G51" s="14"/>
      <c r="H51" s="109" t="s">
        <v>94</v>
      </c>
      <c r="J51" s="370"/>
      <c r="K51" s="370"/>
      <c r="L51" s="17">
        <f t="shared" ref="L51:S66" si="0">$M21 * L$43 + $L21 * L$44 + $K21 * L$45 + $J21 * L$46</f>
        <v>0</v>
      </c>
      <c r="M51" s="17">
        <f t="shared" si="0"/>
        <v>0</v>
      </c>
      <c r="N51" s="17">
        <f t="shared" si="0"/>
        <v>1.2370413198693E-2</v>
      </c>
      <c r="O51" s="17">
        <f t="shared" si="0"/>
        <v>2.4400925983857801E-2</v>
      </c>
      <c r="P51" s="17">
        <f t="shared" si="0"/>
        <v>0</v>
      </c>
      <c r="Q51" s="17">
        <f t="shared" si="0"/>
        <v>0.34379931777325301</v>
      </c>
      <c r="R51" s="17">
        <f t="shared" si="0"/>
        <v>0.42351973684210498</v>
      </c>
      <c r="S51" s="17">
        <f t="shared" si="0"/>
        <v>0.95595667870036105</v>
      </c>
      <c r="T51" s="370"/>
      <c r="U51" s="370"/>
    </row>
    <row r="52" spans="5:23" x14ac:dyDescent="0.25">
      <c r="F52" s="14" t="s">
        <v>927</v>
      </c>
      <c r="G52" s="14"/>
      <c r="H52" s="109" t="s">
        <v>94</v>
      </c>
      <c r="J52" s="370"/>
      <c r="K52" s="370"/>
      <c r="L52" s="17">
        <f t="shared" si="0"/>
        <v>0</v>
      </c>
      <c r="M52" s="17">
        <f t="shared" si="0"/>
        <v>0</v>
      </c>
      <c r="N52" s="17">
        <f t="shared" si="0"/>
        <v>1.2370413198693E-2</v>
      </c>
      <c r="O52" s="17">
        <f t="shared" si="0"/>
        <v>2.4400925983857801E-2</v>
      </c>
      <c r="P52" s="17">
        <f t="shared" si="0"/>
        <v>0</v>
      </c>
      <c r="Q52" s="17">
        <f t="shared" si="0"/>
        <v>0.34379931777325301</v>
      </c>
      <c r="R52" s="17">
        <f t="shared" si="0"/>
        <v>0.42351973684210498</v>
      </c>
      <c r="S52" s="17">
        <f t="shared" si="0"/>
        <v>0.95595667870036105</v>
      </c>
      <c r="T52" s="370"/>
      <c r="U52" s="370"/>
    </row>
    <row r="53" spans="5:23" x14ac:dyDescent="0.25">
      <c r="F53" s="14" t="s">
        <v>928</v>
      </c>
      <c r="G53" s="14"/>
      <c r="H53" s="109" t="s">
        <v>94</v>
      </c>
      <c r="J53" s="370"/>
      <c r="K53" s="370"/>
      <c r="L53" s="17">
        <f t="shared" si="0"/>
        <v>0</v>
      </c>
      <c r="M53" s="17">
        <f t="shared" si="0"/>
        <v>0</v>
      </c>
      <c r="N53" s="17">
        <f t="shared" si="0"/>
        <v>1.2370413198693E-2</v>
      </c>
      <c r="O53" s="17">
        <f t="shared" si="0"/>
        <v>2.4400925983857801E-2</v>
      </c>
      <c r="P53" s="17">
        <f t="shared" si="0"/>
        <v>0</v>
      </c>
      <c r="Q53" s="17">
        <f t="shared" si="0"/>
        <v>0.34379931777325301</v>
      </c>
      <c r="R53" s="17">
        <f t="shared" si="0"/>
        <v>0.42351973684210498</v>
      </c>
      <c r="S53" s="17">
        <f t="shared" si="0"/>
        <v>0.95595667870036105</v>
      </c>
      <c r="T53" s="370"/>
      <c r="U53" s="370"/>
    </row>
    <row r="54" spans="5:23" x14ac:dyDescent="0.25">
      <c r="F54" s="14" t="s">
        <v>929</v>
      </c>
      <c r="G54" s="14"/>
      <c r="H54" s="109" t="s">
        <v>94</v>
      </c>
      <c r="J54" s="370"/>
      <c r="K54" s="370"/>
      <c r="L54" s="17">
        <f t="shared" si="0"/>
        <v>0</v>
      </c>
      <c r="M54" s="17">
        <f t="shared" si="0"/>
        <v>0</v>
      </c>
      <c r="N54" s="17">
        <f t="shared" si="0"/>
        <v>1.2370413198693E-2</v>
      </c>
      <c r="O54" s="17">
        <f t="shared" si="0"/>
        <v>2.4400925983857801E-2</v>
      </c>
      <c r="P54" s="17">
        <f t="shared" si="0"/>
        <v>0</v>
      </c>
      <c r="Q54" s="17">
        <f t="shared" si="0"/>
        <v>0.34379931777325301</v>
      </c>
      <c r="R54" s="17">
        <f t="shared" si="0"/>
        <v>0.42351973684210498</v>
      </c>
      <c r="S54" s="17">
        <f t="shared" si="0"/>
        <v>0.95595667870036105</v>
      </c>
      <c r="T54" s="370"/>
      <c r="U54" s="370"/>
    </row>
    <row r="55" spans="5:23" x14ac:dyDescent="0.25">
      <c r="F55" s="14" t="s">
        <v>930</v>
      </c>
      <c r="G55" s="14"/>
      <c r="H55" s="109" t="s">
        <v>94</v>
      </c>
      <c r="J55" s="370"/>
      <c r="K55" s="370"/>
      <c r="L55" s="17">
        <f t="shared" si="0"/>
        <v>0</v>
      </c>
      <c r="M55" s="17">
        <f t="shared" si="0"/>
        <v>0</v>
      </c>
      <c r="N55" s="17">
        <f t="shared" si="0"/>
        <v>1.2370413198693E-2</v>
      </c>
      <c r="O55" s="17">
        <f t="shared" si="0"/>
        <v>2.4400925983857801E-2</v>
      </c>
      <c r="P55" s="17">
        <f t="shared" si="0"/>
        <v>0</v>
      </c>
      <c r="Q55" s="17">
        <f t="shared" si="0"/>
        <v>0.34379931777325301</v>
      </c>
      <c r="R55" s="17">
        <f t="shared" si="0"/>
        <v>0.42351973684210498</v>
      </c>
      <c r="S55" s="17">
        <f t="shared" si="0"/>
        <v>0.95595667870036105</v>
      </c>
      <c r="T55" s="370"/>
      <c r="U55" s="370"/>
    </row>
    <row r="56" spans="5:23" x14ac:dyDescent="0.25">
      <c r="F56" s="14" t="s">
        <v>931</v>
      </c>
      <c r="G56" s="14"/>
      <c r="H56" s="109" t="s">
        <v>94</v>
      </c>
      <c r="J56" s="370"/>
      <c r="K56" s="370"/>
      <c r="L56" s="17">
        <f t="shared" si="0"/>
        <v>0</v>
      </c>
      <c r="M56" s="17">
        <f t="shared" si="0"/>
        <v>0</v>
      </c>
      <c r="N56" s="17">
        <f t="shared" si="0"/>
        <v>1.2370413198693E-2</v>
      </c>
      <c r="O56" s="17">
        <f t="shared" si="0"/>
        <v>2.4400925983857801E-2</v>
      </c>
      <c r="P56" s="17">
        <f t="shared" si="0"/>
        <v>0</v>
      </c>
      <c r="Q56" s="17">
        <f t="shared" si="0"/>
        <v>0.34379931777325301</v>
      </c>
      <c r="R56" s="17">
        <f t="shared" si="0"/>
        <v>0.42351973684210498</v>
      </c>
      <c r="S56" s="17">
        <f t="shared" si="0"/>
        <v>0</v>
      </c>
      <c r="T56" s="370"/>
      <c r="U56" s="370"/>
    </row>
    <row r="57" spans="5:23" x14ac:dyDescent="0.25">
      <c r="F57" s="14" t="s">
        <v>932</v>
      </c>
      <c r="G57" s="14"/>
      <c r="H57" s="109" t="s">
        <v>94</v>
      </c>
      <c r="J57" s="370"/>
      <c r="K57" s="370"/>
      <c r="L57" s="17">
        <f t="shared" si="0"/>
        <v>0</v>
      </c>
      <c r="M57" s="17">
        <f t="shared" si="0"/>
        <v>0</v>
      </c>
      <c r="N57" s="17">
        <f t="shared" si="0"/>
        <v>3.4530744799792602E-2</v>
      </c>
      <c r="O57" s="17">
        <f t="shared" si="0"/>
        <v>6.6381013698021907E-2</v>
      </c>
      <c r="P57" s="17">
        <f t="shared" si="0"/>
        <v>0</v>
      </c>
      <c r="Q57" s="17">
        <f t="shared" si="0"/>
        <v>0.38323267678152101</v>
      </c>
      <c r="R57" s="17">
        <f t="shared" si="0"/>
        <v>0</v>
      </c>
      <c r="S57" s="17">
        <f t="shared" si="0"/>
        <v>0</v>
      </c>
      <c r="T57" s="370"/>
      <c r="U57" s="370"/>
    </row>
    <row r="58" spans="5:23" x14ac:dyDescent="0.25">
      <c r="F58" s="14" t="s">
        <v>933</v>
      </c>
      <c r="G58" s="14"/>
      <c r="H58" s="109" t="s">
        <v>94</v>
      </c>
      <c r="J58" s="370"/>
      <c r="K58" s="370"/>
      <c r="L58" s="17">
        <f t="shared" si="0"/>
        <v>0</v>
      </c>
      <c r="M58" s="17">
        <f t="shared" si="0"/>
        <v>0</v>
      </c>
      <c r="N58" s="17">
        <f t="shared" si="0"/>
        <v>1.2370413198693E-2</v>
      </c>
      <c r="O58" s="17">
        <f t="shared" si="0"/>
        <v>2.4400925983857801E-2</v>
      </c>
      <c r="P58" s="17">
        <f t="shared" si="0"/>
        <v>0</v>
      </c>
      <c r="Q58" s="17">
        <f t="shared" si="0"/>
        <v>0.34379931777325301</v>
      </c>
      <c r="R58" s="17">
        <f t="shared" si="0"/>
        <v>0.42351973684210498</v>
      </c>
      <c r="S58" s="17">
        <f t="shared" si="0"/>
        <v>0.95595667870036105</v>
      </c>
      <c r="T58" s="370"/>
      <c r="U58" s="370"/>
    </row>
    <row r="59" spans="5:23" x14ac:dyDescent="0.25">
      <c r="F59" s="14" t="s">
        <v>934</v>
      </c>
      <c r="G59" s="14"/>
      <c r="H59" s="109" t="s">
        <v>94</v>
      </c>
      <c r="J59" s="370"/>
      <c r="K59" s="370"/>
      <c r="L59" s="17">
        <f t="shared" si="0"/>
        <v>0</v>
      </c>
      <c r="M59" s="17">
        <f t="shared" si="0"/>
        <v>0</v>
      </c>
      <c r="N59" s="17">
        <f t="shared" si="0"/>
        <v>1.2370413198693E-2</v>
      </c>
      <c r="O59" s="17">
        <f t="shared" si="0"/>
        <v>2.4400925983857801E-2</v>
      </c>
      <c r="P59" s="17">
        <f t="shared" si="0"/>
        <v>0</v>
      </c>
      <c r="Q59" s="17">
        <f t="shared" si="0"/>
        <v>0.34379931777325301</v>
      </c>
      <c r="R59" s="17">
        <f t="shared" si="0"/>
        <v>0.42351973684210498</v>
      </c>
      <c r="S59" s="17">
        <f t="shared" si="0"/>
        <v>0.95595667870036105</v>
      </c>
      <c r="T59" s="370"/>
      <c r="U59" s="370"/>
    </row>
    <row r="60" spans="5:23" x14ac:dyDescent="0.25">
      <c r="F60" s="14" t="s">
        <v>935</v>
      </c>
      <c r="G60" s="14"/>
      <c r="H60" s="109" t="s">
        <v>94</v>
      </c>
      <c r="J60" s="370"/>
      <c r="K60" s="370"/>
      <c r="L60" s="17">
        <f t="shared" si="0"/>
        <v>0</v>
      </c>
      <c r="M60" s="17">
        <f t="shared" si="0"/>
        <v>0</v>
      </c>
      <c r="N60" s="17">
        <f t="shared" si="0"/>
        <v>1.2370413198693E-2</v>
      </c>
      <c r="O60" s="17">
        <f t="shared" si="0"/>
        <v>2.4400925983857801E-2</v>
      </c>
      <c r="P60" s="17">
        <f t="shared" si="0"/>
        <v>0</v>
      </c>
      <c r="Q60" s="17">
        <f t="shared" si="0"/>
        <v>0.34379931777325301</v>
      </c>
      <c r="R60" s="17">
        <f t="shared" si="0"/>
        <v>0.42351973684210498</v>
      </c>
      <c r="S60" s="17">
        <f t="shared" si="0"/>
        <v>0</v>
      </c>
      <c r="T60" s="370"/>
      <c r="U60" s="370"/>
    </row>
    <row r="61" spans="5:23" x14ac:dyDescent="0.25">
      <c r="F61" s="14" t="s">
        <v>936</v>
      </c>
      <c r="G61" s="14"/>
      <c r="H61" s="109" t="s">
        <v>94</v>
      </c>
      <c r="J61" s="370"/>
      <c r="K61" s="370"/>
      <c r="L61" s="17">
        <f t="shared" si="0"/>
        <v>0</v>
      </c>
      <c r="M61" s="17">
        <f t="shared" si="0"/>
        <v>0</v>
      </c>
      <c r="N61" s="17">
        <f t="shared" si="0"/>
        <v>1.2370413198693E-2</v>
      </c>
      <c r="O61" s="17">
        <f t="shared" si="0"/>
        <v>2.4400925983857801E-2</v>
      </c>
      <c r="P61" s="17">
        <f t="shared" si="0"/>
        <v>0</v>
      </c>
      <c r="Q61" s="17">
        <f t="shared" si="0"/>
        <v>0.34379931777325301</v>
      </c>
      <c r="R61" s="17">
        <f t="shared" si="0"/>
        <v>0.42351973684210498</v>
      </c>
      <c r="S61" s="17">
        <f t="shared" si="0"/>
        <v>0.95595667870036105</v>
      </c>
      <c r="T61" s="370"/>
      <c r="U61" s="370"/>
    </row>
    <row r="62" spans="5:23" x14ac:dyDescent="0.25">
      <c r="F62" s="14" t="s">
        <v>937</v>
      </c>
      <c r="G62" s="14"/>
      <c r="H62" s="109" t="s">
        <v>94</v>
      </c>
      <c r="J62" s="370"/>
      <c r="K62" s="370"/>
      <c r="L62" s="17">
        <f t="shared" si="0"/>
        <v>0</v>
      </c>
      <c r="M62" s="17">
        <f t="shared" si="0"/>
        <v>0</v>
      </c>
      <c r="N62" s="17">
        <f t="shared" si="0"/>
        <v>1.2370413198693E-2</v>
      </c>
      <c r="O62" s="17">
        <f t="shared" si="0"/>
        <v>2.4400925983857801E-2</v>
      </c>
      <c r="P62" s="17">
        <f t="shared" si="0"/>
        <v>0</v>
      </c>
      <c r="Q62" s="17">
        <f t="shared" si="0"/>
        <v>0.34379931777325301</v>
      </c>
      <c r="R62" s="17">
        <f t="shared" si="0"/>
        <v>0.42351973684210498</v>
      </c>
      <c r="S62" s="17">
        <f t="shared" si="0"/>
        <v>0.95595667870036105</v>
      </c>
      <c r="T62" s="370"/>
      <c r="U62" s="370"/>
    </row>
    <row r="63" spans="5:23" x14ac:dyDescent="0.25">
      <c r="F63" s="14" t="s">
        <v>938</v>
      </c>
      <c r="G63" s="14"/>
      <c r="H63" s="109" t="s">
        <v>94</v>
      </c>
      <c r="J63" s="370"/>
      <c r="K63" s="370"/>
      <c r="L63" s="17">
        <f t="shared" si="0"/>
        <v>0</v>
      </c>
      <c r="M63" s="17">
        <f t="shared" si="0"/>
        <v>0</v>
      </c>
      <c r="N63" s="17">
        <f t="shared" si="0"/>
        <v>1.2370413198693E-2</v>
      </c>
      <c r="O63" s="17">
        <f t="shared" si="0"/>
        <v>2.4400925983857801E-2</v>
      </c>
      <c r="P63" s="17">
        <f t="shared" si="0"/>
        <v>0</v>
      </c>
      <c r="Q63" s="17">
        <f t="shared" si="0"/>
        <v>0.34379931777325301</v>
      </c>
      <c r="R63" s="17">
        <f t="shared" si="0"/>
        <v>0.42351973684210498</v>
      </c>
      <c r="S63" s="17">
        <f t="shared" si="0"/>
        <v>0</v>
      </c>
      <c r="T63" s="370"/>
      <c r="U63" s="370"/>
    </row>
    <row r="64" spans="5:23" x14ac:dyDescent="0.25">
      <c r="F64" s="14" t="s">
        <v>939</v>
      </c>
      <c r="G64" s="14"/>
      <c r="H64" s="109" t="s">
        <v>94</v>
      </c>
      <c r="J64" s="370"/>
      <c r="K64" s="370"/>
      <c r="L64" s="17">
        <f t="shared" si="0"/>
        <v>0</v>
      </c>
      <c r="M64" s="17">
        <f t="shared" si="0"/>
        <v>0</v>
      </c>
      <c r="N64" s="17">
        <f t="shared" si="0"/>
        <v>1.2370413198693E-2</v>
      </c>
      <c r="O64" s="17">
        <f t="shared" si="0"/>
        <v>2.4400925983857801E-2</v>
      </c>
      <c r="P64" s="17">
        <f t="shared" si="0"/>
        <v>0</v>
      </c>
      <c r="Q64" s="17">
        <f t="shared" si="0"/>
        <v>0.34379931777325301</v>
      </c>
      <c r="R64" s="17">
        <f t="shared" si="0"/>
        <v>0.42351973684210498</v>
      </c>
      <c r="S64" s="17">
        <f t="shared" si="0"/>
        <v>0</v>
      </c>
      <c r="T64" s="370"/>
      <c r="U64" s="370"/>
    </row>
    <row r="65" spans="2:23" x14ac:dyDescent="0.25">
      <c r="F65" s="14" t="s">
        <v>940</v>
      </c>
      <c r="G65" s="14"/>
      <c r="H65" s="109" t="s">
        <v>94</v>
      </c>
      <c r="J65" s="370"/>
      <c r="K65" s="370"/>
      <c r="L65" s="17">
        <f t="shared" si="0"/>
        <v>0</v>
      </c>
      <c r="M65" s="17">
        <f t="shared" si="0"/>
        <v>0</v>
      </c>
      <c r="N65" s="17">
        <f t="shared" si="0"/>
        <v>3.4530744799792602E-2</v>
      </c>
      <c r="O65" s="17">
        <f t="shared" si="0"/>
        <v>6.6381013698021907E-2</v>
      </c>
      <c r="P65" s="17">
        <f t="shared" si="0"/>
        <v>0</v>
      </c>
      <c r="Q65" s="17">
        <f t="shared" si="0"/>
        <v>0.38323267678152101</v>
      </c>
      <c r="R65" s="17">
        <f t="shared" si="0"/>
        <v>0</v>
      </c>
      <c r="S65" s="17">
        <f t="shared" si="0"/>
        <v>0</v>
      </c>
      <c r="T65" s="370"/>
      <c r="U65" s="370"/>
    </row>
    <row r="66" spans="2:23" x14ac:dyDescent="0.25">
      <c r="F66" s="15" t="s">
        <v>941</v>
      </c>
      <c r="G66" s="15"/>
      <c r="H66" s="36" t="s">
        <v>94</v>
      </c>
      <c r="I66" s="93"/>
      <c r="J66" s="38"/>
      <c r="K66" s="38"/>
      <c r="L66" s="18">
        <f t="shared" si="0"/>
        <v>0</v>
      </c>
      <c r="M66" s="18">
        <f t="shared" si="0"/>
        <v>0</v>
      </c>
      <c r="N66" s="18">
        <f t="shared" si="0"/>
        <v>3.4530744799792602E-2</v>
      </c>
      <c r="O66" s="18">
        <f t="shared" si="0"/>
        <v>6.6381013698021907E-2</v>
      </c>
      <c r="P66" s="18">
        <f t="shared" si="0"/>
        <v>0</v>
      </c>
      <c r="Q66" s="18">
        <f t="shared" si="0"/>
        <v>0.38323267678152101</v>
      </c>
      <c r="R66" s="18">
        <f t="shared" si="0"/>
        <v>0</v>
      </c>
      <c r="S66" s="18">
        <f t="shared" si="0"/>
        <v>0</v>
      </c>
      <c r="T66" s="38"/>
      <c r="U66" s="38"/>
    </row>
    <row r="68" spans="2:23" x14ac:dyDescent="0.25">
      <c r="B68" s="95" t="s">
        <v>109</v>
      </c>
      <c r="C68" s="72"/>
      <c r="D68" s="71"/>
      <c r="E68" s="71"/>
      <c r="F68" s="72"/>
      <c r="G68" s="72"/>
      <c r="H68" s="72"/>
      <c r="I68" s="72"/>
      <c r="J68" s="72"/>
      <c r="K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</row>
    <row r="70" spans="2:23" x14ac:dyDescent="0.25">
      <c r="E70" s="293" t="s">
        <v>415</v>
      </c>
      <c r="G70" s="122" t="s">
        <v>588</v>
      </c>
      <c r="H70" s="310">
        <f t="array" ref="H70">SUM(IF(ISERROR(H21:U66), 1))</f>
        <v>0</v>
      </c>
    </row>
    <row r="72" spans="2:23" x14ac:dyDescent="0.25">
      <c r="B72" s="95" t="s">
        <v>110</v>
      </c>
      <c r="C72" s="72"/>
      <c r="D72" s="71"/>
      <c r="E72" s="71"/>
      <c r="F72" s="72"/>
      <c r="G72" s="72"/>
      <c r="H72" s="72"/>
      <c r="I72" s="72"/>
      <c r="J72" s="72"/>
      <c r="K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</row>
  </sheetData>
  <sheetProtection sheet="1" objects="1" formatCells="0" formatColumns="0" formatRows="0" sort="0" autoFilter="0"/>
  <conditionalFormatting sqref="A4:XFD4">
    <cfRule type="expression" dxfId="168" priority="3">
      <formula>LEFT($A$4,1) &lt;&gt; "0"</formula>
    </cfRule>
  </conditionalFormatting>
  <conditionalFormatting sqref="J5:U5">
    <cfRule type="expression" dxfId="167" priority="2">
      <formula>LEFT($A$4,1) &lt;&gt; "0"</formula>
    </cfRule>
  </conditionalFormatting>
  <conditionalFormatting sqref="H70">
    <cfRule type="cellIs" dxfId="166" priority="1" operator="greaterThan">
      <formula>0</formula>
    </cfRule>
  </conditionalFormatting>
  <hyperlinks>
    <hyperlink ref="B5:F5" location="'Model map'!A1" display="Click here to return to model map" xr:uid="{5551115D-7F43-4D04-A1EF-87684F436786}"/>
  </hyperlinks>
  <pageMargins left="0.7" right="0.7" top="0.75" bottom="0.75" header="0.3" footer="0.3"/>
  <pageSetup paperSize="9" fitToHeight="0" orientation="portrait" r:id="rId1"/>
  <headerFooter>
    <oddHeader>&amp;L&amp;A&amp;C&amp;R&amp;P of &amp;N</oddHeader>
    <oddFooter>&amp;F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49FAC4-FF65-4D69-AAF4-DD6342BA89A0}">
  <sheetPr codeName="Sheet36">
    <tabColor theme="4" tint="0.59999389629810485"/>
    <pageSetUpPr fitToPage="1"/>
  </sheetPr>
  <dimension ref="A1:LK695"/>
  <sheetViews>
    <sheetView showGridLines="0" zoomScale="80" zoomScaleNormal="80" workbookViewId="0">
      <pane xSplit="9" ySplit="5" topLeftCell="J6" activePane="bottomRight" state="frozen"/>
      <selection pane="topRight"/>
      <selection pane="bottomLeft"/>
      <selection pane="bottomRight"/>
    </sheetView>
  </sheetViews>
  <sheetFormatPr defaultColWidth="0" defaultRowHeight="15" x14ac:dyDescent="0.25"/>
  <cols>
    <col min="1" max="5" width="2.5703125" style="293" customWidth="1"/>
    <col min="6" max="6" width="59.5703125" style="293" customWidth="1"/>
    <col min="7" max="8" width="20.5703125" style="293" customWidth="1"/>
    <col min="9" max="9" width="2.42578125" style="293" customWidth="1"/>
    <col min="10" max="25" width="17" style="293" customWidth="1"/>
    <col min="26" max="26" width="2.42578125" style="293" customWidth="1"/>
    <col min="27" max="27" width="50.5703125" style="293" customWidth="1"/>
    <col min="28" max="28" width="2.42578125" style="293" customWidth="1"/>
    <col min="29" max="41" width="17" style="293" hidden="1" customWidth="1"/>
    <col min="42" max="42" width="3.5703125" style="293" hidden="1" customWidth="1"/>
    <col min="43" max="43" width="18.42578125" style="293" hidden="1" customWidth="1"/>
    <col min="44" max="44" width="4.42578125" style="293" hidden="1" customWidth="1"/>
    <col min="45" max="45" width="24.5703125" style="293" hidden="1" customWidth="1"/>
    <col min="46" max="46" width="3.5703125" style="293" hidden="1" customWidth="1"/>
    <col min="47" max="47" width="15.42578125" style="293" hidden="1" customWidth="1"/>
    <col min="48" max="323" width="24.5703125" style="293" hidden="1" customWidth="1"/>
    <col min="324" max="16384" width="8.5703125" style="293" hidden="1"/>
  </cols>
  <sheetData>
    <row r="1" spans="1:43" s="10" customFormat="1" x14ac:dyDescent="0.25">
      <c r="A1" s="10" t="str">
        <f ca="1">MID(CELL("filename",A1),FIND("]",CELL("filename",A1))+1,255)</f>
        <v>Volume adjustments</v>
      </c>
    </row>
    <row r="2" spans="1:43" s="10" customFormat="1" x14ac:dyDescent="0.25">
      <c r="A2" s="10" t="str">
        <f>Cover!D21&amp;" - "&amp;Cover!D23</f>
        <v>Southern Electric Power Distribution plc - Final</v>
      </c>
    </row>
    <row r="3" spans="1:43" s="46" customFormat="1" x14ac:dyDescent="0.25">
      <c r="A3" s="46" t="str">
        <f>Cover!D2&amp;" - "&amp;Cover!D8&amp;" v"&amp;Cover!D10&amp;" - "&amp;Cover!D19</f>
        <v>ARP model - Release for charge setting v7 - 2023/24</v>
      </c>
    </row>
    <row r="4" spans="1:43" x14ac:dyDescent="0.25">
      <c r="A4" s="366" t="str">
        <f>H693 &amp; IF(H693 = 1, " issue", " issues") &amp;" identified in checks on this sheet"</f>
        <v>0 issues identified in checks on this sheet</v>
      </c>
      <c r="B4" s="108"/>
      <c r="C4" s="108"/>
      <c r="D4" s="108"/>
      <c r="E4" s="108"/>
      <c r="F4" s="108"/>
      <c r="G4" s="108"/>
      <c r="H4" s="111"/>
      <c r="I4" s="111"/>
    </row>
    <row r="5" spans="1:43" ht="60" x14ac:dyDescent="0.25">
      <c r="B5" s="367" t="s">
        <v>451</v>
      </c>
      <c r="C5" s="368"/>
      <c r="D5" s="368"/>
      <c r="E5" s="368"/>
      <c r="F5" s="368"/>
      <c r="G5" s="1" t="s">
        <v>91</v>
      </c>
      <c r="H5" s="2" t="s">
        <v>92</v>
      </c>
      <c r="I5" s="111"/>
      <c r="J5" s="2" t="s">
        <v>926</v>
      </c>
      <c r="K5" s="2" t="s">
        <v>927</v>
      </c>
      <c r="L5" s="2" t="s">
        <v>928</v>
      </c>
      <c r="M5" s="2" t="s">
        <v>929</v>
      </c>
      <c r="N5" s="2" t="s">
        <v>930</v>
      </c>
      <c r="O5" s="2" t="s">
        <v>931</v>
      </c>
      <c r="P5" s="2" t="s">
        <v>932</v>
      </c>
      <c r="Q5" s="2" t="s">
        <v>933</v>
      </c>
      <c r="R5" s="2" t="s">
        <v>934</v>
      </c>
      <c r="S5" s="2" t="s">
        <v>935</v>
      </c>
      <c r="T5" s="2" t="s">
        <v>936</v>
      </c>
      <c r="U5" s="2" t="s">
        <v>937</v>
      </c>
      <c r="V5" s="2" t="s">
        <v>938</v>
      </c>
      <c r="W5" s="2" t="s">
        <v>939</v>
      </c>
      <c r="X5" s="2" t="s">
        <v>940</v>
      </c>
      <c r="Y5" s="2" t="s">
        <v>941</v>
      </c>
      <c r="AA5" s="1" t="s">
        <v>93</v>
      </c>
    </row>
    <row r="7" spans="1:43" x14ac:dyDescent="0.25">
      <c r="B7" s="95" t="s">
        <v>90</v>
      </c>
      <c r="C7" s="95"/>
      <c r="D7" s="95"/>
      <c r="E7" s="95"/>
      <c r="F7" s="95"/>
      <c r="G7" s="95"/>
      <c r="H7" s="95"/>
      <c r="I7" s="95"/>
      <c r="J7" s="95"/>
      <c r="K7" s="95"/>
      <c r="L7" s="95"/>
      <c r="M7" s="95"/>
      <c r="N7" s="95"/>
      <c r="O7" s="95"/>
      <c r="P7" s="95"/>
      <c r="Q7" s="95"/>
      <c r="R7" s="95"/>
      <c r="S7" s="95"/>
      <c r="T7" s="95"/>
      <c r="U7" s="95"/>
      <c r="V7" s="95"/>
      <c r="W7" s="95"/>
      <c r="X7" s="95"/>
      <c r="Y7" s="95"/>
      <c r="Z7" s="95"/>
      <c r="AA7" s="95"/>
      <c r="AC7" s="95"/>
      <c r="AD7" s="95"/>
      <c r="AE7" s="95"/>
      <c r="AF7" s="95"/>
      <c r="AG7" s="95"/>
      <c r="AH7" s="95"/>
      <c r="AI7" s="95"/>
      <c r="AJ7" s="95"/>
      <c r="AK7" s="95"/>
      <c r="AL7" s="95"/>
      <c r="AM7" s="95"/>
      <c r="AN7" s="95"/>
      <c r="AO7" s="95"/>
      <c r="AQ7" s="95"/>
    </row>
    <row r="9" spans="1:43" x14ac:dyDescent="0.25">
      <c r="C9" s="82" t="s">
        <v>335</v>
      </c>
    </row>
    <row r="10" spans="1:43" x14ac:dyDescent="0.25">
      <c r="C10" s="82" t="s">
        <v>577</v>
      </c>
    </row>
    <row r="11" spans="1:43" x14ac:dyDescent="0.25">
      <c r="C11" s="82" t="s">
        <v>578</v>
      </c>
    </row>
    <row r="13" spans="1:43" x14ac:dyDescent="0.25">
      <c r="B13" s="95" t="s">
        <v>148</v>
      </c>
      <c r="C13" s="95"/>
      <c r="D13" s="95"/>
      <c r="E13" s="95"/>
      <c r="F13" s="95"/>
      <c r="G13" s="95"/>
      <c r="H13" s="95"/>
      <c r="I13" s="95"/>
      <c r="J13" s="95"/>
      <c r="K13" s="95"/>
      <c r="L13" s="95"/>
      <c r="M13" s="95"/>
      <c r="N13" s="95"/>
      <c r="O13" s="95"/>
      <c r="P13" s="95"/>
      <c r="Q13" s="95"/>
      <c r="R13" s="95"/>
      <c r="S13" s="95"/>
      <c r="T13" s="95"/>
      <c r="U13" s="95"/>
      <c r="V13" s="95"/>
      <c r="W13" s="95"/>
      <c r="X13" s="95"/>
      <c r="Y13" s="95"/>
      <c r="Z13" s="95"/>
      <c r="AA13" s="95"/>
      <c r="AC13" s="95"/>
      <c r="AD13" s="95"/>
      <c r="AE13" s="95"/>
      <c r="AF13" s="95"/>
      <c r="AG13" s="95"/>
      <c r="AH13" s="95"/>
      <c r="AI13" s="95"/>
      <c r="AJ13" s="95"/>
      <c r="AK13" s="95"/>
      <c r="AL13" s="95"/>
      <c r="AM13" s="95"/>
      <c r="AN13" s="95"/>
      <c r="AO13" s="95"/>
      <c r="AQ13" s="95"/>
    </row>
    <row r="14" spans="1:43" x14ac:dyDescent="0.25">
      <c r="C14" s="82"/>
    </row>
    <row r="15" spans="1:43" x14ac:dyDescent="0.25">
      <c r="C15" s="7" t="str">
        <f ca="1">INDEX('Version control'!$H$35:$H$61,MATCH($A$1,'Version control'!$F$35:$F$61,0),1)&amp;"-A: LDNO discounts"</f>
        <v>Section 507-A: LDNO discounts</v>
      </c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C15" s="95"/>
      <c r="AD15" s="95"/>
      <c r="AE15" s="95"/>
      <c r="AF15" s="95"/>
      <c r="AG15" s="95"/>
      <c r="AH15" s="95"/>
      <c r="AI15" s="95"/>
      <c r="AJ15" s="95"/>
      <c r="AK15" s="95"/>
      <c r="AL15" s="95"/>
      <c r="AM15" s="95"/>
      <c r="AN15" s="95"/>
      <c r="AO15" s="95"/>
      <c r="AQ15" s="95"/>
    </row>
    <row r="16" spans="1:43" x14ac:dyDescent="0.25">
      <c r="C16" s="82"/>
    </row>
    <row r="17" spans="4:43" x14ac:dyDescent="0.25">
      <c r="D17" s="82" t="s">
        <v>337</v>
      </c>
    </row>
    <row r="18" spans="4:43" x14ac:dyDescent="0.25">
      <c r="D18" s="82" t="s">
        <v>338</v>
      </c>
    </row>
    <row r="19" spans="4:43" x14ac:dyDescent="0.25">
      <c r="D19" s="82"/>
    </row>
    <row r="20" spans="4:43" x14ac:dyDescent="0.25">
      <c r="E20" s="86" t="s">
        <v>156</v>
      </c>
      <c r="I20" s="293" t="s">
        <v>359</v>
      </c>
      <c r="J20" s="90"/>
      <c r="K20" s="90"/>
      <c r="L20" s="90"/>
      <c r="M20" s="90"/>
      <c r="N20" s="90"/>
      <c r="O20" s="90"/>
      <c r="P20" s="90"/>
      <c r="Q20" s="90"/>
      <c r="R20" s="90"/>
      <c r="S20" s="90"/>
      <c r="T20" s="90"/>
      <c r="U20" s="90"/>
      <c r="V20" s="90"/>
      <c r="W20" s="90"/>
      <c r="X20" s="90"/>
      <c r="Y20" s="90"/>
    </row>
    <row r="21" spans="4:43" x14ac:dyDescent="0.25">
      <c r="E21" s="82" t="s">
        <v>336</v>
      </c>
      <c r="AA21" s="293" t="s">
        <v>713</v>
      </c>
    </row>
    <row r="22" spans="4:43" x14ac:dyDescent="0.25">
      <c r="F22" s="91" t="s">
        <v>66</v>
      </c>
      <c r="G22" s="91" t="s">
        <v>94</v>
      </c>
      <c r="H22" s="137">
        <f>'General inputs'!H33</f>
        <v>0.35419813587175775</v>
      </c>
      <c r="AQ22" s="88"/>
    </row>
    <row r="23" spans="4:43" x14ac:dyDescent="0.25">
      <c r="F23" s="293" t="s">
        <v>67</v>
      </c>
      <c r="G23" s="293" t="s">
        <v>94</v>
      </c>
      <c r="H23" s="143">
        <f>'General inputs'!H34</f>
        <v>0.53678178408311983</v>
      </c>
      <c r="AQ23" s="88"/>
    </row>
    <row r="24" spans="4:43" x14ac:dyDescent="0.25">
      <c r="F24" s="293" t="s">
        <v>68</v>
      </c>
      <c r="G24" s="293" t="s">
        <v>94</v>
      </c>
      <c r="H24" s="143">
        <f>'General inputs'!H35</f>
        <v>0.26008027391458188</v>
      </c>
      <c r="AQ24" s="88"/>
    </row>
    <row r="25" spans="4:43" x14ac:dyDescent="0.25">
      <c r="F25" s="93" t="s">
        <v>69</v>
      </c>
      <c r="G25" s="93" t="s">
        <v>94</v>
      </c>
      <c r="H25" s="390">
        <f>'General inputs'!H36</f>
        <v>0.15233473843264977</v>
      </c>
      <c r="AQ25" s="88"/>
    </row>
    <row r="27" spans="4:43" x14ac:dyDescent="0.25">
      <c r="E27" s="96" t="s">
        <v>157</v>
      </c>
      <c r="I27" s="293" t="s">
        <v>359</v>
      </c>
      <c r="AA27" s="293" t="s">
        <v>916</v>
      </c>
      <c r="AQ27" s="88"/>
    </row>
    <row r="28" spans="4:43" x14ac:dyDescent="0.25">
      <c r="E28" s="82" t="s">
        <v>575</v>
      </c>
    </row>
    <row r="29" spans="4:43" x14ac:dyDescent="0.25">
      <c r="E29" s="82" t="s">
        <v>576</v>
      </c>
    </row>
    <row r="30" spans="4:43" x14ac:dyDescent="0.25">
      <c r="F30" s="91" t="s">
        <v>66</v>
      </c>
      <c r="G30" s="91" t="s">
        <v>132</v>
      </c>
      <c r="H30" s="91"/>
      <c r="I30" s="91"/>
      <c r="J30" s="297">
        <f>'Fixed inputs'!J46</f>
        <v>1</v>
      </c>
      <c r="K30" s="297">
        <f>'Fixed inputs'!K46</f>
        <v>1</v>
      </c>
      <c r="L30" s="297">
        <f>'Fixed inputs'!L46</f>
        <v>1</v>
      </c>
      <c r="M30" s="297">
        <f>'Fixed inputs'!M46</f>
        <v>1</v>
      </c>
      <c r="N30" s="297">
        <f>'Fixed inputs'!N46</f>
        <v>1</v>
      </c>
      <c r="O30" s="297">
        <f>'Fixed inputs'!O46</f>
        <v>0</v>
      </c>
      <c r="P30" s="297">
        <f>'Fixed inputs'!P46</f>
        <v>0</v>
      </c>
      <c r="Q30" s="297">
        <f>'Fixed inputs'!Q46</f>
        <v>1</v>
      </c>
      <c r="R30" s="297">
        <f>'Fixed inputs'!R46</f>
        <v>0</v>
      </c>
      <c r="S30" s="297">
        <f>'Fixed inputs'!S46</f>
        <v>0</v>
      </c>
      <c r="T30" s="297">
        <f>'Fixed inputs'!T46</f>
        <v>0</v>
      </c>
      <c r="U30" s="297">
        <f>'Fixed inputs'!U46</f>
        <v>0</v>
      </c>
      <c r="V30" s="297">
        <f>'Fixed inputs'!V46</f>
        <v>0</v>
      </c>
      <c r="W30" s="297">
        <f>'Fixed inputs'!W46</f>
        <v>0</v>
      </c>
      <c r="X30" s="297">
        <f>'Fixed inputs'!X46</f>
        <v>0</v>
      </c>
      <c r="Y30" s="297">
        <f>'Fixed inputs'!Y46</f>
        <v>0</v>
      </c>
      <c r="AQ30" s="88"/>
    </row>
    <row r="31" spans="4:43" x14ac:dyDescent="0.25">
      <c r="F31" s="293" t="s">
        <v>67</v>
      </c>
      <c r="G31" s="293" t="s">
        <v>132</v>
      </c>
      <c r="J31" s="139">
        <f>'Fixed inputs'!J47</f>
        <v>1</v>
      </c>
      <c r="K31" s="139">
        <f>'Fixed inputs'!K47</f>
        <v>1</v>
      </c>
      <c r="L31" s="139">
        <f>'Fixed inputs'!L47</f>
        <v>1</v>
      </c>
      <c r="M31" s="139">
        <f>'Fixed inputs'!M47</f>
        <v>1</v>
      </c>
      <c r="N31" s="139">
        <f>'Fixed inputs'!N47</f>
        <v>1</v>
      </c>
      <c r="O31" s="139">
        <f>'Fixed inputs'!O47</f>
        <v>0</v>
      </c>
      <c r="P31" s="139">
        <f>'Fixed inputs'!P47</f>
        <v>0</v>
      </c>
      <c r="Q31" s="139">
        <f>'Fixed inputs'!Q47</f>
        <v>1</v>
      </c>
      <c r="R31" s="139">
        <f>'Fixed inputs'!R47</f>
        <v>0</v>
      </c>
      <c r="S31" s="139">
        <f>'Fixed inputs'!S47</f>
        <v>0</v>
      </c>
      <c r="T31" s="139">
        <f>'Fixed inputs'!T47</f>
        <v>0</v>
      </c>
      <c r="U31" s="139">
        <f>'Fixed inputs'!U47</f>
        <v>0</v>
      </c>
      <c r="V31" s="139">
        <f>'Fixed inputs'!V47</f>
        <v>0</v>
      </c>
      <c r="W31" s="139">
        <f>'Fixed inputs'!W47</f>
        <v>0</v>
      </c>
      <c r="X31" s="139">
        <f>'Fixed inputs'!X47</f>
        <v>0</v>
      </c>
      <c r="Y31" s="139">
        <f>'Fixed inputs'!Y47</f>
        <v>0</v>
      </c>
      <c r="AQ31" s="88"/>
    </row>
    <row r="32" spans="4:43" x14ac:dyDescent="0.25">
      <c r="F32" s="293" t="s">
        <v>68</v>
      </c>
      <c r="G32" s="293" t="s">
        <v>132</v>
      </c>
      <c r="J32" s="139">
        <f>'Fixed inputs'!J48</f>
        <v>0</v>
      </c>
      <c r="K32" s="139">
        <f>'Fixed inputs'!K48</f>
        <v>0</v>
      </c>
      <c r="L32" s="139">
        <f>'Fixed inputs'!L48</f>
        <v>0</v>
      </c>
      <c r="M32" s="139">
        <f>'Fixed inputs'!M48</f>
        <v>0</v>
      </c>
      <c r="N32" s="139">
        <f>'Fixed inputs'!N48</f>
        <v>0</v>
      </c>
      <c r="O32" s="139">
        <f>'Fixed inputs'!O48</f>
        <v>1</v>
      </c>
      <c r="P32" s="139">
        <f>'Fixed inputs'!P48</f>
        <v>0</v>
      </c>
      <c r="Q32" s="139">
        <f>'Fixed inputs'!Q48</f>
        <v>0</v>
      </c>
      <c r="R32" s="139">
        <f>'Fixed inputs'!R48</f>
        <v>0</v>
      </c>
      <c r="S32" s="139">
        <f>'Fixed inputs'!S48</f>
        <v>0</v>
      </c>
      <c r="T32" s="139">
        <f>'Fixed inputs'!T48</f>
        <v>0</v>
      </c>
      <c r="U32" s="139">
        <f>'Fixed inputs'!U48</f>
        <v>0</v>
      </c>
      <c r="V32" s="139">
        <f>'Fixed inputs'!V48</f>
        <v>0</v>
      </c>
      <c r="W32" s="139">
        <f>'Fixed inputs'!W48</f>
        <v>0</v>
      </c>
      <c r="X32" s="139">
        <f>'Fixed inputs'!X48</f>
        <v>0</v>
      </c>
      <c r="Y32" s="139">
        <f>'Fixed inputs'!Y48</f>
        <v>0</v>
      </c>
      <c r="AQ32" s="88"/>
    </row>
    <row r="33" spans="4:43" x14ac:dyDescent="0.25">
      <c r="F33" s="93" t="s">
        <v>69</v>
      </c>
      <c r="G33" s="93" t="s">
        <v>132</v>
      </c>
      <c r="H33" s="93"/>
      <c r="I33" s="93"/>
      <c r="J33" s="140">
        <f>'Fixed inputs'!J49</f>
        <v>0</v>
      </c>
      <c r="K33" s="140">
        <f>'Fixed inputs'!K49</f>
        <v>0</v>
      </c>
      <c r="L33" s="140">
        <f>'Fixed inputs'!L49</f>
        <v>0</v>
      </c>
      <c r="M33" s="140">
        <f>'Fixed inputs'!M49</f>
        <v>0</v>
      </c>
      <c r="N33" s="140">
        <f>'Fixed inputs'!N49</f>
        <v>0</v>
      </c>
      <c r="O33" s="140">
        <f>'Fixed inputs'!O49</f>
        <v>0</v>
      </c>
      <c r="P33" s="140">
        <f>'Fixed inputs'!P49</f>
        <v>1</v>
      </c>
      <c r="Q33" s="140">
        <f>'Fixed inputs'!Q49</f>
        <v>0</v>
      </c>
      <c r="R33" s="140">
        <f>'Fixed inputs'!R49</f>
        <v>0</v>
      </c>
      <c r="S33" s="140">
        <f>'Fixed inputs'!S49</f>
        <v>0</v>
      </c>
      <c r="T33" s="140">
        <f>'Fixed inputs'!T49</f>
        <v>0</v>
      </c>
      <c r="U33" s="140">
        <f>'Fixed inputs'!U49</f>
        <v>0</v>
      </c>
      <c r="V33" s="140">
        <f>'Fixed inputs'!V49</f>
        <v>0</v>
      </c>
      <c r="W33" s="140">
        <f>'Fixed inputs'!W49</f>
        <v>0</v>
      </c>
      <c r="X33" s="140">
        <f>'Fixed inputs'!X49</f>
        <v>0</v>
      </c>
      <c r="Y33" s="140">
        <f>'Fixed inputs'!Y49</f>
        <v>0</v>
      </c>
      <c r="AQ33" s="88"/>
    </row>
    <row r="34" spans="4:43" x14ac:dyDescent="0.25">
      <c r="F34" s="14" t="s">
        <v>149</v>
      </c>
      <c r="G34" s="14" t="s">
        <v>94</v>
      </c>
      <c r="J34" s="391">
        <f t="shared" ref="J34:Y34" si="0">J30 * $H$22</f>
        <v>0.35419813587175775</v>
      </c>
      <c r="K34" s="391">
        <f t="shared" si="0"/>
        <v>0.35419813587175775</v>
      </c>
      <c r="L34" s="391">
        <f t="shared" si="0"/>
        <v>0.35419813587175775</v>
      </c>
      <c r="M34" s="391">
        <f t="shared" si="0"/>
        <v>0.35419813587175775</v>
      </c>
      <c r="N34" s="391">
        <f t="shared" si="0"/>
        <v>0.35419813587175775</v>
      </c>
      <c r="O34" s="391">
        <f t="shared" si="0"/>
        <v>0</v>
      </c>
      <c r="P34" s="391">
        <f t="shared" si="0"/>
        <v>0</v>
      </c>
      <c r="Q34" s="391">
        <f t="shared" si="0"/>
        <v>0.35419813587175775</v>
      </c>
      <c r="R34" s="391">
        <f t="shared" si="0"/>
        <v>0</v>
      </c>
      <c r="S34" s="391">
        <f t="shared" si="0"/>
        <v>0</v>
      </c>
      <c r="T34" s="391">
        <f t="shared" si="0"/>
        <v>0</v>
      </c>
      <c r="U34" s="391">
        <f t="shared" si="0"/>
        <v>0</v>
      </c>
      <c r="V34" s="391">
        <f t="shared" si="0"/>
        <v>0</v>
      </c>
      <c r="W34" s="391">
        <f t="shared" si="0"/>
        <v>0</v>
      </c>
      <c r="X34" s="391">
        <f t="shared" si="0"/>
        <v>0</v>
      </c>
      <c r="Y34" s="391">
        <f t="shared" si="0"/>
        <v>0</v>
      </c>
      <c r="AQ34" s="88"/>
    </row>
    <row r="35" spans="4:43" x14ac:dyDescent="0.25">
      <c r="F35" s="14" t="s">
        <v>150</v>
      </c>
      <c r="G35" s="14" t="s">
        <v>94</v>
      </c>
      <c r="J35" s="391">
        <f t="shared" ref="J35:Y35" si="1">SUMPRODUCT(J31:J33,$H$23:$H$25)</f>
        <v>0.53678178408311983</v>
      </c>
      <c r="K35" s="391">
        <f t="shared" si="1"/>
        <v>0.53678178408311983</v>
      </c>
      <c r="L35" s="391">
        <f t="shared" si="1"/>
        <v>0.53678178408311983</v>
      </c>
      <c r="M35" s="391">
        <f t="shared" si="1"/>
        <v>0.53678178408311983</v>
      </c>
      <c r="N35" s="391">
        <f t="shared" si="1"/>
        <v>0.53678178408311983</v>
      </c>
      <c r="O35" s="391">
        <f t="shared" si="1"/>
        <v>0.26008027391458188</v>
      </c>
      <c r="P35" s="391">
        <f t="shared" si="1"/>
        <v>0.15233473843264977</v>
      </c>
      <c r="Q35" s="391">
        <f t="shared" si="1"/>
        <v>0.53678178408311983</v>
      </c>
      <c r="R35" s="391">
        <f t="shared" si="1"/>
        <v>0</v>
      </c>
      <c r="S35" s="391">
        <f t="shared" si="1"/>
        <v>0</v>
      </c>
      <c r="T35" s="391">
        <f t="shared" si="1"/>
        <v>0</v>
      </c>
      <c r="U35" s="391">
        <f t="shared" si="1"/>
        <v>0</v>
      </c>
      <c r="V35" s="391">
        <f t="shared" si="1"/>
        <v>0</v>
      </c>
      <c r="W35" s="391">
        <f t="shared" si="1"/>
        <v>0</v>
      </c>
      <c r="X35" s="391">
        <f t="shared" si="1"/>
        <v>0</v>
      </c>
      <c r="Y35" s="391">
        <f t="shared" si="1"/>
        <v>0</v>
      </c>
      <c r="AQ35" s="88"/>
    </row>
    <row r="36" spans="4:43" x14ac:dyDescent="0.25">
      <c r="D36" s="96"/>
      <c r="AQ36" s="88"/>
    </row>
    <row r="37" spans="4:43" x14ac:dyDescent="0.25">
      <c r="E37" s="96" t="s">
        <v>172</v>
      </c>
      <c r="I37" s="293" t="s">
        <v>359</v>
      </c>
      <c r="AA37" s="293" t="s">
        <v>916</v>
      </c>
      <c r="AQ37" s="88"/>
    </row>
    <row r="38" spans="4:43" x14ac:dyDescent="0.25">
      <c r="E38" s="82" t="s">
        <v>339</v>
      </c>
    </row>
    <row r="39" spans="4:43" x14ac:dyDescent="0.25">
      <c r="F39" s="14" t="s">
        <v>368</v>
      </c>
      <c r="G39" s="14" t="s">
        <v>174</v>
      </c>
      <c r="J39" s="392" t="b">
        <f>'Fixed inputs'!J105</f>
        <v>0</v>
      </c>
      <c r="K39" s="392" t="b">
        <f>'Fixed inputs'!K105</f>
        <v>0</v>
      </c>
      <c r="L39" s="392" t="b">
        <f>'Fixed inputs'!L105</f>
        <v>0</v>
      </c>
      <c r="M39" s="392" t="b">
        <f>'Fixed inputs'!M105</f>
        <v>0</v>
      </c>
      <c r="N39" s="392" t="b">
        <f>'Fixed inputs'!N105</f>
        <v>0</v>
      </c>
      <c r="O39" s="392" t="b">
        <f>'Fixed inputs'!O105</f>
        <v>0</v>
      </c>
      <c r="P39" s="392" t="b">
        <f>'Fixed inputs'!P105</f>
        <v>0</v>
      </c>
      <c r="Q39" s="392" t="b">
        <f>'Fixed inputs'!Q105</f>
        <v>0</v>
      </c>
      <c r="R39" s="392" t="b">
        <f>'Fixed inputs'!R105</f>
        <v>1</v>
      </c>
      <c r="S39" s="392" t="b">
        <f>'Fixed inputs'!S105</f>
        <v>1</v>
      </c>
      <c r="T39" s="392" t="b">
        <f>'Fixed inputs'!T105</f>
        <v>1</v>
      </c>
      <c r="U39" s="392" t="b">
        <f>'Fixed inputs'!U105</f>
        <v>1</v>
      </c>
      <c r="V39" s="392" t="b">
        <f>'Fixed inputs'!V105</f>
        <v>1</v>
      </c>
      <c r="W39" s="392" t="b">
        <f>'Fixed inputs'!W105</f>
        <v>1</v>
      </c>
      <c r="X39" s="392" t="b">
        <f>'Fixed inputs'!X105</f>
        <v>1</v>
      </c>
      <c r="Y39" s="392" t="b">
        <f>'Fixed inputs'!Y105</f>
        <v>1</v>
      </c>
      <c r="AQ39" s="88"/>
    </row>
    <row r="40" spans="4:43" x14ac:dyDescent="0.25">
      <c r="F40" s="14" t="s">
        <v>369</v>
      </c>
      <c r="G40" s="14" t="s">
        <v>174</v>
      </c>
      <c r="J40" s="392" t="b">
        <f>'Fixed inputs'!J109</f>
        <v>0</v>
      </c>
      <c r="K40" s="392" t="b">
        <f>'Fixed inputs'!K109</f>
        <v>0</v>
      </c>
      <c r="L40" s="392" t="b">
        <f>'Fixed inputs'!L109</f>
        <v>0</v>
      </c>
      <c r="M40" s="392" t="b">
        <f>'Fixed inputs'!M109</f>
        <v>0</v>
      </c>
      <c r="N40" s="392" t="b">
        <f>'Fixed inputs'!N109</f>
        <v>0</v>
      </c>
      <c r="O40" s="392" t="b">
        <f>'Fixed inputs'!O109</f>
        <v>0</v>
      </c>
      <c r="P40" s="392" t="b">
        <f>'Fixed inputs'!P109</f>
        <v>0</v>
      </c>
      <c r="Q40" s="392" t="b">
        <f>'Fixed inputs'!Q109</f>
        <v>0</v>
      </c>
      <c r="R40" s="392" t="b">
        <f>'Fixed inputs'!R109</f>
        <v>1</v>
      </c>
      <c r="S40" s="392" t="b">
        <f>'Fixed inputs'!S109</f>
        <v>1</v>
      </c>
      <c r="T40" s="392" t="b">
        <f>'Fixed inputs'!T109</f>
        <v>1</v>
      </c>
      <c r="U40" s="392" t="b">
        <f>'Fixed inputs'!U109</f>
        <v>1</v>
      </c>
      <c r="V40" s="392" t="b">
        <f>'Fixed inputs'!V109</f>
        <v>1</v>
      </c>
      <c r="W40" s="392" t="b">
        <f>'Fixed inputs'!W109</f>
        <v>1</v>
      </c>
      <c r="X40" s="392" t="b">
        <f>'Fixed inputs'!X109</f>
        <v>1</v>
      </c>
      <c r="Y40" s="392" t="b">
        <f>'Fixed inputs'!Y109</f>
        <v>1</v>
      </c>
      <c r="AQ40" s="88"/>
    </row>
    <row r="41" spans="4:43" x14ac:dyDescent="0.25">
      <c r="F41" s="14" t="s">
        <v>370</v>
      </c>
      <c r="G41" s="14" t="s">
        <v>174</v>
      </c>
      <c r="J41" s="392" t="b">
        <f>'Fixed inputs'!J113</f>
        <v>0</v>
      </c>
      <c r="K41" s="392" t="b">
        <f>'Fixed inputs'!K113</f>
        <v>0</v>
      </c>
      <c r="L41" s="392" t="b">
        <f>'Fixed inputs'!L113</f>
        <v>0</v>
      </c>
      <c r="M41" s="392" t="b">
        <f>'Fixed inputs'!M113</f>
        <v>0</v>
      </c>
      <c r="N41" s="392" t="b">
        <f>'Fixed inputs'!N113</f>
        <v>0</v>
      </c>
      <c r="O41" s="392" t="b">
        <f>'Fixed inputs'!O113</f>
        <v>0</v>
      </c>
      <c r="P41" s="392" t="b">
        <f>'Fixed inputs'!P113</f>
        <v>0</v>
      </c>
      <c r="Q41" s="392" t="b">
        <f>'Fixed inputs'!Q113</f>
        <v>0</v>
      </c>
      <c r="R41" s="392" t="b">
        <f>'Fixed inputs'!R113</f>
        <v>1</v>
      </c>
      <c r="S41" s="392" t="b">
        <f>'Fixed inputs'!S113</f>
        <v>1</v>
      </c>
      <c r="T41" s="392" t="b">
        <f>'Fixed inputs'!T113</f>
        <v>1</v>
      </c>
      <c r="U41" s="392" t="b">
        <f>'Fixed inputs'!U113</f>
        <v>1</v>
      </c>
      <c r="V41" s="392" t="b">
        <f>'Fixed inputs'!V113</f>
        <v>1</v>
      </c>
      <c r="W41" s="392" t="b">
        <f>'Fixed inputs'!W113</f>
        <v>1</v>
      </c>
      <c r="X41" s="392" t="b">
        <f>'Fixed inputs'!X113</f>
        <v>1</v>
      </c>
      <c r="Y41" s="392" t="b">
        <f>'Fixed inputs'!Y113</f>
        <v>1</v>
      </c>
      <c r="AQ41" s="88"/>
    </row>
    <row r="42" spans="4:43" x14ac:dyDescent="0.25">
      <c r="F42" s="14" t="s">
        <v>371</v>
      </c>
      <c r="G42" s="14" t="s">
        <v>174</v>
      </c>
      <c r="J42" s="392" t="b">
        <f>'Fixed inputs'!J117</f>
        <v>0</v>
      </c>
      <c r="K42" s="392" t="b">
        <f>'Fixed inputs'!K117</f>
        <v>0</v>
      </c>
      <c r="L42" s="392" t="b">
        <f>'Fixed inputs'!L117</f>
        <v>0</v>
      </c>
      <c r="M42" s="392" t="b">
        <f>'Fixed inputs'!M117</f>
        <v>0</v>
      </c>
      <c r="N42" s="392" t="b">
        <f>'Fixed inputs'!N117</f>
        <v>0</v>
      </c>
      <c r="O42" s="392" t="b">
        <f>'Fixed inputs'!O117</f>
        <v>0</v>
      </c>
      <c r="P42" s="392" t="b">
        <f>'Fixed inputs'!P117</f>
        <v>0</v>
      </c>
      <c r="Q42" s="392" t="b">
        <f>'Fixed inputs'!Q117</f>
        <v>0</v>
      </c>
      <c r="R42" s="392" t="b">
        <f>'Fixed inputs'!R117</f>
        <v>1</v>
      </c>
      <c r="S42" s="392" t="b">
        <f>'Fixed inputs'!S117</f>
        <v>1</v>
      </c>
      <c r="T42" s="392" t="b">
        <f>'Fixed inputs'!T117</f>
        <v>1</v>
      </c>
      <c r="U42" s="392" t="b">
        <f>'Fixed inputs'!U117</f>
        <v>1</v>
      </c>
      <c r="V42" s="392" t="b">
        <f>'Fixed inputs'!V117</f>
        <v>1</v>
      </c>
      <c r="W42" s="392" t="b">
        <f>'Fixed inputs'!W117</f>
        <v>1</v>
      </c>
      <c r="X42" s="392" t="b">
        <f>'Fixed inputs'!X117</f>
        <v>1</v>
      </c>
      <c r="Y42" s="392" t="b">
        <f>'Fixed inputs'!Y117</f>
        <v>1</v>
      </c>
      <c r="AQ42" s="88"/>
    </row>
    <row r="43" spans="4:43" x14ac:dyDescent="0.25">
      <c r="F43" s="14" t="s">
        <v>372</v>
      </c>
      <c r="G43" s="14" t="s">
        <v>174</v>
      </c>
      <c r="J43" s="392" t="b">
        <f>'Fixed inputs'!J121</f>
        <v>0</v>
      </c>
      <c r="K43" s="392" t="b">
        <f>'Fixed inputs'!K121</f>
        <v>0</v>
      </c>
      <c r="L43" s="392" t="b">
        <f>'Fixed inputs'!L121</f>
        <v>0</v>
      </c>
      <c r="M43" s="392" t="b">
        <f>'Fixed inputs'!M121</f>
        <v>0</v>
      </c>
      <c r="N43" s="392" t="b">
        <f>'Fixed inputs'!N121</f>
        <v>0</v>
      </c>
      <c r="O43" s="392" t="b">
        <f>'Fixed inputs'!O121</f>
        <v>0</v>
      </c>
      <c r="P43" s="392" t="b">
        <f>'Fixed inputs'!P121</f>
        <v>0</v>
      </c>
      <c r="Q43" s="392" t="b">
        <f>'Fixed inputs'!Q121</f>
        <v>0</v>
      </c>
      <c r="R43" s="392" t="b">
        <f>'Fixed inputs'!R121</f>
        <v>1</v>
      </c>
      <c r="S43" s="392" t="b">
        <f>'Fixed inputs'!S121</f>
        <v>1</v>
      </c>
      <c r="T43" s="392" t="b">
        <f>'Fixed inputs'!T121</f>
        <v>1</v>
      </c>
      <c r="U43" s="392" t="b">
        <f>'Fixed inputs'!U121</f>
        <v>1</v>
      </c>
      <c r="V43" s="392" t="b">
        <f>'Fixed inputs'!V121</f>
        <v>1</v>
      </c>
      <c r="W43" s="392" t="b">
        <f>'Fixed inputs'!W121</f>
        <v>1</v>
      </c>
      <c r="X43" s="392" t="b">
        <f>'Fixed inputs'!X121</f>
        <v>1</v>
      </c>
      <c r="Y43" s="392" t="b">
        <f>'Fixed inputs'!Y121</f>
        <v>1</v>
      </c>
      <c r="AQ43" s="88"/>
    </row>
    <row r="44" spans="4:43" x14ac:dyDescent="0.25">
      <c r="D44" s="96"/>
      <c r="AQ44" s="88"/>
    </row>
    <row r="45" spans="4:43" x14ac:dyDescent="0.25">
      <c r="F45" s="14" t="s">
        <v>175</v>
      </c>
      <c r="G45" s="14" t="s">
        <v>94</v>
      </c>
      <c r="J45" s="143">
        <f>'Fixed inputs'!J106</f>
        <v>0</v>
      </c>
      <c r="K45" s="143">
        <f>'Fixed inputs'!K106</f>
        <v>0</v>
      </c>
      <c r="L45" s="143">
        <f>'Fixed inputs'!L106</f>
        <v>0</v>
      </c>
      <c r="M45" s="143">
        <f>'Fixed inputs'!M106</f>
        <v>0</v>
      </c>
      <c r="N45" s="143">
        <f>'Fixed inputs'!N106</f>
        <v>0</v>
      </c>
      <c r="O45" s="143">
        <f>'Fixed inputs'!O106</f>
        <v>0</v>
      </c>
      <c r="P45" s="143">
        <f>'Fixed inputs'!P106</f>
        <v>0</v>
      </c>
      <c r="Q45" s="143">
        <f>'Fixed inputs'!Q106</f>
        <v>0</v>
      </c>
      <c r="R45" s="143">
        <f>'Fixed inputs'!R106</f>
        <v>0</v>
      </c>
      <c r="S45" s="143">
        <f>'Fixed inputs'!S106</f>
        <v>0</v>
      </c>
      <c r="T45" s="143">
        <f>'Fixed inputs'!T106</f>
        <v>0</v>
      </c>
      <c r="U45" s="143">
        <f>'Fixed inputs'!U106</f>
        <v>0</v>
      </c>
      <c r="V45" s="143">
        <f>'Fixed inputs'!V106</f>
        <v>0</v>
      </c>
      <c r="W45" s="143">
        <f>'Fixed inputs'!W106</f>
        <v>0</v>
      </c>
      <c r="X45" s="143">
        <f>'Fixed inputs'!X106</f>
        <v>0</v>
      </c>
      <c r="Y45" s="143">
        <f>'Fixed inputs'!Y106</f>
        <v>0</v>
      </c>
      <c r="AQ45" s="88"/>
    </row>
    <row r="46" spans="4:43" x14ac:dyDescent="0.25">
      <c r="F46" s="14" t="s">
        <v>176</v>
      </c>
      <c r="G46" s="14" t="s">
        <v>94</v>
      </c>
      <c r="J46" s="143">
        <f>'Fixed inputs'!J110</f>
        <v>0</v>
      </c>
      <c r="K46" s="143">
        <f>'Fixed inputs'!K110</f>
        <v>0</v>
      </c>
      <c r="L46" s="143">
        <f>'Fixed inputs'!L110</f>
        <v>0</v>
      </c>
      <c r="M46" s="143">
        <f>'Fixed inputs'!M110</f>
        <v>0</v>
      </c>
      <c r="N46" s="143">
        <f>'Fixed inputs'!N110</f>
        <v>0</v>
      </c>
      <c r="O46" s="143">
        <f>'Fixed inputs'!O110</f>
        <v>0</v>
      </c>
      <c r="P46" s="143">
        <f>'Fixed inputs'!P110</f>
        <v>0</v>
      </c>
      <c r="Q46" s="143">
        <f>'Fixed inputs'!Q110</f>
        <v>0</v>
      </c>
      <c r="R46" s="143">
        <f>'Fixed inputs'!R110</f>
        <v>1</v>
      </c>
      <c r="S46" s="143">
        <f>'Fixed inputs'!S110</f>
        <v>1</v>
      </c>
      <c r="T46" s="143">
        <f>'Fixed inputs'!T110</f>
        <v>1</v>
      </c>
      <c r="U46" s="143">
        <f>'Fixed inputs'!U110</f>
        <v>1</v>
      </c>
      <c r="V46" s="143">
        <f>'Fixed inputs'!V110</f>
        <v>1</v>
      </c>
      <c r="W46" s="143">
        <f>'Fixed inputs'!W110</f>
        <v>1</v>
      </c>
      <c r="X46" s="143">
        <f>'Fixed inputs'!X110</f>
        <v>1</v>
      </c>
      <c r="Y46" s="143">
        <f>'Fixed inputs'!Y110</f>
        <v>1</v>
      </c>
      <c r="AQ46" s="88"/>
    </row>
    <row r="47" spans="4:43" x14ac:dyDescent="0.25">
      <c r="F47" s="14" t="s">
        <v>180</v>
      </c>
      <c r="G47" s="14" t="s">
        <v>94</v>
      </c>
      <c r="J47" s="143">
        <f>'Fixed inputs'!J114</f>
        <v>0</v>
      </c>
      <c r="K47" s="143">
        <f>'Fixed inputs'!K114</f>
        <v>0</v>
      </c>
      <c r="L47" s="143">
        <f>'Fixed inputs'!L114</f>
        <v>0</v>
      </c>
      <c r="M47" s="143">
        <f>'Fixed inputs'!M114</f>
        <v>0</v>
      </c>
      <c r="N47" s="143">
        <f>'Fixed inputs'!N114</f>
        <v>0</v>
      </c>
      <c r="O47" s="143">
        <f>'Fixed inputs'!O114</f>
        <v>0</v>
      </c>
      <c r="P47" s="143">
        <f>'Fixed inputs'!P114</f>
        <v>0</v>
      </c>
      <c r="Q47" s="143">
        <f>'Fixed inputs'!Q114</f>
        <v>0</v>
      </c>
      <c r="R47" s="143">
        <f>'Fixed inputs'!R114</f>
        <v>0</v>
      </c>
      <c r="S47" s="143">
        <f>'Fixed inputs'!S114</f>
        <v>0</v>
      </c>
      <c r="T47" s="143">
        <f>'Fixed inputs'!T114</f>
        <v>0</v>
      </c>
      <c r="U47" s="143">
        <f>'Fixed inputs'!U114</f>
        <v>0</v>
      </c>
      <c r="V47" s="143">
        <f>'Fixed inputs'!V114</f>
        <v>0</v>
      </c>
      <c r="W47" s="143">
        <f>'Fixed inputs'!W114</f>
        <v>0</v>
      </c>
      <c r="X47" s="143">
        <f>'Fixed inputs'!X114</f>
        <v>0</v>
      </c>
      <c r="Y47" s="143">
        <f>'Fixed inputs'!Y114</f>
        <v>0</v>
      </c>
      <c r="AQ47" s="88"/>
    </row>
    <row r="48" spans="4:43" x14ac:dyDescent="0.25">
      <c r="F48" s="14" t="s">
        <v>181</v>
      </c>
      <c r="G48" s="14" t="s">
        <v>94</v>
      </c>
      <c r="J48" s="143">
        <f>'Fixed inputs'!J118</f>
        <v>0</v>
      </c>
      <c r="K48" s="143">
        <f>'Fixed inputs'!K118</f>
        <v>0</v>
      </c>
      <c r="L48" s="143">
        <f>'Fixed inputs'!L118</f>
        <v>0</v>
      </c>
      <c r="M48" s="143">
        <f>'Fixed inputs'!M118</f>
        <v>0</v>
      </c>
      <c r="N48" s="143">
        <f>'Fixed inputs'!N118</f>
        <v>0</v>
      </c>
      <c r="O48" s="143">
        <f>'Fixed inputs'!O118</f>
        <v>0</v>
      </c>
      <c r="P48" s="143">
        <f>'Fixed inputs'!P118</f>
        <v>0</v>
      </c>
      <c r="Q48" s="143">
        <f>'Fixed inputs'!Q118</f>
        <v>0</v>
      </c>
      <c r="R48" s="143">
        <f>'Fixed inputs'!R118</f>
        <v>0</v>
      </c>
      <c r="S48" s="143">
        <f>'Fixed inputs'!S118</f>
        <v>0</v>
      </c>
      <c r="T48" s="143">
        <f>'Fixed inputs'!T118</f>
        <v>0</v>
      </c>
      <c r="U48" s="143">
        <f>'Fixed inputs'!U118</f>
        <v>0</v>
      </c>
      <c r="V48" s="143">
        <f>'Fixed inputs'!V118</f>
        <v>0</v>
      </c>
      <c r="W48" s="143">
        <f>'Fixed inputs'!W118</f>
        <v>0</v>
      </c>
      <c r="X48" s="143">
        <f>'Fixed inputs'!X118</f>
        <v>0</v>
      </c>
      <c r="Y48" s="143">
        <f>'Fixed inputs'!Y118</f>
        <v>0</v>
      </c>
      <c r="AQ48" s="88"/>
    </row>
    <row r="49" spans="2:43" x14ac:dyDescent="0.25">
      <c r="F49" s="14" t="s">
        <v>182</v>
      </c>
      <c r="G49" s="14" t="s">
        <v>94</v>
      </c>
      <c r="J49" s="143">
        <f>'Fixed inputs'!J122</f>
        <v>0</v>
      </c>
      <c r="K49" s="143">
        <f>'Fixed inputs'!K122</f>
        <v>0</v>
      </c>
      <c r="L49" s="143">
        <f>'Fixed inputs'!L122</f>
        <v>0</v>
      </c>
      <c r="M49" s="143">
        <f>'Fixed inputs'!M122</f>
        <v>0</v>
      </c>
      <c r="N49" s="143">
        <f>'Fixed inputs'!N122</f>
        <v>0</v>
      </c>
      <c r="O49" s="143">
        <f>'Fixed inputs'!O122</f>
        <v>0</v>
      </c>
      <c r="P49" s="143">
        <f>'Fixed inputs'!P122</f>
        <v>0</v>
      </c>
      <c r="Q49" s="143">
        <f>'Fixed inputs'!Q122</f>
        <v>0</v>
      </c>
      <c r="R49" s="143">
        <f>'Fixed inputs'!R122</f>
        <v>0</v>
      </c>
      <c r="S49" s="143">
        <f>'Fixed inputs'!S122</f>
        <v>0</v>
      </c>
      <c r="T49" s="143">
        <f>'Fixed inputs'!T122</f>
        <v>0</v>
      </c>
      <c r="U49" s="143">
        <f>'Fixed inputs'!U122</f>
        <v>0</v>
      </c>
      <c r="V49" s="143">
        <f>'Fixed inputs'!V122</f>
        <v>0</v>
      </c>
      <c r="W49" s="143">
        <f>'Fixed inputs'!W122</f>
        <v>0</v>
      </c>
      <c r="X49" s="143">
        <f>'Fixed inputs'!X122</f>
        <v>0</v>
      </c>
      <c r="Y49" s="143">
        <f>'Fixed inputs'!Y122</f>
        <v>0</v>
      </c>
      <c r="AQ49" s="88"/>
    </row>
    <row r="50" spans="2:43" x14ac:dyDescent="0.25">
      <c r="C50" s="96"/>
      <c r="AQ50" s="88"/>
    </row>
    <row r="51" spans="2:43" x14ac:dyDescent="0.25">
      <c r="B51" s="95" t="s">
        <v>168</v>
      </c>
      <c r="C51" s="95"/>
      <c r="D51" s="95"/>
      <c r="E51" s="95"/>
      <c r="F51" s="95"/>
      <c r="G51" s="95"/>
      <c r="H51" s="95"/>
      <c r="I51" s="95"/>
      <c r="J51" s="95"/>
      <c r="K51" s="95"/>
      <c r="L51" s="95"/>
      <c r="M51" s="95"/>
      <c r="N51" s="95"/>
      <c r="O51" s="95"/>
      <c r="P51" s="95"/>
      <c r="Q51" s="95"/>
      <c r="R51" s="95"/>
      <c r="S51" s="95"/>
      <c r="T51" s="95"/>
      <c r="U51" s="95"/>
      <c r="V51" s="95"/>
      <c r="W51" s="95"/>
      <c r="X51" s="95"/>
      <c r="Y51" s="95"/>
      <c r="Z51" s="95"/>
      <c r="AA51" s="95"/>
      <c r="AC51" s="95"/>
      <c r="AD51" s="95"/>
      <c r="AE51" s="95"/>
      <c r="AF51" s="95"/>
      <c r="AG51" s="95"/>
      <c r="AH51" s="95"/>
      <c r="AI51" s="95"/>
      <c r="AJ51" s="95"/>
      <c r="AK51" s="95"/>
      <c r="AL51" s="95"/>
      <c r="AM51" s="95"/>
      <c r="AN51" s="95"/>
      <c r="AO51" s="95"/>
      <c r="AQ51" s="95"/>
    </row>
    <row r="52" spans="2:43" x14ac:dyDescent="0.25">
      <c r="C52" s="96"/>
      <c r="AQ52" s="88"/>
    </row>
    <row r="53" spans="2:43" x14ac:dyDescent="0.25">
      <c r="C53" s="7" t="str">
        <f ca="1">INDEX('Version control'!$H$35:$H$61,MATCH($A$1,'Version control'!$F$35:$F$61,0),1)&amp;"-B: Aggregation of volumes"</f>
        <v>Section 507-B: Aggregation of volumes</v>
      </c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  <c r="AA53" s="7"/>
      <c r="AQ53" s="88"/>
    </row>
    <row r="54" spans="2:43" x14ac:dyDescent="0.25">
      <c r="C54" s="82"/>
      <c r="AQ54" s="88"/>
    </row>
    <row r="55" spans="2:43" x14ac:dyDescent="0.25">
      <c r="C55" s="82"/>
      <c r="D55" s="82" t="s">
        <v>1072</v>
      </c>
      <c r="AQ55" s="88"/>
    </row>
    <row r="56" spans="2:43" x14ac:dyDescent="0.25">
      <c r="C56" s="82"/>
      <c r="AQ56" s="88"/>
    </row>
    <row r="57" spans="2:43" x14ac:dyDescent="0.25">
      <c r="C57" s="82"/>
      <c r="E57" s="96" t="s">
        <v>1043</v>
      </c>
      <c r="G57" s="108"/>
      <c r="I57" s="293" t="s">
        <v>359</v>
      </c>
      <c r="AQ57" s="88"/>
    </row>
    <row r="58" spans="2:43" x14ac:dyDescent="0.25">
      <c r="C58" s="82"/>
      <c r="E58" s="96"/>
      <c r="F58" s="40" t="s">
        <v>199</v>
      </c>
      <c r="G58" s="40" t="s">
        <v>120</v>
      </c>
      <c r="H58" s="91"/>
      <c r="I58" s="91"/>
      <c r="J58" s="238"/>
      <c r="K58" s="272">
        <f>'Inputs by customer type'!K26</f>
        <v>352.09798476122353</v>
      </c>
      <c r="L58" s="272">
        <f>'Inputs by customer type'!L26</f>
        <v>17.674829368275692</v>
      </c>
      <c r="M58" s="272">
        <f>'Inputs by customer type'!M26</f>
        <v>551.63967583646206</v>
      </c>
      <c r="N58" s="272">
        <f>'Inputs by customer type'!N26</f>
        <v>97.441843836801354</v>
      </c>
      <c r="O58" s="272">
        <f>'Inputs by customer type'!O26</f>
        <v>0</v>
      </c>
      <c r="P58" s="272">
        <f>'Inputs by customer type'!P26</f>
        <v>282.51298224599748</v>
      </c>
      <c r="Q58" s="238"/>
      <c r="R58" s="272">
        <f>'Inputs by customer type'!R26</f>
        <v>674.85025217285374</v>
      </c>
      <c r="S58" s="272">
        <f>'Inputs by customer type'!S26</f>
        <v>25.768606153818535</v>
      </c>
      <c r="T58" s="272">
        <f>'Inputs by customer type'!T26</f>
        <v>3471.0598153050755</v>
      </c>
      <c r="U58" s="272">
        <f>'Inputs by customer type'!U26</f>
        <v>0</v>
      </c>
      <c r="V58" s="272">
        <f>'Inputs by customer type'!V26</f>
        <v>0</v>
      </c>
      <c r="W58" s="272">
        <f>'Inputs by customer type'!W26</f>
        <v>0</v>
      </c>
      <c r="X58" s="272">
        <f>'Inputs by customer type'!X26</f>
        <v>86090.420132224855</v>
      </c>
      <c r="Y58" s="272">
        <f>'Inputs by customer type'!Y26</f>
        <v>0</v>
      </c>
      <c r="AQ58" s="88"/>
    </row>
    <row r="59" spans="2:43" x14ac:dyDescent="0.25">
      <c r="E59" s="96"/>
      <c r="F59" s="109" t="s">
        <v>200</v>
      </c>
      <c r="G59" s="109" t="s">
        <v>120</v>
      </c>
      <c r="J59" s="239"/>
      <c r="K59" s="472">
        <f>'Inputs by customer type'!K27</f>
        <v>43149.740797225757</v>
      </c>
      <c r="L59" s="472">
        <f>'Inputs by customer type'!L27</f>
        <v>111.15518056847273</v>
      </c>
      <c r="M59" s="472">
        <f>'Inputs by customer type'!M27</f>
        <v>7964.6066273601509</v>
      </c>
      <c r="N59" s="472">
        <f>'Inputs by customer type'!N27</f>
        <v>556.03409177375033</v>
      </c>
      <c r="O59" s="472">
        <f>'Inputs by customer type'!O27</f>
        <v>0</v>
      </c>
      <c r="P59" s="472">
        <f>'Inputs by customer type'!P27</f>
        <v>4354.8781058513705</v>
      </c>
      <c r="Q59" s="239"/>
      <c r="R59" s="472">
        <f>'Inputs by customer type'!R27</f>
        <v>5290.0415585937481</v>
      </c>
      <c r="S59" s="472">
        <f>'Inputs by customer type'!S27</f>
        <v>199.9475994029803</v>
      </c>
      <c r="T59" s="472">
        <f>'Inputs by customer type'!T27</f>
        <v>32553.160713646485</v>
      </c>
      <c r="U59" s="472">
        <f>'Inputs by customer type'!U27</f>
        <v>0</v>
      </c>
      <c r="V59" s="472">
        <f>'Inputs by customer type'!V27</f>
        <v>0</v>
      </c>
      <c r="W59" s="472">
        <f>'Inputs by customer type'!W27</f>
        <v>0</v>
      </c>
      <c r="X59" s="472">
        <f>'Inputs by customer type'!X27</f>
        <v>532778.46099718625</v>
      </c>
      <c r="Y59" s="472">
        <f>'Inputs by customer type'!Y27</f>
        <v>0</v>
      </c>
      <c r="AQ59" s="88"/>
    </row>
    <row r="60" spans="2:43" x14ac:dyDescent="0.25">
      <c r="E60" s="96"/>
      <c r="F60" s="109" t="s">
        <v>201</v>
      </c>
      <c r="G60" s="109" t="s">
        <v>120</v>
      </c>
      <c r="J60" s="239"/>
      <c r="K60" s="472">
        <f>'Inputs by customer type'!K28</f>
        <v>106119.38059189059</v>
      </c>
      <c r="L60" s="472">
        <f>'Inputs by customer type'!L28</f>
        <v>49.387219902662743</v>
      </c>
      <c r="M60" s="472">
        <f>'Inputs by customer type'!M28</f>
        <v>22951.54492456152</v>
      </c>
      <c r="N60" s="472">
        <f>'Inputs by customer type'!N28</f>
        <v>291.55105418687663</v>
      </c>
      <c r="O60" s="472">
        <f>'Inputs by customer type'!O28</f>
        <v>0</v>
      </c>
      <c r="P60" s="472">
        <f>'Inputs by customer type'!P28</f>
        <v>3610.6522415063591</v>
      </c>
      <c r="Q60" s="239"/>
      <c r="R60" s="472">
        <f>'Inputs by customer type'!R28</f>
        <v>705.96883393295752</v>
      </c>
      <c r="S60" s="472">
        <f>'Inputs by customer type'!S28</f>
        <v>28.789763351391056</v>
      </c>
      <c r="T60" s="472">
        <f>'Inputs by customer type'!T28</f>
        <v>8516.1143309833551</v>
      </c>
      <c r="U60" s="472">
        <f>'Inputs by customer type'!U28</f>
        <v>0</v>
      </c>
      <c r="V60" s="472">
        <f>'Inputs by customer type'!V28</f>
        <v>0</v>
      </c>
      <c r="W60" s="472">
        <f>'Inputs by customer type'!W28</f>
        <v>0</v>
      </c>
      <c r="X60" s="472">
        <f>'Inputs by customer type'!X28</f>
        <v>260951.76676867288</v>
      </c>
      <c r="Y60" s="472">
        <f>'Inputs by customer type'!Y28</f>
        <v>0</v>
      </c>
      <c r="AQ60" s="88"/>
    </row>
    <row r="61" spans="2:43" x14ac:dyDescent="0.25">
      <c r="E61" s="96"/>
      <c r="F61" s="109" t="s">
        <v>74</v>
      </c>
      <c r="G61" s="109" t="s">
        <v>74</v>
      </c>
      <c r="J61" s="239"/>
      <c r="K61" s="472">
        <f>'Inputs by customer type'!K29</f>
        <v>33762.707811624095</v>
      </c>
      <c r="L61" s="472">
        <f>'Inputs by customer type'!L29</f>
        <v>8.4395178124941772</v>
      </c>
      <c r="M61" s="472">
        <f>'Inputs by customer type'!M29</f>
        <v>4756.0967741935474</v>
      </c>
      <c r="N61" s="472">
        <f>'Inputs by customer type'!N29</f>
        <v>12.633774818491784</v>
      </c>
      <c r="O61" s="472">
        <f>'Inputs by customer type'!O29</f>
        <v>0</v>
      </c>
      <c r="P61" s="472">
        <f>'Inputs by customer type'!P29</f>
        <v>85.104651202741692</v>
      </c>
      <c r="Q61" s="239"/>
      <c r="R61" s="472">
        <f>'Inputs by customer type'!R29</f>
        <v>1884.9999999999998</v>
      </c>
      <c r="S61" s="472">
        <f>'Inputs by customer type'!S29</f>
        <v>38.935483870967744</v>
      </c>
      <c r="T61" s="472">
        <f>'Inputs by customer type'!T29</f>
        <v>836.76967715751107</v>
      </c>
      <c r="U61" s="472">
        <f>'Inputs by customer type'!U29</f>
        <v>0</v>
      </c>
      <c r="V61" s="472">
        <f>'Inputs by customer type'!V29</f>
        <v>1</v>
      </c>
      <c r="W61" s="472">
        <f>'Inputs by customer type'!W29</f>
        <v>0</v>
      </c>
      <c r="X61" s="472">
        <f>'Inputs by customer type'!X29</f>
        <v>232.35483870967744</v>
      </c>
      <c r="Y61" s="472">
        <f>'Inputs by customer type'!Y29</f>
        <v>0</v>
      </c>
      <c r="AQ61" s="88"/>
    </row>
    <row r="62" spans="2:43" x14ac:dyDescent="0.25">
      <c r="E62" s="96"/>
      <c r="F62" s="109" t="s">
        <v>202</v>
      </c>
      <c r="G62" s="109" t="s">
        <v>169</v>
      </c>
      <c r="J62" s="239"/>
      <c r="K62" s="472">
        <f>'Inputs by customer type'!K30</f>
        <v>0</v>
      </c>
      <c r="L62" s="472">
        <f>'Inputs by customer type'!L30</f>
        <v>0</v>
      </c>
      <c r="M62" s="472">
        <f>'Inputs by customer type'!M30</f>
        <v>0</v>
      </c>
      <c r="N62" s="472">
        <f>'Inputs by customer type'!N30</f>
        <v>626.42426685731766</v>
      </c>
      <c r="O62" s="472">
        <f>'Inputs by customer type'!O30</f>
        <v>0</v>
      </c>
      <c r="P62" s="472">
        <f>'Inputs by customer type'!P30</f>
        <v>8729.7065907776232</v>
      </c>
      <c r="Q62" s="239"/>
      <c r="R62" s="472">
        <f>'Inputs by customer type'!R30</f>
        <v>0</v>
      </c>
      <c r="S62" s="472">
        <f>'Inputs by customer type'!S30</f>
        <v>0</v>
      </c>
      <c r="T62" s="472">
        <f>'Inputs by customer type'!T30</f>
        <v>0</v>
      </c>
      <c r="U62" s="472">
        <f>'Inputs by customer type'!U30</f>
        <v>0</v>
      </c>
      <c r="V62" s="472">
        <f>'Inputs by customer type'!V30</f>
        <v>0</v>
      </c>
      <c r="W62" s="472">
        <f>'Inputs by customer type'!W30</f>
        <v>0</v>
      </c>
      <c r="X62" s="472">
        <f>'Inputs by customer type'!X30</f>
        <v>0</v>
      </c>
      <c r="Y62" s="472">
        <f>'Inputs by customer type'!Y30</f>
        <v>0</v>
      </c>
      <c r="AQ62" s="88"/>
    </row>
    <row r="63" spans="2:43" x14ac:dyDescent="0.25">
      <c r="E63" s="96"/>
      <c r="F63" s="109" t="s">
        <v>203</v>
      </c>
      <c r="G63" s="109" t="s">
        <v>169</v>
      </c>
      <c r="J63" s="239"/>
      <c r="K63" s="472">
        <f>'Inputs by customer type'!K31</f>
        <v>0</v>
      </c>
      <c r="L63" s="472">
        <f>'Inputs by customer type'!L31</f>
        <v>0</v>
      </c>
      <c r="M63" s="472">
        <f>'Inputs by customer type'!M31</f>
        <v>0</v>
      </c>
      <c r="N63" s="472">
        <f>'Inputs by customer type'!N31</f>
        <v>8.5416436780123615</v>
      </c>
      <c r="O63" s="472">
        <f>'Inputs by customer type'!O31</f>
        <v>0</v>
      </c>
      <c r="P63" s="472">
        <f>'Inputs by customer type'!P31</f>
        <v>14.746655548020247</v>
      </c>
      <c r="Q63" s="239"/>
      <c r="R63" s="472">
        <f>'Inputs by customer type'!R31</f>
        <v>0</v>
      </c>
      <c r="S63" s="472">
        <f>'Inputs by customer type'!S31</f>
        <v>0</v>
      </c>
      <c r="T63" s="472">
        <f>'Inputs by customer type'!T31</f>
        <v>0</v>
      </c>
      <c r="U63" s="472">
        <f>'Inputs by customer type'!U31</f>
        <v>0</v>
      </c>
      <c r="V63" s="472">
        <f>'Inputs by customer type'!V31</f>
        <v>0</v>
      </c>
      <c r="W63" s="472">
        <f>'Inputs by customer type'!W31</f>
        <v>0</v>
      </c>
      <c r="X63" s="472">
        <f>'Inputs by customer type'!X31</f>
        <v>0</v>
      </c>
      <c r="Y63" s="472">
        <f>'Inputs by customer type'!Y31</f>
        <v>0</v>
      </c>
      <c r="AQ63" s="88"/>
    </row>
    <row r="64" spans="2:43" x14ac:dyDescent="0.25">
      <c r="E64" s="96"/>
      <c r="F64" s="36" t="s">
        <v>204</v>
      </c>
      <c r="G64" s="36" t="s">
        <v>170</v>
      </c>
      <c r="H64" s="93"/>
      <c r="I64" s="93"/>
      <c r="J64" s="240"/>
      <c r="K64" s="274">
        <f>'Inputs by customer type'!K32</f>
        <v>0</v>
      </c>
      <c r="L64" s="274">
        <f>'Inputs by customer type'!L32</f>
        <v>0</v>
      </c>
      <c r="M64" s="274">
        <f>'Inputs by customer type'!M32</f>
        <v>0</v>
      </c>
      <c r="N64" s="274">
        <f>'Inputs by customer type'!N32</f>
        <v>79.281923184762576</v>
      </c>
      <c r="O64" s="274">
        <f>'Inputs by customer type'!O32</f>
        <v>0</v>
      </c>
      <c r="P64" s="274">
        <f>'Inputs by customer type'!P32</f>
        <v>433.70015170933488</v>
      </c>
      <c r="Q64" s="240"/>
      <c r="R64" s="274">
        <f>'Inputs by customer type'!R32</f>
        <v>0</v>
      </c>
      <c r="S64" s="274">
        <f>'Inputs by customer type'!S32</f>
        <v>0</v>
      </c>
      <c r="T64" s="274">
        <f>'Inputs by customer type'!T32</f>
        <v>5486.7326098670592</v>
      </c>
      <c r="U64" s="274">
        <f>'Inputs by customer type'!U32</f>
        <v>0</v>
      </c>
      <c r="V64" s="274">
        <f>'Inputs by customer type'!V32</f>
        <v>0</v>
      </c>
      <c r="W64" s="274">
        <f>'Inputs by customer type'!W32</f>
        <v>0</v>
      </c>
      <c r="X64" s="274">
        <f>'Inputs by customer type'!X32</f>
        <v>37970.304935278305</v>
      </c>
      <c r="Y64" s="274">
        <f>'Inputs by customer type'!Y32</f>
        <v>0</v>
      </c>
      <c r="AQ64" s="88"/>
    </row>
    <row r="65" spans="3:43" x14ac:dyDescent="0.25">
      <c r="C65" s="82"/>
      <c r="AQ65" s="88"/>
    </row>
    <row r="66" spans="3:43" x14ac:dyDescent="0.25">
      <c r="C66" s="82"/>
      <c r="E66" s="96" t="s">
        <v>1044</v>
      </c>
      <c r="G66" s="108"/>
      <c r="I66" s="293" t="s">
        <v>359</v>
      </c>
      <c r="AQ66" s="88"/>
    </row>
    <row r="67" spans="3:43" x14ac:dyDescent="0.25">
      <c r="C67" s="82"/>
      <c r="E67" s="96"/>
      <c r="F67" s="40" t="s">
        <v>199</v>
      </c>
      <c r="G67" s="40" t="s">
        <v>120</v>
      </c>
      <c r="H67" s="91"/>
      <c r="I67" s="91"/>
      <c r="J67" s="272">
        <f>'Inputs by customer type'!J35</f>
        <v>1519528.9909572054</v>
      </c>
      <c r="K67" s="238"/>
      <c r="L67" s="272">
        <f>'Inputs by customer type'!L35</f>
        <v>22037.121295722271</v>
      </c>
      <c r="M67" s="238"/>
      <c r="N67" s="272">
        <f>'Inputs by customer type'!N35</f>
        <v>97145.713871124273</v>
      </c>
      <c r="O67" s="272">
        <f>'Inputs by customer type'!O35</f>
        <v>138.89808368080392</v>
      </c>
      <c r="P67" s="272">
        <f>'Inputs by customer type'!P35</f>
        <v>28861.873179192746</v>
      </c>
      <c r="Q67" s="272">
        <f>'Inputs by customer type'!Q35</f>
        <v>11517.961391048839</v>
      </c>
      <c r="R67" s="238"/>
      <c r="S67" s="238"/>
      <c r="T67" s="238"/>
      <c r="U67" s="238"/>
      <c r="V67" s="238"/>
      <c r="W67" s="238"/>
      <c r="X67" s="238"/>
      <c r="Y67" s="238"/>
      <c r="AQ67" s="88"/>
    </row>
    <row r="68" spans="3:43" x14ac:dyDescent="0.25">
      <c r="E68" s="96"/>
      <c r="F68" s="109" t="s">
        <v>200</v>
      </c>
      <c r="G68" s="109" t="s">
        <v>120</v>
      </c>
      <c r="J68" s="472">
        <f>'Inputs by customer type'!J36</f>
        <v>6704922.9381034765</v>
      </c>
      <c r="K68" s="239"/>
      <c r="L68" s="472">
        <f>'Inputs by customer type'!L36</f>
        <v>138589.18498143979</v>
      </c>
      <c r="M68" s="239"/>
      <c r="N68" s="472">
        <f>'Inputs by customer type'!N36</f>
        <v>554344.28018943733</v>
      </c>
      <c r="O68" s="472">
        <f>'Inputs by customer type'!O36</f>
        <v>759.30740603700929</v>
      </c>
      <c r="P68" s="472">
        <f>'Inputs by customer type'!P36</f>
        <v>161071.9650958328</v>
      </c>
      <c r="Q68" s="472">
        <f>'Inputs by customer type'!Q36</f>
        <v>73125.948651823521</v>
      </c>
      <c r="R68" s="239"/>
      <c r="S68" s="239"/>
      <c r="T68" s="239"/>
      <c r="U68" s="239"/>
      <c r="V68" s="239"/>
      <c r="W68" s="239"/>
      <c r="X68" s="239"/>
      <c r="Y68" s="239"/>
      <c r="AQ68" s="88"/>
    </row>
    <row r="69" spans="3:43" x14ac:dyDescent="0.25">
      <c r="E69" s="96"/>
      <c r="F69" s="109" t="s">
        <v>201</v>
      </c>
      <c r="G69" s="109" t="s">
        <v>120</v>
      </c>
      <c r="J69" s="472">
        <f>'Inputs by customer type'!J37</f>
        <v>3714187.4425115269</v>
      </c>
      <c r="K69" s="239"/>
      <c r="L69" s="472">
        <f>'Inputs by customer type'!L37</f>
        <v>61576.388251133903</v>
      </c>
      <c r="M69" s="239"/>
      <c r="N69" s="472">
        <f>'Inputs by customer type'!N37</f>
        <v>290665.01795983157</v>
      </c>
      <c r="O69" s="472">
        <f>'Inputs by customer type'!O37</f>
        <v>497.0286309247079</v>
      </c>
      <c r="P69" s="472">
        <f>'Inputs by customer type'!P37</f>
        <v>110373.66410769592</v>
      </c>
      <c r="Q69" s="472">
        <f>'Inputs by customer type'!Q37</f>
        <v>109990.23751551715</v>
      </c>
      <c r="R69" s="239"/>
      <c r="S69" s="239"/>
      <c r="T69" s="239"/>
      <c r="U69" s="239"/>
      <c r="V69" s="239"/>
      <c r="W69" s="239"/>
      <c r="X69" s="239"/>
      <c r="Y69" s="239"/>
      <c r="AQ69" s="88"/>
    </row>
    <row r="70" spans="3:43" x14ac:dyDescent="0.25">
      <c r="E70" s="96"/>
      <c r="F70" s="109" t="s">
        <v>74</v>
      </c>
      <c r="G70" s="109" t="s">
        <v>74</v>
      </c>
      <c r="J70" s="472">
        <f>'Inputs by customer type'!J38</f>
        <v>2901359.4971160064</v>
      </c>
      <c r="K70" s="239"/>
      <c r="L70" s="472">
        <f>'Inputs by customer type'!L38</f>
        <v>92485.136554492579</v>
      </c>
      <c r="M70" s="239"/>
      <c r="N70" s="472">
        <f>'Inputs by customer type'!N38</f>
        <v>10434.139529663622</v>
      </c>
      <c r="O70" s="472">
        <f>'Inputs by customer type'!O38</f>
        <v>5.0576923076923084</v>
      </c>
      <c r="P70" s="472">
        <f>'Inputs by customer type'!P38</f>
        <v>542.87534104429005</v>
      </c>
      <c r="Q70" s="472">
        <f>'Inputs by customer type'!Q38</f>
        <v>4004.5</v>
      </c>
      <c r="R70" s="239"/>
      <c r="S70" s="239"/>
      <c r="T70" s="239"/>
      <c r="U70" s="239"/>
      <c r="V70" s="239"/>
      <c r="W70" s="239"/>
      <c r="X70" s="239"/>
      <c r="Y70" s="239"/>
      <c r="AQ70" s="88"/>
    </row>
    <row r="71" spans="3:43" x14ac:dyDescent="0.25">
      <c r="E71" s="96"/>
      <c r="F71" s="109" t="s">
        <v>202</v>
      </c>
      <c r="G71" s="109" t="s">
        <v>169</v>
      </c>
      <c r="J71" s="472">
        <f>'Inputs by customer type'!J39</f>
        <v>0</v>
      </c>
      <c r="K71" s="239"/>
      <c r="L71" s="472">
        <f>'Inputs by customer type'!L39</f>
        <v>0</v>
      </c>
      <c r="M71" s="239"/>
      <c r="N71" s="472">
        <f>'Inputs by customer type'!N39</f>
        <v>624520.53649529349</v>
      </c>
      <c r="O71" s="472">
        <f>'Inputs by customer type'!O39</f>
        <v>489.98849305434084</v>
      </c>
      <c r="P71" s="472">
        <f>'Inputs by customer type'!P39</f>
        <v>136200.89602449993</v>
      </c>
      <c r="Q71" s="472">
        <f>'Inputs by customer type'!Q39</f>
        <v>0</v>
      </c>
      <c r="R71" s="239"/>
      <c r="S71" s="239"/>
      <c r="T71" s="239"/>
      <c r="U71" s="239"/>
      <c r="V71" s="239"/>
      <c r="W71" s="239"/>
      <c r="X71" s="239"/>
      <c r="Y71" s="239"/>
      <c r="AQ71" s="88"/>
    </row>
    <row r="72" spans="3:43" x14ac:dyDescent="0.25">
      <c r="E72" s="96"/>
      <c r="F72" s="109" t="s">
        <v>203</v>
      </c>
      <c r="G72" s="109" t="s">
        <v>169</v>
      </c>
      <c r="J72" s="472">
        <f>'Inputs by customer type'!J40</f>
        <v>0</v>
      </c>
      <c r="K72" s="239"/>
      <c r="L72" s="472">
        <f>'Inputs by customer type'!L40</f>
        <v>0</v>
      </c>
      <c r="M72" s="239"/>
      <c r="N72" s="472">
        <f>'Inputs by customer type'!N40</f>
        <v>8515.6852545097026</v>
      </c>
      <c r="O72" s="472">
        <f>'Inputs by customer type'!O40</f>
        <v>3.3466469995676156</v>
      </c>
      <c r="P72" s="472">
        <f>'Inputs by customer type'!P40</f>
        <v>1633.3227080899942</v>
      </c>
      <c r="Q72" s="472">
        <f>'Inputs by customer type'!Q40</f>
        <v>0</v>
      </c>
      <c r="R72" s="239"/>
      <c r="S72" s="239"/>
      <c r="T72" s="239"/>
      <c r="U72" s="239"/>
      <c r="V72" s="239"/>
      <c r="W72" s="239"/>
      <c r="X72" s="239"/>
      <c r="Y72" s="239"/>
      <c r="AQ72" s="88"/>
    </row>
    <row r="73" spans="3:43" x14ac:dyDescent="0.25">
      <c r="E73" s="96"/>
      <c r="F73" s="36" t="s">
        <v>204</v>
      </c>
      <c r="G73" s="36" t="s">
        <v>170</v>
      </c>
      <c r="H73" s="93"/>
      <c r="I73" s="93"/>
      <c r="J73" s="274">
        <f>'Inputs by customer type'!J41</f>
        <v>0</v>
      </c>
      <c r="K73" s="240"/>
      <c r="L73" s="274">
        <f>'Inputs by customer type'!L41</f>
        <v>0</v>
      </c>
      <c r="M73" s="240"/>
      <c r="N73" s="274">
        <f>'Inputs by customer type'!N41</f>
        <v>79040.982001108074</v>
      </c>
      <c r="O73" s="274">
        <f>'Inputs by customer type'!O41</f>
        <v>98.050691999600616</v>
      </c>
      <c r="P73" s="274">
        <f>'Inputs by customer type'!P41</f>
        <v>21119.515591500556</v>
      </c>
      <c r="Q73" s="274">
        <f>'Inputs by customer type'!Q41</f>
        <v>0</v>
      </c>
      <c r="R73" s="240"/>
      <c r="S73" s="240"/>
      <c r="T73" s="240"/>
      <c r="U73" s="240"/>
      <c r="V73" s="240"/>
      <c r="W73" s="240"/>
      <c r="X73" s="240"/>
      <c r="Y73" s="240"/>
      <c r="AQ73" s="88"/>
    </row>
    <row r="74" spans="3:43" x14ac:dyDescent="0.25">
      <c r="AQ74" s="88"/>
    </row>
    <row r="75" spans="3:43" x14ac:dyDescent="0.25">
      <c r="C75" s="82"/>
      <c r="E75" s="96" t="s">
        <v>1045</v>
      </c>
      <c r="G75" s="108"/>
      <c r="I75" s="293" t="s">
        <v>359</v>
      </c>
      <c r="AQ75" s="88"/>
    </row>
    <row r="76" spans="3:43" x14ac:dyDescent="0.25">
      <c r="C76" s="82"/>
      <c r="E76" s="96"/>
      <c r="F76" s="40" t="s">
        <v>199</v>
      </c>
      <c r="G76" s="40" t="s">
        <v>120</v>
      </c>
      <c r="H76" s="91"/>
      <c r="I76" s="91"/>
      <c r="J76" s="238"/>
      <c r="K76" s="238"/>
      <c r="L76" s="272">
        <f>'Inputs by customer type'!L44</f>
        <v>54395.390759272494</v>
      </c>
      <c r="M76" s="238"/>
      <c r="N76" s="272">
        <f>'Inputs by customer type'!N44</f>
        <v>92277.527057135914</v>
      </c>
      <c r="O76" s="272">
        <f>'Inputs by customer type'!O44</f>
        <v>1761.4553753775297</v>
      </c>
      <c r="P76" s="272">
        <f>'Inputs by customer type'!P44</f>
        <v>100107.75475771216</v>
      </c>
      <c r="Q76" s="238"/>
      <c r="R76" s="238"/>
      <c r="S76" s="238"/>
      <c r="T76" s="238"/>
      <c r="U76" s="238"/>
      <c r="V76" s="238"/>
      <c r="W76" s="238"/>
      <c r="X76" s="238"/>
      <c r="Y76" s="238"/>
      <c r="AQ76" s="88"/>
    </row>
    <row r="77" spans="3:43" x14ac:dyDescent="0.25">
      <c r="E77" s="96"/>
      <c r="F77" s="109" t="s">
        <v>200</v>
      </c>
      <c r="G77" s="109" t="s">
        <v>120</v>
      </c>
      <c r="J77" s="239"/>
      <c r="K77" s="239"/>
      <c r="L77" s="472">
        <f>'Inputs by customer type'!L45</f>
        <v>342087.00723255862</v>
      </c>
      <c r="M77" s="239"/>
      <c r="N77" s="472">
        <f>'Inputs by customer type'!N45</f>
        <v>526564.8609264507</v>
      </c>
      <c r="O77" s="472">
        <f>'Inputs by customer type'!O45</f>
        <v>9629.2625246110765</v>
      </c>
      <c r="P77" s="472">
        <f>'Inputs by customer type'!P45</f>
        <v>558680.05101557309</v>
      </c>
      <c r="Q77" s="239"/>
      <c r="R77" s="239"/>
      <c r="S77" s="239"/>
      <c r="T77" s="239"/>
      <c r="U77" s="239"/>
      <c r="V77" s="239"/>
      <c r="W77" s="239"/>
      <c r="X77" s="239"/>
      <c r="Y77" s="239"/>
      <c r="AQ77" s="88"/>
    </row>
    <row r="78" spans="3:43" x14ac:dyDescent="0.25">
      <c r="E78" s="96"/>
      <c r="F78" s="109" t="s">
        <v>201</v>
      </c>
      <c r="G78" s="109" t="s">
        <v>120</v>
      </c>
      <c r="J78" s="239"/>
      <c r="K78" s="239"/>
      <c r="L78" s="472">
        <f>'Inputs by customer type'!L46</f>
        <v>151992.25232359575</v>
      </c>
      <c r="M78" s="239"/>
      <c r="N78" s="472">
        <f>'Inputs by customer type'!N46</f>
        <v>276099.15034371696</v>
      </c>
      <c r="O78" s="472">
        <f>'Inputs by customer type'!O46</f>
        <v>6303.1377428561063</v>
      </c>
      <c r="P78" s="472">
        <f>'Inputs by customer type'!P46</f>
        <v>382832.38338698726</v>
      </c>
      <c r="Q78" s="239"/>
      <c r="R78" s="239"/>
      <c r="S78" s="239"/>
      <c r="T78" s="239"/>
      <c r="U78" s="239"/>
      <c r="V78" s="239"/>
      <c r="W78" s="239"/>
      <c r="X78" s="239"/>
      <c r="Y78" s="239"/>
      <c r="AQ78" s="88"/>
    </row>
    <row r="79" spans="3:43" x14ac:dyDescent="0.25">
      <c r="E79" s="96"/>
      <c r="F79" s="109" t="s">
        <v>74</v>
      </c>
      <c r="G79" s="109" t="s">
        <v>74</v>
      </c>
      <c r="J79" s="239"/>
      <c r="K79" s="239"/>
      <c r="L79" s="472">
        <f>'Inputs by customer type'!L47</f>
        <v>69496.230336396038</v>
      </c>
      <c r="M79" s="239"/>
      <c r="N79" s="472">
        <f>'Inputs by customer type'!N47</f>
        <v>5393.602994688049</v>
      </c>
      <c r="O79" s="472">
        <f>'Inputs by customer type'!O47</f>
        <v>38.438461538461539</v>
      </c>
      <c r="P79" s="472">
        <f>'Inputs by customer type'!P47</f>
        <v>645.37581682166717</v>
      </c>
      <c r="Q79" s="239"/>
      <c r="R79" s="239"/>
      <c r="S79" s="239"/>
      <c r="T79" s="239"/>
      <c r="U79" s="239"/>
      <c r="V79" s="239"/>
      <c r="W79" s="239"/>
      <c r="X79" s="239"/>
      <c r="Y79" s="239"/>
      <c r="AQ79" s="88"/>
    </row>
    <row r="80" spans="3:43" x14ac:dyDescent="0.25">
      <c r="E80" s="96"/>
      <c r="F80" s="109" t="s">
        <v>202</v>
      </c>
      <c r="G80" s="109" t="s">
        <v>169</v>
      </c>
      <c r="J80" s="239"/>
      <c r="K80" s="239"/>
      <c r="L80" s="472">
        <f>'Inputs by customer type'!L48</f>
        <v>0</v>
      </c>
      <c r="M80" s="239"/>
      <c r="N80" s="472">
        <f>'Inputs by customer type'!N48</f>
        <v>593224.42965042905</v>
      </c>
      <c r="O80" s="472">
        <f>'Inputs by customer type'!O48</f>
        <v>6213.8572548426428</v>
      </c>
      <c r="P80" s="472">
        <f>'Inputs by customer type'!P48</f>
        <v>472414.44837443682</v>
      </c>
      <c r="Q80" s="239"/>
      <c r="R80" s="239"/>
      <c r="S80" s="239"/>
      <c r="T80" s="239"/>
      <c r="U80" s="239"/>
      <c r="V80" s="239"/>
      <c r="W80" s="239"/>
      <c r="X80" s="239"/>
      <c r="Y80" s="239"/>
      <c r="AQ80" s="88"/>
    </row>
    <row r="81" spans="3:43" x14ac:dyDescent="0.25">
      <c r="E81" s="96"/>
      <c r="F81" s="109" t="s">
        <v>203</v>
      </c>
      <c r="G81" s="109" t="s">
        <v>169</v>
      </c>
      <c r="J81" s="239"/>
      <c r="K81" s="239"/>
      <c r="L81" s="472">
        <f>'Inputs by customer type'!L49</f>
        <v>0</v>
      </c>
      <c r="M81" s="239"/>
      <c r="N81" s="472">
        <f>'Inputs by customer type'!N49</f>
        <v>8088.9454116888892</v>
      </c>
      <c r="O81" s="472">
        <f>'Inputs by customer type'!O49</f>
        <v>42.440969599166309</v>
      </c>
      <c r="P81" s="472">
        <f>'Inputs by customer type'!P49</f>
        <v>5665.1994860663681</v>
      </c>
      <c r="Q81" s="239"/>
      <c r="R81" s="239"/>
      <c r="S81" s="239"/>
      <c r="T81" s="239"/>
      <c r="U81" s="239"/>
      <c r="V81" s="239"/>
      <c r="W81" s="239"/>
      <c r="X81" s="239"/>
      <c r="Y81" s="239"/>
      <c r="AQ81" s="88"/>
    </row>
    <row r="82" spans="3:43" x14ac:dyDescent="0.25">
      <c r="E82" s="96"/>
      <c r="F82" s="36" t="s">
        <v>204</v>
      </c>
      <c r="G82" s="36" t="s">
        <v>170</v>
      </c>
      <c r="H82" s="93"/>
      <c r="I82" s="93"/>
      <c r="J82" s="240"/>
      <c r="K82" s="240"/>
      <c r="L82" s="274">
        <f>'Inputs by customer type'!L50</f>
        <v>0</v>
      </c>
      <c r="M82" s="240"/>
      <c r="N82" s="274">
        <f>'Inputs by customer type'!N50</f>
        <v>75080.063387107744</v>
      </c>
      <c r="O82" s="274">
        <f>'Inputs by customer type'!O50</f>
        <v>1243.4434940015826</v>
      </c>
      <c r="P82" s="274">
        <f>'Inputs by customer type'!P50</f>
        <v>73253.29420960162</v>
      </c>
      <c r="Q82" s="240"/>
      <c r="R82" s="240"/>
      <c r="S82" s="240"/>
      <c r="T82" s="240"/>
      <c r="U82" s="240"/>
      <c r="V82" s="240"/>
      <c r="W82" s="240"/>
      <c r="X82" s="240"/>
      <c r="Y82" s="240"/>
      <c r="AQ82" s="88"/>
    </row>
    <row r="83" spans="3:43" x14ac:dyDescent="0.25">
      <c r="AQ83" s="88"/>
    </row>
    <row r="84" spans="3:43" x14ac:dyDescent="0.25">
      <c r="C84" s="82"/>
      <c r="E84" s="96" t="s">
        <v>1046</v>
      </c>
      <c r="G84" s="108"/>
      <c r="I84" s="293" t="s">
        <v>359</v>
      </c>
      <c r="AQ84" s="88"/>
    </row>
    <row r="85" spans="3:43" x14ac:dyDescent="0.25">
      <c r="C85" s="82"/>
      <c r="E85" s="96"/>
      <c r="F85" s="40" t="s">
        <v>199</v>
      </c>
      <c r="G85" s="40" t="s">
        <v>120</v>
      </c>
      <c r="H85" s="91"/>
      <c r="I85" s="91"/>
      <c r="J85" s="238"/>
      <c r="K85" s="238"/>
      <c r="L85" s="272">
        <f>'Inputs by customer type'!L53</f>
        <v>65264.684853173239</v>
      </c>
      <c r="M85" s="238"/>
      <c r="N85" s="272">
        <f>'Inputs by customer type'!N53</f>
        <v>76024.94322921471</v>
      </c>
      <c r="O85" s="272">
        <f>'Inputs by customer type'!O53</f>
        <v>2173.7766138556271</v>
      </c>
      <c r="P85" s="272">
        <f>'Inputs by customer type'!P53</f>
        <v>79456.951208523518</v>
      </c>
      <c r="Q85" s="238"/>
      <c r="R85" s="238"/>
      <c r="S85" s="238"/>
      <c r="T85" s="238"/>
      <c r="U85" s="238"/>
      <c r="V85" s="238"/>
      <c r="W85" s="238"/>
      <c r="X85" s="238"/>
      <c r="Y85" s="238"/>
      <c r="AQ85" s="88"/>
    </row>
    <row r="86" spans="3:43" x14ac:dyDescent="0.25">
      <c r="E86" s="96"/>
      <c r="F86" s="109" t="s">
        <v>200</v>
      </c>
      <c r="G86" s="109" t="s">
        <v>120</v>
      </c>
      <c r="J86" s="239"/>
      <c r="K86" s="239"/>
      <c r="L86" s="472">
        <f>'Inputs by customer type'!L54</f>
        <v>410442.87774681178</v>
      </c>
      <c r="M86" s="239"/>
      <c r="N86" s="472">
        <f>'Inputs by customer type'!N54</f>
        <v>433822.45856725133</v>
      </c>
      <c r="O86" s="472">
        <f>'Inputs by customer type'!O54</f>
        <v>11883.279007388797</v>
      </c>
      <c r="P86" s="472">
        <f>'Inputs by customer type'!P54</f>
        <v>443432.31612933561</v>
      </c>
      <c r="Q86" s="239"/>
      <c r="R86" s="239"/>
      <c r="S86" s="239"/>
      <c r="T86" s="239"/>
      <c r="U86" s="239"/>
      <c r="V86" s="239"/>
      <c r="W86" s="239"/>
      <c r="X86" s="239"/>
      <c r="Y86" s="239"/>
      <c r="AQ86" s="88"/>
    </row>
    <row r="87" spans="3:43" x14ac:dyDescent="0.25">
      <c r="E87" s="96"/>
      <c r="F87" s="109" t="s">
        <v>201</v>
      </c>
      <c r="G87" s="109" t="s">
        <v>120</v>
      </c>
      <c r="J87" s="239"/>
      <c r="K87" s="239"/>
      <c r="L87" s="472">
        <f>'Inputs by customer type'!L55</f>
        <v>182363.36405640218</v>
      </c>
      <c r="M87" s="239"/>
      <c r="N87" s="472">
        <f>'Inputs by customer type'!N55</f>
        <v>227470.57598887279</v>
      </c>
      <c r="O87" s="472">
        <f>'Inputs by customer type'!O55</f>
        <v>7778.5753819591955</v>
      </c>
      <c r="P87" s="472">
        <f>'Inputs by customer type'!P55</f>
        <v>303859.51699190616</v>
      </c>
      <c r="Q87" s="239"/>
      <c r="R87" s="239"/>
      <c r="S87" s="239"/>
      <c r="T87" s="239"/>
      <c r="U87" s="239"/>
      <c r="V87" s="239"/>
      <c r="W87" s="239"/>
      <c r="X87" s="239"/>
      <c r="Y87" s="239"/>
      <c r="AQ87" s="88"/>
    </row>
    <row r="88" spans="3:43" x14ac:dyDescent="0.25">
      <c r="E88" s="96"/>
      <c r="F88" s="109" t="s">
        <v>74</v>
      </c>
      <c r="G88" s="109" t="s">
        <v>74</v>
      </c>
      <c r="J88" s="239"/>
      <c r="K88" s="239"/>
      <c r="L88" s="472">
        <f>'Inputs by customer type'!L56</f>
        <v>36790.20623631154</v>
      </c>
      <c r="M88" s="239"/>
      <c r="N88" s="472">
        <f>'Inputs by customer type'!N56</f>
        <v>2872.553606714172</v>
      </c>
      <c r="O88" s="472">
        <f>'Inputs by customer type'!O56</f>
        <v>45.519230769230766</v>
      </c>
      <c r="P88" s="472">
        <f>'Inputs by customer type'!P56</f>
        <v>279.08054008462864</v>
      </c>
      <c r="Q88" s="239"/>
      <c r="R88" s="239"/>
      <c r="S88" s="239"/>
      <c r="T88" s="239"/>
      <c r="U88" s="239"/>
      <c r="V88" s="239"/>
      <c r="W88" s="239"/>
      <c r="X88" s="239"/>
      <c r="Y88" s="239"/>
      <c r="AQ88" s="88"/>
    </row>
    <row r="89" spans="3:43" x14ac:dyDescent="0.25">
      <c r="E89" s="96"/>
      <c r="F89" s="109" t="s">
        <v>202</v>
      </c>
      <c r="G89" s="109" t="s">
        <v>169</v>
      </c>
      <c r="J89" s="239"/>
      <c r="K89" s="239"/>
      <c r="L89" s="472">
        <f>'Inputs by customer type'!L57</f>
        <v>0</v>
      </c>
      <c r="M89" s="239"/>
      <c r="N89" s="472">
        <f>'Inputs by customer type'!N57</f>
        <v>488741.46311303356</v>
      </c>
      <c r="O89" s="472">
        <f>'Inputs by customer type'!O57</f>
        <v>7668.3961292627218</v>
      </c>
      <c r="P89" s="472">
        <f>'Inputs by customer type'!P57</f>
        <v>374962.07826794166</v>
      </c>
      <c r="Q89" s="239"/>
      <c r="R89" s="239"/>
      <c r="S89" s="239"/>
      <c r="T89" s="239"/>
      <c r="U89" s="239"/>
      <c r="V89" s="239"/>
      <c r="W89" s="239"/>
      <c r="X89" s="239"/>
      <c r="Y89" s="239"/>
      <c r="AQ89" s="88"/>
    </row>
    <row r="90" spans="3:43" x14ac:dyDescent="0.25">
      <c r="E90" s="96"/>
      <c r="F90" s="109" t="s">
        <v>203</v>
      </c>
      <c r="G90" s="109" t="s">
        <v>169</v>
      </c>
      <c r="J90" s="239"/>
      <c r="K90" s="239"/>
      <c r="L90" s="472">
        <f>'Inputs by customer type'!L58</f>
        <v>0</v>
      </c>
      <c r="M90" s="239"/>
      <c r="N90" s="472">
        <f>'Inputs by customer type'!N58</f>
        <v>6664.2619857714217</v>
      </c>
      <c r="O90" s="472">
        <f>'Inputs by customer type'!O58</f>
        <v>52.375546081746194</v>
      </c>
      <c r="P90" s="472">
        <f>'Inputs by customer type'!P58</f>
        <v>4496.5495454411821</v>
      </c>
      <c r="Q90" s="239"/>
      <c r="R90" s="239"/>
      <c r="S90" s="239"/>
      <c r="T90" s="239"/>
      <c r="U90" s="239"/>
      <c r="V90" s="239"/>
      <c r="W90" s="239"/>
      <c r="X90" s="239"/>
      <c r="Y90" s="239"/>
      <c r="AQ90" s="88"/>
    </row>
    <row r="91" spans="3:43" x14ac:dyDescent="0.25">
      <c r="E91" s="96"/>
      <c r="F91" s="36" t="s">
        <v>204</v>
      </c>
      <c r="G91" s="36" t="s">
        <v>170</v>
      </c>
      <c r="H91" s="93"/>
      <c r="I91" s="93"/>
      <c r="J91" s="240"/>
      <c r="K91" s="240"/>
      <c r="L91" s="274">
        <f>'Inputs by customer type'!L59</f>
        <v>0</v>
      </c>
      <c r="M91" s="240"/>
      <c r="N91" s="274">
        <f>'Inputs by customer type'!N59</f>
        <v>61856.420936773538</v>
      </c>
      <c r="O91" s="274">
        <f>'Inputs by customer type'!O59</f>
        <v>1534.5085806288153</v>
      </c>
      <c r="P91" s="274">
        <f>'Inputs by customer type'!P59</f>
        <v>58142.183270048139</v>
      </c>
      <c r="Q91" s="240"/>
      <c r="R91" s="240"/>
      <c r="S91" s="240"/>
      <c r="T91" s="240"/>
      <c r="U91" s="240"/>
      <c r="V91" s="240"/>
      <c r="W91" s="240"/>
      <c r="X91" s="240"/>
      <c r="Y91" s="240"/>
      <c r="AQ91" s="88"/>
    </row>
    <row r="92" spans="3:43" x14ac:dyDescent="0.25">
      <c r="AQ92" s="88"/>
    </row>
    <row r="93" spans="3:43" x14ac:dyDescent="0.25">
      <c r="C93" s="82"/>
      <c r="E93" s="96" t="s">
        <v>1047</v>
      </c>
      <c r="G93" s="108"/>
      <c r="I93" s="293" t="s">
        <v>359</v>
      </c>
      <c r="AQ93" s="88"/>
    </row>
    <row r="94" spans="3:43" x14ac:dyDescent="0.25">
      <c r="C94" s="82"/>
      <c r="E94" s="96"/>
      <c r="F94" s="40" t="s">
        <v>199</v>
      </c>
      <c r="G94" s="40" t="s">
        <v>120</v>
      </c>
      <c r="H94" s="91"/>
      <c r="I94" s="91"/>
      <c r="J94" s="238"/>
      <c r="K94" s="238"/>
      <c r="L94" s="272">
        <f>'Inputs by customer type'!L62</f>
        <v>164259.89680995391</v>
      </c>
      <c r="M94" s="238"/>
      <c r="N94" s="272">
        <f>'Inputs by customer type'!N62</f>
        <v>250114.31594746836</v>
      </c>
      <c r="O94" s="272">
        <f>'Inputs by customer type'!O62</f>
        <v>28919.487278232933</v>
      </c>
      <c r="P94" s="272">
        <f>'Inputs by customer type'!P62</f>
        <v>210995.36369946759</v>
      </c>
      <c r="Q94" s="238"/>
      <c r="R94" s="238"/>
      <c r="S94" s="238"/>
      <c r="T94" s="238"/>
      <c r="U94" s="238"/>
      <c r="V94" s="238"/>
      <c r="W94" s="238"/>
      <c r="X94" s="238"/>
      <c r="Y94" s="238"/>
      <c r="AQ94" s="88"/>
    </row>
    <row r="95" spans="3:43" x14ac:dyDescent="0.25">
      <c r="E95" s="96"/>
      <c r="F95" s="109" t="s">
        <v>200</v>
      </c>
      <c r="G95" s="109" t="s">
        <v>120</v>
      </c>
      <c r="J95" s="239"/>
      <c r="K95" s="239"/>
      <c r="L95" s="472">
        <f>'Inputs by customer type'!L63</f>
        <v>1033013.5646367689</v>
      </c>
      <c r="M95" s="239"/>
      <c r="N95" s="472">
        <f>'Inputs by customer type'!N63</f>
        <v>1427231.6802664949</v>
      </c>
      <c r="O95" s="472">
        <f>'Inputs by customer type'!O63</f>
        <v>158092.75612194854</v>
      </c>
      <c r="P95" s="472">
        <f>'Inputs by customer type'!P63</f>
        <v>1177520.1715488152</v>
      </c>
      <c r="Q95" s="239"/>
      <c r="R95" s="239"/>
      <c r="S95" s="239"/>
      <c r="T95" s="239"/>
      <c r="U95" s="239"/>
      <c r="V95" s="239"/>
      <c r="W95" s="239"/>
      <c r="X95" s="239"/>
      <c r="Y95" s="239"/>
      <c r="AQ95" s="88"/>
    </row>
    <row r="96" spans="3:43" x14ac:dyDescent="0.25">
      <c r="E96" s="96"/>
      <c r="F96" s="109" t="s">
        <v>201</v>
      </c>
      <c r="G96" s="109" t="s">
        <v>120</v>
      </c>
      <c r="J96" s="239"/>
      <c r="K96" s="239"/>
      <c r="L96" s="472">
        <f>'Inputs by customer type'!L64</f>
        <v>458976.97091789806</v>
      </c>
      <c r="M96" s="239"/>
      <c r="N96" s="472">
        <f>'Inputs by customer type'!N64</f>
        <v>748355.01474956132</v>
      </c>
      <c r="O96" s="472">
        <f>'Inputs by customer type'!O64</f>
        <v>103484.60387672807</v>
      </c>
      <c r="P96" s="472">
        <f>'Inputs by customer type'!P64</f>
        <v>806889.11827231373</v>
      </c>
      <c r="Q96" s="239"/>
      <c r="R96" s="239"/>
      <c r="S96" s="239"/>
      <c r="T96" s="239"/>
      <c r="U96" s="239"/>
      <c r="V96" s="239"/>
      <c r="W96" s="239"/>
      <c r="X96" s="239"/>
      <c r="Y96" s="239"/>
      <c r="AQ96" s="88"/>
    </row>
    <row r="97" spans="3:43" x14ac:dyDescent="0.25">
      <c r="E97" s="96"/>
      <c r="F97" s="109" t="s">
        <v>74</v>
      </c>
      <c r="G97" s="109" t="s">
        <v>74</v>
      </c>
      <c r="J97" s="239"/>
      <c r="K97" s="239"/>
      <c r="L97" s="472">
        <f>'Inputs by customer type'!L65</f>
        <v>34033.274397354267</v>
      </c>
      <c r="M97" s="239"/>
      <c r="N97" s="472">
        <f>'Inputs by customer type'!N65</f>
        <v>3909.270300556323</v>
      </c>
      <c r="O97" s="472">
        <f>'Inputs by customer type'!O65</f>
        <v>173.98461538461538</v>
      </c>
      <c r="P97" s="472">
        <f>'Inputs by customer type'!P65</f>
        <v>282.09136748803127</v>
      </c>
      <c r="Q97" s="239"/>
      <c r="R97" s="239"/>
      <c r="S97" s="239"/>
      <c r="T97" s="239"/>
      <c r="U97" s="239"/>
      <c r="V97" s="239"/>
      <c r="W97" s="239"/>
      <c r="X97" s="239"/>
      <c r="Y97" s="239"/>
      <c r="AQ97" s="88"/>
    </row>
    <row r="98" spans="3:43" x14ac:dyDescent="0.25">
      <c r="E98" s="96"/>
      <c r="F98" s="109" t="s">
        <v>202</v>
      </c>
      <c r="G98" s="109" t="s">
        <v>169</v>
      </c>
      <c r="J98" s="239"/>
      <c r="K98" s="239"/>
      <c r="L98" s="472">
        <f>'Inputs by customer type'!L66</f>
        <v>0</v>
      </c>
      <c r="M98" s="239"/>
      <c r="N98" s="472">
        <f>'Inputs by customer type'!N66</f>
        <v>1607909.6087336058</v>
      </c>
      <c r="O98" s="472">
        <f>'Inputs by customer type'!O66</f>
        <v>102018.80123796046</v>
      </c>
      <c r="P98" s="472">
        <f>'Inputs by customer type'!P66</f>
        <v>995699.66974979674</v>
      </c>
      <c r="Q98" s="239"/>
      <c r="R98" s="239"/>
      <c r="S98" s="239"/>
      <c r="T98" s="239"/>
      <c r="U98" s="239"/>
      <c r="V98" s="239"/>
      <c r="W98" s="239"/>
      <c r="X98" s="239"/>
      <c r="Y98" s="239"/>
      <c r="AQ98" s="88"/>
    </row>
    <row r="99" spans="3:43" x14ac:dyDescent="0.25">
      <c r="E99" s="96"/>
      <c r="F99" s="109" t="s">
        <v>203</v>
      </c>
      <c r="G99" s="109" t="s">
        <v>169</v>
      </c>
      <c r="J99" s="239"/>
      <c r="K99" s="239"/>
      <c r="L99" s="472">
        <f>'Inputs by customer type'!L67</f>
        <v>0</v>
      </c>
      <c r="M99" s="239"/>
      <c r="N99" s="472">
        <f>'Inputs by customer type'!N67</f>
        <v>21924.742815531772</v>
      </c>
      <c r="O99" s="472">
        <f>'Inputs by customer type'!O67</f>
        <v>696.79374087799431</v>
      </c>
      <c r="P99" s="472">
        <f>'Inputs by customer type'!P67</f>
        <v>11940.441865723931</v>
      </c>
      <c r="Q99" s="239"/>
      <c r="R99" s="239"/>
      <c r="S99" s="239"/>
      <c r="T99" s="239"/>
      <c r="U99" s="239"/>
      <c r="V99" s="239"/>
      <c r="W99" s="239"/>
      <c r="X99" s="239"/>
      <c r="Y99" s="239"/>
      <c r="AQ99" s="88"/>
    </row>
    <row r="100" spans="3:43" x14ac:dyDescent="0.25">
      <c r="E100" s="96"/>
      <c r="F100" s="36" t="s">
        <v>204</v>
      </c>
      <c r="G100" s="36" t="s">
        <v>170</v>
      </c>
      <c r="H100" s="93"/>
      <c r="I100" s="93"/>
      <c r="J100" s="240"/>
      <c r="K100" s="240"/>
      <c r="L100" s="274">
        <f>'Inputs by customer type'!L68</f>
        <v>0</v>
      </c>
      <c r="M100" s="240"/>
      <c r="N100" s="274">
        <f>'Inputs by customer type'!N68</f>
        <v>203501.32144017884</v>
      </c>
      <c r="O100" s="274">
        <f>'Inputs by customer type'!O68</f>
        <v>20414.793816887406</v>
      </c>
      <c r="P100" s="274">
        <f>'Inputs by customer type'!P68</f>
        <v>154394.68691858038</v>
      </c>
      <c r="Q100" s="240"/>
      <c r="R100" s="240"/>
      <c r="S100" s="240"/>
      <c r="T100" s="240"/>
      <c r="U100" s="240"/>
      <c r="V100" s="240"/>
      <c r="W100" s="240"/>
      <c r="X100" s="240"/>
      <c r="Y100" s="240"/>
      <c r="AQ100" s="88"/>
    </row>
    <row r="101" spans="3:43" x14ac:dyDescent="0.25">
      <c r="AQ101" s="88"/>
    </row>
    <row r="102" spans="3:43" x14ac:dyDescent="0.25">
      <c r="C102" s="82"/>
      <c r="D102" s="82" t="s">
        <v>1073</v>
      </c>
      <c r="AQ102" s="88"/>
    </row>
    <row r="103" spans="3:43" x14ac:dyDescent="0.25">
      <c r="AQ103" s="88"/>
    </row>
    <row r="104" spans="3:43" x14ac:dyDescent="0.25">
      <c r="E104" s="96" t="s">
        <v>1049</v>
      </c>
      <c r="G104" s="108"/>
      <c r="I104" s="293" t="s">
        <v>359</v>
      </c>
      <c r="AQ104" s="88"/>
    </row>
    <row r="105" spans="3:43" x14ac:dyDescent="0.25">
      <c r="E105" s="96"/>
      <c r="F105" s="40" t="s">
        <v>199</v>
      </c>
      <c r="G105" s="40" t="s">
        <v>120</v>
      </c>
      <c r="H105" s="91"/>
      <c r="I105" s="91"/>
      <c r="J105" s="238"/>
      <c r="K105" s="272">
        <f>'Inputs by customer type'!K73</f>
        <v>0</v>
      </c>
      <c r="L105" s="272">
        <f>'Inputs by customer type'!L73</f>
        <v>3.0375372524205455E-2</v>
      </c>
      <c r="M105" s="272">
        <f>'Inputs by customer type'!M73</f>
        <v>29.268702844790479</v>
      </c>
      <c r="N105" s="272">
        <f>'Inputs by customer type'!N73</f>
        <v>0.31107049755657146</v>
      </c>
      <c r="O105" s="272">
        <f>'Inputs by customer type'!O73</f>
        <v>0</v>
      </c>
      <c r="P105" s="272">
        <f>'Inputs by customer type'!P73</f>
        <v>0</v>
      </c>
      <c r="Q105" s="238"/>
      <c r="R105" s="272">
        <f>'Inputs by customer type'!R73</f>
        <v>26.613504917281357</v>
      </c>
      <c r="S105" s="238"/>
      <c r="T105" s="272">
        <f>'Inputs by customer type'!T73</f>
        <v>0</v>
      </c>
      <c r="U105" s="238"/>
      <c r="V105" s="238"/>
      <c r="W105" s="238"/>
      <c r="X105" s="238"/>
      <c r="Y105" s="238"/>
      <c r="AQ105" s="88"/>
    </row>
    <row r="106" spans="3:43" x14ac:dyDescent="0.25">
      <c r="E106" s="96"/>
      <c r="F106" s="109" t="s">
        <v>200</v>
      </c>
      <c r="G106" s="109" t="s">
        <v>120</v>
      </c>
      <c r="J106" s="239"/>
      <c r="K106" s="472">
        <f>'Inputs by customer type'!K74</f>
        <v>0</v>
      </c>
      <c r="L106" s="472">
        <f>'Inputs by customer type'!L74</f>
        <v>0.19289983188688145</v>
      </c>
      <c r="M106" s="472">
        <f>'Inputs by customer type'!M74</f>
        <v>179.17889035465157</v>
      </c>
      <c r="N106" s="472">
        <f>'Inputs by customer type'!N74</f>
        <v>1.8226331011284325</v>
      </c>
      <c r="O106" s="472">
        <f>'Inputs by customer type'!O74</f>
        <v>0</v>
      </c>
      <c r="P106" s="472">
        <f>'Inputs by customer type'!P74</f>
        <v>0</v>
      </c>
      <c r="Q106" s="239"/>
      <c r="R106" s="472">
        <f>'Inputs by customer type'!R74</f>
        <v>222.99704050037963</v>
      </c>
      <c r="S106" s="239"/>
      <c r="T106" s="472">
        <f>'Inputs by customer type'!T74</f>
        <v>0</v>
      </c>
      <c r="U106" s="239"/>
      <c r="V106" s="239"/>
      <c r="W106" s="239"/>
      <c r="X106" s="239"/>
      <c r="Y106" s="239"/>
      <c r="AQ106" s="88"/>
    </row>
    <row r="107" spans="3:43" x14ac:dyDescent="0.25">
      <c r="E107" s="96"/>
      <c r="F107" s="109" t="s">
        <v>201</v>
      </c>
      <c r="G107" s="109" t="s">
        <v>120</v>
      </c>
      <c r="J107" s="239"/>
      <c r="K107" s="472">
        <f>'Inputs by customer type'!K75</f>
        <v>0</v>
      </c>
      <c r="L107" s="472">
        <f>'Inputs by customer type'!L75</f>
        <v>8.6786395358914928E-2</v>
      </c>
      <c r="M107" s="472">
        <f>'Inputs by customer type'!M75</f>
        <v>94.027914478237506</v>
      </c>
      <c r="N107" s="472">
        <f>'Inputs by customer type'!N75</f>
        <v>1.0806857353958756</v>
      </c>
      <c r="O107" s="472">
        <f>'Inputs by customer type'!O75</f>
        <v>0</v>
      </c>
      <c r="P107" s="472">
        <f>'Inputs by customer type'!P75</f>
        <v>0</v>
      </c>
      <c r="Q107" s="239"/>
      <c r="R107" s="472">
        <f>'Inputs by customer type'!R75</f>
        <v>20.758512136782162</v>
      </c>
      <c r="S107" s="239"/>
      <c r="T107" s="472">
        <f>'Inputs by customer type'!T75</f>
        <v>0</v>
      </c>
      <c r="U107" s="239"/>
      <c r="V107" s="239"/>
      <c r="W107" s="239"/>
      <c r="X107" s="239"/>
      <c r="Y107" s="239"/>
      <c r="AQ107" s="88"/>
    </row>
    <row r="108" spans="3:43" x14ac:dyDescent="0.25">
      <c r="E108" s="96"/>
      <c r="F108" s="109" t="s">
        <v>74</v>
      </c>
      <c r="G108" s="109" t="s">
        <v>74</v>
      </c>
      <c r="J108" s="239"/>
      <c r="K108" s="472">
        <f>'Inputs by customer type'!K76</f>
        <v>0</v>
      </c>
      <c r="L108" s="472">
        <f>'Inputs by customer type'!L76</f>
        <v>1.562562276581243E-2</v>
      </c>
      <c r="M108" s="472">
        <f>'Inputs by customer type'!M76</f>
        <v>4</v>
      </c>
      <c r="N108" s="472">
        <f>'Inputs by customer type'!N76</f>
        <v>7.7906285467221531E-2</v>
      </c>
      <c r="O108" s="472">
        <f>'Inputs by customer type'!O76</f>
        <v>0</v>
      </c>
      <c r="P108" s="472">
        <f>'Inputs by customer type'!P76</f>
        <v>0</v>
      </c>
      <c r="Q108" s="239"/>
      <c r="R108" s="472">
        <f>'Inputs by customer type'!R76</f>
        <v>50.451612903225801</v>
      </c>
      <c r="S108" s="239"/>
      <c r="T108" s="472">
        <f>'Inputs by customer type'!T76</f>
        <v>0</v>
      </c>
      <c r="U108" s="239"/>
      <c r="V108" s="239"/>
      <c r="W108" s="239"/>
      <c r="X108" s="239"/>
      <c r="Y108" s="239"/>
      <c r="AQ108" s="88"/>
    </row>
    <row r="109" spans="3:43" x14ac:dyDescent="0.25">
      <c r="E109" s="96"/>
      <c r="F109" s="109" t="s">
        <v>202</v>
      </c>
      <c r="G109" s="109" t="s">
        <v>169</v>
      </c>
      <c r="J109" s="239"/>
      <c r="K109" s="472">
        <f>'Inputs by customer type'!K77</f>
        <v>0</v>
      </c>
      <c r="L109" s="472">
        <f>'Inputs by customer type'!L77</f>
        <v>0</v>
      </c>
      <c r="M109" s="472">
        <f>'Inputs by customer type'!M77</f>
        <v>0</v>
      </c>
      <c r="N109" s="472">
        <f>'Inputs by customer type'!N77</f>
        <v>3.9060851734454922</v>
      </c>
      <c r="O109" s="472">
        <f>'Inputs by customer type'!O77</f>
        <v>0</v>
      </c>
      <c r="P109" s="472">
        <f>'Inputs by customer type'!P77</f>
        <v>0</v>
      </c>
      <c r="Q109" s="239"/>
      <c r="R109" s="472">
        <f>'Inputs by customer type'!R77</f>
        <v>0</v>
      </c>
      <c r="S109" s="239"/>
      <c r="T109" s="472">
        <f>'Inputs by customer type'!T77</f>
        <v>0</v>
      </c>
      <c r="U109" s="239"/>
      <c r="V109" s="239"/>
      <c r="W109" s="239"/>
      <c r="X109" s="239"/>
      <c r="Y109" s="239"/>
      <c r="AQ109" s="88"/>
    </row>
    <row r="110" spans="3:43" x14ac:dyDescent="0.25">
      <c r="E110" s="96"/>
      <c r="F110" s="109" t="s">
        <v>203</v>
      </c>
      <c r="G110" s="109" t="s">
        <v>169</v>
      </c>
      <c r="J110" s="239"/>
      <c r="K110" s="472">
        <f>'Inputs by customer type'!K78</f>
        <v>0</v>
      </c>
      <c r="L110" s="472">
        <f>'Inputs by customer type'!L78</f>
        <v>0</v>
      </c>
      <c r="M110" s="472">
        <f>'Inputs by customer type'!M78</f>
        <v>0</v>
      </c>
      <c r="N110" s="472">
        <f>'Inputs by customer type'!N78</f>
        <v>3.5304457460642526E-3</v>
      </c>
      <c r="O110" s="472">
        <f>'Inputs by customer type'!O78</f>
        <v>0</v>
      </c>
      <c r="P110" s="472">
        <f>'Inputs by customer type'!P78</f>
        <v>0</v>
      </c>
      <c r="Q110" s="239"/>
      <c r="R110" s="472">
        <f>'Inputs by customer type'!R78</f>
        <v>0</v>
      </c>
      <c r="S110" s="239"/>
      <c r="T110" s="472">
        <f>'Inputs by customer type'!T78</f>
        <v>0</v>
      </c>
      <c r="U110" s="239"/>
      <c r="V110" s="239"/>
      <c r="W110" s="239"/>
      <c r="X110" s="239"/>
      <c r="Y110" s="239"/>
      <c r="AQ110" s="88"/>
    </row>
    <row r="111" spans="3:43" x14ac:dyDescent="0.25">
      <c r="E111" s="96"/>
      <c r="F111" s="36" t="s">
        <v>204</v>
      </c>
      <c r="G111" s="36" t="s">
        <v>170</v>
      </c>
      <c r="H111" s="93"/>
      <c r="I111" s="93"/>
      <c r="J111" s="240"/>
      <c r="K111" s="274">
        <f>'Inputs by customer type'!K79</f>
        <v>0</v>
      </c>
      <c r="L111" s="274">
        <f>'Inputs by customer type'!L79</f>
        <v>0</v>
      </c>
      <c r="M111" s="274">
        <f>'Inputs by customer type'!M79</f>
        <v>0</v>
      </c>
      <c r="N111" s="274">
        <f>'Inputs by customer type'!N79</f>
        <v>0.37449607950128161</v>
      </c>
      <c r="O111" s="274">
        <f>'Inputs by customer type'!O79</f>
        <v>0</v>
      </c>
      <c r="P111" s="274">
        <f>'Inputs by customer type'!P79</f>
        <v>0</v>
      </c>
      <c r="Q111" s="240"/>
      <c r="R111" s="274">
        <f>'Inputs by customer type'!R79</f>
        <v>0</v>
      </c>
      <c r="S111" s="240"/>
      <c r="T111" s="274">
        <f>'Inputs by customer type'!T79</f>
        <v>0</v>
      </c>
      <c r="U111" s="240"/>
      <c r="V111" s="240"/>
      <c r="W111" s="240"/>
      <c r="X111" s="240"/>
      <c r="Y111" s="240"/>
      <c r="AQ111" s="88"/>
    </row>
    <row r="112" spans="3:43" x14ac:dyDescent="0.25">
      <c r="C112" s="82"/>
      <c r="AQ112" s="88"/>
    </row>
    <row r="113" spans="5:43" x14ac:dyDescent="0.25">
      <c r="E113" s="96" t="s">
        <v>1050</v>
      </c>
      <c r="G113" s="108"/>
      <c r="I113" s="293" t="s">
        <v>359</v>
      </c>
      <c r="AQ113" s="88"/>
    </row>
    <row r="114" spans="5:43" x14ac:dyDescent="0.25">
      <c r="E114" s="96"/>
      <c r="F114" s="40" t="s">
        <v>199</v>
      </c>
      <c r="G114" s="40" t="s">
        <v>120</v>
      </c>
      <c r="H114" s="91"/>
      <c r="I114" s="91"/>
      <c r="J114" s="272">
        <f>'Inputs by customer type'!J82</f>
        <v>12427.22138594751</v>
      </c>
      <c r="K114" s="238"/>
      <c r="L114" s="272">
        <f>'Inputs by customer type'!L82</f>
        <v>37.872262004414956</v>
      </c>
      <c r="M114" s="238"/>
      <c r="N114" s="272">
        <f>'Inputs by customer type'!N82</f>
        <v>310.12514089933438</v>
      </c>
      <c r="O114" s="272">
        <f>'Inputs by customer type'!O82</f>
        <v>0</v>
      </c>
      <c r="P114" s="272">
        <f>'Inputs by customer type'!P82</f>
        <v>0</v>
      </c>
      <c r="Q114" s="272">
        <f>'Inputs by customer type'!Q82</f>
        <v>8.385521972809924</v>
      </c>
      <c r="R114" s="238"/>
      <c r="S114" s="238"/>
      <c r="T114" s="238"/>
      <c r="U114" s="238"/>
      <c r="V114" s="238"/>
      <c r="W114" s="238"/>
      <c r="X114" s="238"/>
      <c r="Y114" s="238"/>
      <c r="AQ114" s="88"/>
    </row>
    <row r="115" spans="5:43" x14ac:dyDescent="0.25">
      <c r="E115" s="96"/>
      <c r="F115" s="109" t="s">
        <v>200</v>
      </c>
      <c r="G115" s="109" t="s">
        <v>120</v>
      </c>
      <c r="J115" s="472">
        <f>'Inputs by customer type'!J83</f>
        <v>51168.232381723828</v>
      </c>
      <c r="K115" s="239"/>
      <c r="L115" s="472">
        <f>'Inputs by customer type'!L83</f>
        <v>240.50908241556351</v>
      </c>
      <c r="M115" s="239"/>
      <c r="N115" s="472">
        <f>'Inputs by customer type'!N83</f>
        <v>1817.0940405316005</v>
      </c>
      <c r="O115" s="472">
        <f>'Inputs by customer type'!O83</f>
        <v>0</v>
      </c>
      <c r="P115" s="472">
        <f>'Inputs by customer type'!P83</f>
        <v>0</v>
      </c>
      <c r="Q115" s="472">
        <f>'Inputs by customer type'!Q83</f>
        <v>52.712365653495674</v>
      </c>
      <c r="R115" s="239"/>
      <c r="S115" s="239"/>
      <c r="T115" s="239"/>
      <c r="U115" s="239"/>
      <c r="V115" s="239"/>
      <c r="W115" s="239"/>
      <c r="X115" s="239"/>
      <c r="Y115" s="239"/>
      <c r="AQ115" s="88"/>
    </row>
    <row r="116" spans="5:43" x14ac:dyDescent="0.25">
      <c r="E116" s="96"/>
      <c r="F116" s="109" t="s">
        <v>201</v>
      </c>
      <c r="G116" s="109" t="s">
        <v>120</v>
      </c>
      <c r="J116" s="472">
        <f>'Inputs by customer type'!J84</f>
        <v>24902.513907975921</v>
      </c>
      <c r="K116" s="239"/>
      <c r="L116" s="472">
        <f>'Inputs by customer type'!L84</f>
        <v>108.20598499104474</v>
      </c>
      <c r="M116" s="239"/>
      <c r="N116" s="472">
        <f>'Inputs by customer type'!N84</f>
        <v>1077.4014848405757</v>
      </c>
      <c r="O116" s="472">
        <f>'Inputs by customer type'!O84</f>
        <v>0</v>
      </c>
      <c r="P116" s="472">
        <f>'Inputs by customer type'!P84</f>
        <v>0</v>
      </c>
      <c r="Q116" s="472">
        <f>'Inputs by customer type'!Q84</f>
        <v>45.853087148916899</v>
      </c>
      <c r="R116" s="239"/>
      <c r="S116" s="239"/>
      <c r="T116" s="239"/>
      <c r="U116" s="239"/>
      <c r="V116" s="239"/>
      <c r="W116" s="239"/>
      <c r="X116" s="239"/>
      <c r="Y116" s="239"/>
      <c r="AQ116" s="88"/>
    </row>
    <row r="117" spans="5:43" x14ac:dyDescent="0.25">
      <c r="E117" s="96"/>
      <c r="F117" s="109" t="s">
        <v>74</v>
      </c>
      <c r="G117" s="109" t="s">
        <v>74</v>
      </c>
      <c r="J117" s="472">
        <f>'Inputs by customer type'!J85</f>
        <v>30423.599820316216</v>
      </c>
      <c r="K117" s="239"/>
      <c r="L117" s="472">
        <f>'Inputs by customer type'!L85</f>
        <v>171.23464721002364</v>
      </c>
      <c r="M117" s="239"/>
      <c r="N117" s="472">
        <f>'Inputs by customer type'!N85</f>
        <v>64.342214775982271</v>
      </c>
      <c r="O117" s="472">
        <f>'Inputs by customer type'!O85</f>
        <v>0</v>
      </c>
      <c r="P117" s="472">
        <f>'Inputs by customer type'!P85</f>
        <v>0</v>
      </c>
      <c r="Q117" s="472">
        <f>'Inputs by customer type'!Q85</f>
        <v>122</v>
      </c>
      <c r="R117" s="239"/>
      <c r="S117" s="239"/>
      <c r="T117" s="239"/>
      <c r="U117" s="239"/>
      <c r="V117" s="239"/>
      <c r="W117" s="239"/>
      <c r="X117" s="239"/>
      <c r="Y117" s="239"/>
      <c r="AQ117" s="88"/>
    </row>
    <row r="118" spans="5:43" x14ac:dyDescent="0.25">
      <c r="E118" s="96"/>
      <c r="F118" s="109" t="s">
        <v>202</v>
      </c>
      <c r="G118" s="109" t="s">
        <v>169</v>
      </c>
      <c r="J118" s="472">
        <f>'Inputs by customer type'!J86</f>
        <v>0</v>
      </c>
      <c r="K118" s="239"/>
      <c r="L118" s="472">
        <f>'Inputs by customer type'!L86</f>
        <v>0</v>
      </c>
      <c r="M118" s="239"/>
      <c r="N118" s="472">
        <f>'Inputs by customer type'!N86</f>
        <v>3894.2144121503607</v>
      </c>
      <c r="O118" s="472">
        <f>'Inputs by customer type'!O86</f>
        <v>0</v>
      </c>
      <c r="P118" s="472">
        <f>'Inputs by customer type'!P86</f>
        <v>0</v>
      </c>
      <c r="Q118" s="472">
        <f>'Inputs by customer type'!Q86</f>
        <v>0</v>
      </c>
      <c r="R118" s="239"/>
      <c r="S118" s="239"/>
      <c r="T118" s="239"/>
      <c r="U118" s="239"/>
      <c r="V118" s="239"/>
      <c r="W118" s="239"/>
      <c r="X118" s="239"/>
      <c r="Y118" s="239"/>
      <c r="AQ118" s="88"/>
    </row>
    <row r="119" spans="5:43" x14ac:dyDescent="0.25">
      <c r="E119" s="96"/>
      <c r="F119" s="109" t="s">
        <v>203</v>
      </c>
      <c r="G119" s="109" t="s">
        <v>169</v>
      </c>
      <c r="J119" s="472">
        <f>'Inputs by customer type'!J87</f>
        <v>0</v>
      </c>
      <c r="K119" s="239"/>
      <c r="L119" s="472">
        <f>'Inputs by customer type'!L87</f>
        <v>0</v>
      </c>
      <c r="M119" s="239"/>
      <c r="N119" s="472">
        <f>'Inputs by customer type'!N87</f>
        <v>3.5197165691886818</v>
      </c>
      <c r="O119" s="472">
        <f>'Inputs by customer type'!O87</f>
        <v>0</v>
      </c>
      <c r="P119" s="472">
        <f>'Inputs by customer type'!P87</f>
        <v>0</v>
      </c>
      <c r="Q119" s="472">
        <f>'Inputs by customer type'!Q87</f>
        <v>0</v>
      </c>
      <c r="R119" s="239"/>
      <c r="S119" s="239"/>
      <c r="T119" s="239"/>
      <c r="U119" s="239"/>
      <c r="V119" s="239"/>
      <c r="W119" s="239"/>
      <c r="X119" s="239"/>
      <c r="Y119" s="239"/>
      <c r="AQ119" s="88"/>
    </row>
    <row r="120" spans="5:43" x14ac:dyDescent="0.25">
      <c r="E120" s="96"/>
      <c r="F120" s="36" t="s">
        <v>204</v>
      </c>
      <c r="G120" s="36" t="s">
        <v>170</v>
      </c>
      <c r="H120" s="93"/>
      <c r="I120" s="93"/>
      <c r="J120" s="274">
        <f>'Inputs by customer type'!J88</f>
        <v>0</v>
      </c>
      <c r="K120" s="240"/>
      <c r="L120" s="274">
        <f>'Inputs by customer type'!L88</f>
        <v>0</v>
      </c>
      <c r="M120" s="240"/>
      <c r="N120" s="274">
        <f>'Inputs by customer type'!N88</f>
        <v>373.35796976523585</v>
      </c>
      <c r="O120" s="274">
        <f>'Inputs by customer type'!O88</f>
        <v>0</v>
      </c>
      <c r="P120" s="274">
        <f>'Inputs by customer type'!P88</f>
        <v>0</v>
      </c>
      <c r="Q120" s="274">
        <f>'Inputs by customer type'!Q88</f>
        <v>0</v>
      </c>
      <c r="R120" s="240"/>
      <c r="S120" s="240"/>
      <c r="T120" s="240"/>
      <c r="U120" s="240"/>
      <c r="V120" s="240"/>
      <c r="W120" s="240"/>
      <c r="X120" s="240"/>
      <c r="Y120" s="240"/>
      <c r="AQ120" s="88"/>
    </row>
    <row r="121" spans="5:43" x14ac:dyDescent="0.25">
      <c r="AQ121" s="88"/>
    </row>
    <row r="122" spans="5:43" x14ac:dyDescent="0.25">
      <c r="E122" s="96" t="s">
        <v>1051</v>
      </c>
      <c r="G122" s="108"/>
      <c r="I122" s="293" t="s">
        <v>359</v>
      </c>
      <c r="AQ122" s="88"/>
    </row>
    <row r="123" spans="5:43" x14ac:dyDescent="0.25">
      <c r="E123" s="96"/>
      <c r="F123" s="40" t="s">
        <v>199</v>
      </c>
      <c r="G123" s="40" t="s">
        <v>120</v>
      </c>
      <c r="H123" s="91"/>
      <c r="I123" s="91"/>
      <c r="J123" s="238"/>
      <c r="K123" s="238"/>
      <c r="L123" s="272">
        <f>'Inputs by customer type'!L91</f>
        <v>93.482105172584014</v>
      </c>
      <c r="M123" s="238"/>
      <c r="N123" s="272">
        <f>'Inputs by customer type'!N91</f>
        <v>294.58408343574632</v>
      </c>
      <c r="O123" s="272">
        <f>'Inputs by customer type'!O91</f>
        <v>0</v>
      </c>
      <c r="P123" s="272">
        <f>'Inputs by customer type'!P91</f>
        <v>0</v>
      </c>
      <c r="Q123" s="238"/>
      <c r="R123" s="238"/>
      <c r="S123" s="238"/>
      <c r="T123" s="238"/>
      <c r="U123" s="238"/>
      <c r="V123" s="238"/>
      <c r="W123" s="238"/>
      <c r="X123" s="238"/>
      <c r="Y123" s="238"/>
      <c r="AQ123" s="88"/>
    </row>
    <row r="124" spans="5:43" x14ac:dyDescent="0.25">
      <c r="E124" s="96"/>
      <c r="F124" s="109" t="s">
        <v>200</v>
      </c>
      <c r="G124" s="109" t="s">
        <v>120</v>
      </c>
      <c r="J124" s="239"/>
      <c r="K124" s="239"/>
      <c r="L124" s="472">
        <f>'Inputs by customer type'!L92</f>
        <v>593.66127470052868</v>
      </c>
      <c r="M124" s="239"/>
      <c r="N124" s="472">
        <f>'Inputs by customer type'!N92</f>
        <v>1726.0354349030699</v>
      </c>
      <c r="O124" s="472">
        <f>'Inputs by customer type'!O92</f>
        <v>0</v>
      </c>
      <c r="P124" s="472">
        <f>'Inputs by customer type'!P92</f>
        <v>0</v>
      </c>
      <c r="Q124" s="239"/>
      <c r="R124" s="239"/>
      <c r="S124" s="239"/>
      <c r="T124" s="239"/>
      <c r="U124" s="239"/>
      <c r="V124" s="239"/>
      <c r="W124" s="239"/>
      <c r="X124" s="239"/>
      <c r="Y124" s="239"/>
      <c r="AQ124" s="88"/>
    </row>
    <row r="125" spans="5:43" x14ac:dyDescent="0.25">
      <c r="E125" s="96"/>
      <c r="F125" s="109" t="s">
        <v>201</v>
      </c>
      <c r="G125" s="109" t="s">
        <v>120</v>
      </c>
      <c r="J125" s="239"/>
      <c r="K125" s="239"/>
      <c r="L125" s="472">
        <f>'Inputs by customer type'!L93</f>
        <v>267.09054949125294</v>
      </c>
      <c r="M125" s="239"/>
      <c r="N125" s="472">
        <f>'Inputs by customer type'!N93</f>
        <v>1023.4105109430498</v>
      </c>
      <c r="O125" s="472">
        <f>'Inputs by customer type'!O93</f>
        <v>0</v>
      </c>
      <c r="P125" s="472">
        <f>'Inputs by customer type'!P93</f>
        <v>0</v>
      </c>
      <c r="Q125" s="239"/>
      <c r="R125" s="239"/>
      <c r="S125" s="239"/>
      <c r="T125" s="239"/>
      <c r="U125" s="239"/>
      <c r="V125" s="239"/>
      <c r="W125" s="239"/>
      <c r="X125" s="239"/>
      <c r="Y125" s="239"/>
      <c r="AQ125" s="88"/>
    </row>
    <row r="126" spans="5:43" x14ac:dyDescent="0.25">
      <c r="E126" s="96"/>
      <c r="F126" s="109" t="s">
        <v>74</v>
      </c>
      <c r="G126" s="109" t="s">
        <v>74</v>
      </c>
      <c r="J126" s="239"/>
      <c r="K126" s="239"/>
      <c r="L126" s="472">
        <f>'Inputs by customer type'!L94</f>
        <v>128.67108086138472</v>
      </c>
      <c r="M126" s="239"/>
      <c r="N126" s="472">
        <f>'Inputs by customer type'!N94</f>
        <v>33.259701129546549</v>
      </c>
      <c r="O126" s="472">
        <f>'Inputs by customer type'!O94</f>
        <v>0</v>
      </c>
      <c r="P126" s="472">
        <f>'Inputs by customer type'!P94</f>
        <v>0</v>
      </c>
      <c r="Q126" s="239"/>
      <c r="R126" s="239"/>
      <c r="S126" s="239"/>
      <c r="T126" s="239"/>
      <c r="U126" s="239"/>
      <c r="V126" s="239"/>
      <c r="W126" s="239"/>
      <c r="X126" s="239"/>
      <c r="Y126" s="239"/>
      <c r="AQ126" s="88"/>
    </row>
    <row r="127" spans="5:43" x14ac:dyDescent="0.25">
      <c r="E127" s="96"/>
      <c r="F127" s="109" t="s">
        <v>202</v>
      </c>
      <c r="G127" s="109" t="s">
        <v>169</v>
      </c>
      <c r="J127" s="239"/>
      <c r="K127" s="239"/>
      <c r="L127" s="472">
        <f>'Inputs by customer type'!L95</f>
        <v>0</v>
      </c>
      <c r="M127" s="239"/>
      <c r="N127" s="472">
        <f>'Inputs by customer type'!N95</f>
        <v>3699.0667057139899</v>
      </c>
      <c r="O127" s="472">
        <f>'Inputs by customer type'!O95</f>
        <v>0</v>
      </c>
      <c r="P127" s="472">
        <f>'Inputs by customer type'!P95</f>
        <v>0</v>
      </c>
      <c r="Q127" s="239"/>
      <c r="R127" s="239"/>
      <c r="S127" s="239"/>
      <c r="T127" s="239"/>
      <c r="U127" s="239"/>
      <c r="V127" s="239"/>
      <c r="W127" s="239"/>
      <c r="X127" s="239"/>
      <c r="Y127" s="239"/>
      <c r="AQ127" s="88"/>
    </row>
    <row r="128" spans="5:43" x14ac:dyDescent="0.25">
      <c r="E128" s="96"/>
      <c r="F128" s="109" t="s">
        <v>203</v>
      </c>
      <c r="G128" s="109" t="s">
        <v>169</v>
      </c>
      <c r="J128" s="239"/>
      <c r="K128" s="239"/>
      <c r="L128" s="472">
        <f>'Inputs by customer type'!L96</f>
        <v>0</v>
      </c>
      <c r="M128" s="239"/>
      <c r="N128" s="472">
        <f>'Inputs by customer type'!N96</f>
        <v>3.3433357788448905</v>
      </c>
      <c r="O128" s="472">
        <f>'Inputs by customer type'!O96</f>
        <v>0</v>
      </c>
      <c r="P128" s="472">
        <f>'Inputs by customer type'!P96</f>
        <v>0</v>
      </c>
      <c r="Q128" s="239"/>
      <c r="R128" s="239"/>
      <c r="S128" s="239"/>
      <c r="T128" s="239"/>
      <c r="U128" s="239"/>
      <c r="V128" s="239"/>
      <c r="W128" s="239"/>
      <c r="X128" s="239"/>
      <c r="Y128" s="239"/>
      <c r="AQ128" s="88"/>
    </row>
    <row r="129" spans="5:43" x14ac:dyDescent="0.25">
      <c r="E129" s="96"/>
      <c r="F129" s="36" t="s">
        <v>204</v>
      </c>
      <c r="G129" s="36" t="s">
        <v>170</v>
      </c>
      <c r="H129" s="93"/>
      <c r="I129" s="93"/>
      <c r="J129" s="240"/>
      <c r="K129" s="240"/>
      <c r="L129" s="274">
        <f>'Inputs by customer type'!L97</f>
        <v>0</v>
      </c>
      <c r="M129" s="240"/>
      <c r="N129" s="274">
        <f>'Inputs by customer type'!N97</f>
        <v>354.64817524234184</v>
      </c>
      <c r="O129" s="274">
        <f>'Inputs by customer type'!O97</f>
        <v>0</v>
      </c>
      <c r="P129" s="274">
        <f>'Inputs by customer type'!P97</f>
        <v>0</v>
      </c>
      <c r="Q129" s="240"/>
      <c r="R129" s="240"/>
      <c r="S129" s="240"/>
      <c r="T129" s="240"/>
      <c r="U129" s="240"/>
      <c r="V129" s="240"/>
      <c r="W129" s="240"/>
      <c r="X129" s="240"/>
      <c r="Y129" s="240"/>
      <c r="AQ129" s="88"/>
    </row>
    <row r="130" spans="5:43" x14ac:dyDescent="0.25">
      <c r="AQ130" s="88"/>
    </row>
    <row r="131" spans="5:43" x14ac:dyDescent="0.25">
      <c r="E131" s="96" t="s">
        <v>1052</v>
      </c>
      <c r="G131" s="108"/>
      <c r="I131" s="293" t="s">
        <v>359</v>
      </c>
      <c r="AQ131" s="88"/>
    </row>
    <row r="132" spans="5:43" x14ac:dyDescent="0.25">
      <c r="E132" s="96"/>
      <c r="F132" s="40" t="s">
        <v>199</v>
      </c>
      <c r="G132" s="40" t="s">
        <v>120</v>
      </c>
      <c r="H132" s="91"/>
      <c r="I132" s="91"/>
      <c r="J132" s="238"/>
      <c r="K132" s="238"/>
      <c r="L132" s="272">
        <f>'Inputs by customer type'!L100</f>
        <v>112.16171165127392</v>
      </c>
      <c r="M132" s="238"/>
      <c r="N132" s="272">
        <f>'Inputs by customer type'!N100</f>
        <v>242.69980929989586</v>
      </c>
      <c r="O132" s="272">
        <f>'Inputs by customer type'!O100</f>
        <v>0</v>
      </c>
      <c r="P132" s="272">
        <f>'Inputs by customer type'!P100</f>
        <v>0</v>
      </c>
      <c r="Q132" s="238"/>
      <c r="R132" s="238"/>
      <c r="S132" s="238"/>
      <c r="T132" s="238"/>
      <c r="U132" s="238"/>
      <c r="V132" s="238"/>
      <c r="W132" s="238"/>
      <c r="X132" s="238"/>
      <c r="Y132" s="238"/>
      <c r="AQ132" s="88"/>
    </row>
    <row r="133" spans="5:43" x14ac:dyDescent="0.25">
      <c r="E133" s="96"/>
      <c r="F133" s="109" t="s">
        <v>200</v>
      </c>
      <c r="G133" s="109" t="s">
        <v>120</v>
      </c>
      <c r="J133" s="239"/>
      <c r="K133" s="239"/>
      <c r="L133" s="472">
        <f>'Inputs by customer type'!L101</f>
        <v>712.28674823442532</v>
      </c>
      <c r="M133" s="239"/>
      <c r="N133" s="472">
        <f>'Inputs by customer type'!N101</f>
        <v>1422.0336211314986</v>
      </c>
      <c r="O133" s="472">
        <f>'Inputs by customer type'!O101</f>
        <v>0</v>
      </c>
      <c r="P133" s="472">
        <f>'Inputs by customer type'!P101</f>
        <v>0</v>
      </c>
      <c r="Q133" s="239"/>
      <c r="R133" s="239"/>
      <c r="S133" s="239"/>
      <c r="T133" s="239"/>
      <c r="U133" s="239"/>
      <c r="V133" s="239"/>
      <c r="W133" s="239"/>
      <c r="X133" s="239"/>
      <c r="Y133" s="239"/>
      <c r="AQ133" s="88"/>
    </row>
    <row r="134" spans="5:43" x14ac:dyDescent="0.25">
      <c r="E134" s="96"/>
      <c r="F134" s="109" t="s">
        <v>201</v>
      </c>
      <c r="G134" s="109" t="s">
        <v>120</v>
      </c>
      <c r="J134" s="239"/>
      <c r="K134" s="239"/>
      <c r="L134" s="472">
        <f>'Inputs by customer type'!L102</f>
        <v>320.46061801359565</v>
      </c>
      <c r="M134" s="239"/>
      <c r="N134" s="472">
        <f>'Inputs by customer type'!N102</f>
        <v>843.16006806784355</v>
      </c>
      <c r="O134" s="472">
        <f>'Inputs by customer type'!O102</f>
        <v>0</v>
      </c>
      <c r="P134" s="472">
        <f>'Inputs by customer type'!P102</f>
        <v>0</v>
      </c>
      <c r="Q134" s="239"/>
      <c r="R134" s="239"/>
      <c r="S134" s="239"/>
      <c r="T134" s="239"/>
      <c r="U134" s="239"/>
      <c r="V134" s="239"/>
      <c r="W134" s="239"/>
      <c r="X134" s="239"/>
      <c r="Y134" s="239"/>
      <c r="AQ134" s="88"/>
    </row>
    <row r="135" spans="5:43" x14ac:dyDescent="0.25">
      <c r="E135" s="96"/>
      <c r="F135" s="109" t="s">
        <v>74</v>
      </c>
      <c r="G135" s="109" t="s">
        <v>74</v>
      </c>
      <c r="J135" s="239"/>
      <c r="K135" s="239"/>
      <c r="L135" s="472">
        <f>'Inputs by customer type'!L103</f>
        <v>68.11643708767167</v>
      </c>
      <c r="M135" s="239"/>
      <c r="N135" s="472">
        <f>'Inputs by customer type'!N103</f>
        <v>17.713627519861646</v>
      </c>
      <c r="O135" s="472">
        <f>'Inputs by customer type'!O103</f>
        <v>0</v>
      </c>
      <c r="P135" s="472">
        <f>'Inputs by customer type'!P103</f>
        <v>0</v>
      </c>
      <c r="Q135" s="239"/>
      <c r="R135" s="239"/>
      <c r="S135" s="239"/>
      <c r="T135" s="239"/>
      <c r="U135" s="239"/>
      <c r="V135" s="239"/>
      <c r="W135" s="239"/>
      <c r="X135" s="239"/>
      <c r="Y135" s="239"/>
      <c r="AQ135" s="88"/>
    </row>
    <row r="136" spans="5:43" x14ac:dyDescent="0.25">
      <c r="E136" s="96"/>
      <c r="F136" s="109" t="s">
        <v>202</v>
      </c>
      <c r="G136" s="109" t="s">
        <v>169</v>
      </c>
      <c r="J136" s="239"/>
      <c r="K136" s="239"/>
      <c r="L136" s="472">
        <f>'Inputs by customer type'!L104</f>
        <v>0</v>
      </c>
      <c r="M136" s="239"/>
      <c r="N136" s="472">
        <f>'Inputs by customer type'!N104</f>
        <v>3047.5603895286363</v>
      </c>
      <c r="O136" s="472">
        <f>'Inputs by customer type'!O104</f>
        <v>0</v>
      </c>
      <c r="P136" s="472">
        <f>'Inputs by customer type'!P104</f>
        <v>0</v>
      </c>
      <c r="Q136" s="239"/>
      <c r="R136" s="239"/>
      <c r="S136" s="239"/>
      <c r="T136" s="239"/>
      <c r="U136" s="239"/>
      <c r="V136" s="239"/>
      <c r="W136" s="239"/>
      <c r="X136" s="239"/>
      <c r="Y136" s="239"/>
      <c r="AQ136" s="88"/>
    </row>
    <row r="137" spans="5:43" x14ac:dyDescent="0.25">
      <c r="E137" s="96"/>
      <c r="F137" s="109" t="s">
        <v>203</v>
      </c>
      <c r="G137" s="109" t="s">
        <v>169</v>
      </c>
      <c r="J137" s="239"/>
      <c r="K137" s="239"/>
      <c r="L137" s="472">
        <f>'Inputs by customer type'!L105</f>
        <v>0</v>
      </c>
      <c r="M137" s="239"/>
      <c r="N137" s="472">
        <f>'Inputs by customer type'!N105</f>
        <v>2.7544833600222645</v>
      </c>
      <c r="O137" s="472">
        <f>'Inputs by customer type'!O105</f>
        <v>0</v>
      </c>
      <c r="P137" s="472">
        <f>'Inputs by customer type'!P105</f>
        <v>0</v>
      </c>
      <c r="Q137" s="239"/>
      <c r="R137" s="239"/>
      <c r="S137" s="239"/>
      <c r="T137" s="239"/>
      <c r="U137" s="239"/>
      <c r="V137" s="239"/>
      <c r="W137" s="239"/>
      <c r="X137" s="239"/>
      <c r="Y137" s="239"/>
      <c r="AQ137" s="88"/>
    </row>
    <row r="138" spans="5:43" x14ac:dyDescent="0.25">
      <c r="E138" s="96"/>
      <c r="F138" s="36" t="s">
        <v>204</v>
      </c>
      <c r="G138" s="36" t="s">
        <v>170</v>
      </c>
      <c r="H138" s="93"/>
      <c r="I138" s="93"/>
      <c r="J138" s="240"/>
      <c r="K138" s="240"/>
      <c r="L138" s="274">
        <f>'Inputs by customer type'!L106</f>
        <v>0</v>
      </c>
      <c r="M138" s="240"/>
      <c r="N138" s="274">
        <f>'Inputs by customer type'!N106</f>
        <v>292.18497990793986</v>
      </c>
      <c r="O138" s="274">
        <f>'Inputs by customer type'!O106</f>
        <v>0</v>
      </c>
      <c r="P138" s="274">
        <f>'Inputs by customer type'!P106</f>
        <v>0</v>
      </c>
      <c r="Q138" s="240"/>
      <c r="R138" s="240"/>
      <c r="S138" s="240"/>
      <c r="T138" s="240"/>
      <c r="U138" s="240"/>
      <c r="V138" s="240"/>
      <c r="W138" s="240"/>
      <c r="X138" s="240"/>
      <c r="Y138" s="240"/>
      <c r="AQ138" s="88"/>
    </row>
    <row r="139" spans="5:43" x14ac:dyDescent="0.25">
      <c r="AQ139" s="88"/>
    </row>
    <row r="140" spans="5:43" x14ac:dyDescent="0.25">
      <c r="E140" s="96" t="s">
        <v>1053</v>
      </c>
      <c r="G140" s="108"/>
      <c r="I140" s="293" t="s">
        <v>359</v>
      </c>
      <c r="AQ140" s="88"/>
    </row>
    <row r="141" spans="5:43" x14ac:dyDescent="0.25">
      <c r="E141" s="96"/>
      <c r="F141" s="40" t="s">
        <v>199</v>
      </c>
      <c r="G141" s="40" t="s">
        <v>120</v>
      </c>
      <c r="H141" s="91"/>
      <c r="I141" s="91"/>
      <c r="J141" s="238"/>
      <c r="K141" s="238"/>
      <c r="L141" s="272">
        <f>'Inputs by customer type'!L109</f>
        <v>282.29158270378559</v>
      </c>
      <c r="M141" s="238"/>
      <c r="N141" s="272">
        <f>'Inputs by customer type'!N109</f>
        <v>798.45764041685936</v>
      </c>
      <c r="O141" s="272">
        <f>'Inputs by customer type'!O109</f>
        <v>0</v>
      </c>
      <c r="P141" s="272">
        <f>'Inputs by customer type'!P109</f>
        <v>0</v>
      </c>
      <c r="Q141" s="238"/>
      <c r="R141" s="238"/>
      <c r="S141" s="238"/>
      <c r="T141" s="238"/>
      <c r="U141" s="238"/>
      <c r="V141" s="238"/>
      <c r="W141" s="238"/>
      <c r="X141" s="238"/>
      <c r="Y141" s="238"/>
      <c r="AQ141" s="88"/>
    </row>
    <row r="142" spans="5:43" x14ac:dyDescent="0.25">
      <c r="E142" s="96"/>
      <c r="F142" s="109" t="s">
        <v>200</v>
      </c>
      <c r="G142" s="109" t="s">
        <v>120</v>
      </c>
      <c r="J142" s="239"/>
      <c r="K142" s="239"/>
      <c r="L142" s="472">
        <f>'Inputs by customer type'!L110</f>
        <v>1792.7022558570684</v>
      </c>
      <c r="M142" s="239"/>
      <c r="N142" s="472">
        <f>'Inputs by customer type'!N110</f>
        <v>4678.3457020317728</v>
      </c>
      <c r="O142" s="472">
        <f>'Inputs by customer type'!O110</f>
        <v>0</v>
      </c>
      <c r="P142" s="472">
        <f>'Inputs by customer type'!P110</f>
        <v>0</v>
      </c>
      <c r="Q142" s="239"/>
      <c r="R142" s="239"/>
      <c r="S142" s="239"/>
      <c r="T142" s="239"/>
      <c r="U142" s="239"/>
      <c r="V142" s="239"/>
      <c r="W142" s="239"/>
      <c r="X142" s="239"/>
      <c r="Y142" s="239"/>
      <c r="AQ142" s="88"/>
    </row>
    <row r="143" spans="5:43" x14ac:dyDescent="0.25">
      <c r="E143" s="96"/>
      <c r="F143" s="109" t="s">
        <v>201</v>
      </c>
      <c r="G143" s="109" t="s">
        <v>120</v>
      </c>
      <c r="J143" s="239"/>
      <c r="K143" s="239"/>
      <c r="L143" s="472">
        <f>'Inputs by customer type'!L111</f>
        <v>806.54381714995623</v>
      </c>
      <c r="M143" s="239"/>
      <c r="N143" s="472">
        <f>'Inputs by customer type'!N111</f>
        <v>2773.9107022176709</v>
      </c>
      <c r="O143" s="472">
        <f>'Inputs by customer type'!O111</f>
        <v>0</v>
      </c>
      <c r="P143" s="472">
        <f>'Inputs by customer type'!P111</f>
        <v>0</v>
      </c>
      <c r="Q143" s="239"/>
      <c r="R143" s="239"/>
      <c r="S143" s="239"/>
      <c r="T143" s="239"/>
      <c r="U143" s="239"/>
      <c r="V143" s="239"/>
      <c r="W143" s="239"/>
      <c r="X143" s="239"/>
      <c r="Y143" s="239"/>
      <c r="AQ143" s="88"/>
    </row>
    <row r="144" spans="5:43" x14ac:dyDescent="0.25">
      <c r="E144" s="96"/>
      <c r="F144" s="109" t="s">
        <v>74</v>
      </c>
      <c r="G144" s="109" t="s">
        <v>74</v>
      </c>
      <c r="J144" s="239"/>
      <c r="K144" s="239"/>
      <c r="L144" s="472">
        <f>'Inputs by customer type'!L112</f>
        <v>63.012024979810668</v>
      </c>
      <c r="M144" s="239"/>
      <c r="N144" s="472">
        <f>'Inputs by customer type'!N112</f>
        <v>24.106550289142305</v>
      </c>
      <c r="O144" s="472">
        <f>'Inputs by customer type'!O112</f>
        <v>0</v>
      </c>
      <c r="P144" s="472">
        <f>'Inputs by customer type'!P112</f>
        <v>0</v>
      </c>
      <c r="Q144" s="239"/>
      <c r="R144" s="239"/>
      <c r="S144" s="239"/>
      <c r="T144" s="239"/>
      <c r="U144" s="239"/>
      <c r="V144" s="239"/>
      <c r="W144" s="239"/>
      <c r="X144" s="239"/>
      <c r="Y144" s="239"/>
      <c r="AQ144" s="88"/>
    </row>
    <row r="145" spans="3:43" x14ac:dyDescent="0.25">
      <c r="E145" s="96"/>
      <c r="F145" s="109" t="s">
        <v>202</v>
      </c>
      <c r="G145" s="109" t="s">
        <v>169</v>
      </c>
      <c r="J145" s="239"/>
      <c r="K145" s="239"/>
      <c r="L145" s="472">
        <f>'Inputs by customer type'!L113</f>
        <v>0</v>
      </c>
      <c r="M145" s="239"/>
      <c r="N145" s="472">
        <f>'Inputs by customer type'!N113</f>
        <v>10026.163121719288</v>
      </c>
      <c r="O145" s="472">
        <f>'Inputs by customer type'!O113</f>
        <v>0</v>
      </c>
      <c r="P145" s="472">
        <f>'Inputs by customer type'!P113</f>
        <v>0</v>
      </c>
      <c r="Q145" s="239"/>
      <c r="R145" s="239"/>
      <c r="S145" s="239"/>
      <c r="T145" s="239"/>
      <c r="U145" s="239"/>
      <c r="V145" s="239"/>
      <c r="W145" s="239"/>
      <c r="X145" s="239"/>
      <c r="Y145" s="239"/>
      <c r="AQ145" s="88"/>
    </row>
    <row r="146" spans="3:43" x14ac:dyDescent="0.25">
      <c r="E146" s="96"/>
      <c r="F146" s="109" t="s">
        <v>203</v>
      </c>
      <c r="G146" s="109" t="s">
        <v>169</v>
      </c>
      <c r="J146" s="239"/>
      <c r="K146" s="239"/>
      <c r="L146" s="472">
        <f>'Inputs by customer type'!L114</f>
        <v>0</v>
      </c>
      <c r="M146" s="239"/>
      <c r="N146" s="472">
        <f>'Inputs by customer type'!N114</f>
        <v>9.0619695604838029</v>
      </c>
      <c r="O146" s="472">
        <f>'Inputs by customer type'!O114</f>
        <v>0</v>
      </c>
      <c r="P146" s="472">
        <f>'Inputs by customer type'!P114</f>
        <v>0</v>
      </c>
      <c r="Q146" s="239"/>
      <c r="R146" s="239"/>
      <c r="S146" s="239"/>
      <c r="T146" s="239"/>
      <c r="U146" s="239"/>
      <c r="V146" s="239"/>
      <c r="W146" s="239"/>
      <c r="X146" s="239"/>
      <c r="Y146" s="239"/>
      <c r="AQ146" s="88"/>
    </row>
    <row r="147" spans="3:43" x14ac:dyDescent="0.25">
      <c r="E147" s="96"/>
      <c r="F147" s="36" t="s">
        <v>204</v>
      </c>
      <c r="G147" s="36" t="s">
        <v>170</v>
      </c>
      <c r="H147" s="93"/>
      <c r="I147" s="93"/>
      <c r="J147" s="240"/>
      <c r="K147" s="240"/>
      <c r="L147" s="274">
        <f>'Inputs by customer type'!L115</f>
        <v>0</v>
      </c>
      <c r="M147" s="240"/>
      <c r="N147" s="274">
        <f>'Inputs by customer type'!N115</f>
        <v>961.25880896042884</v>
      </c>
      <c r="O147" s="274">
        <f>'Inputs by customer type'!O115</f>
        <v>0</v>
      </c>
      <c r="P147" s="274">
        <f>'Inputs by customer type'!P115</f>
        <v>0</v>
      </c>
      <c r="Q147" s="240"/>
      <c r="R147" s="240"/>
      <c r="S147" s="240"/>
      <c r="T147" s="240"/>
      <c r="U147" s="240"/>
      <c r="V147" s="240"/>
      <c r="W147" s="240"/>
      <c r="X147" s="240"/>
      <c r="Y147" s="240"/>
      <c r="AQ147" s="88"/>
    </row>
    <row r="148" spans="3:43" x14ac:dyDescent="0.25">
      <c r="AQ148" s="88"/>
    </row>
    <row r="149" spans="3:43" x14ac:dyDescent="0.25">
      <c r="C149" s="82"/>
      <c r="D149" s="82" t="s">
        <v>1074</v>
      </c>
      <c r="AQ149" s="88"/>
    </row>
    <row r="150" spans="3:43" x14ac:dyDescent="0.25">
      <c r="AQ150" s="88"/>
    </row>
    <row r="151" spans="3:43" x14ac:dyDescent="0.25">
      <c r="E151" s="96" t="s">
        <v>1055</v>
      </c>
      <c r="G151" s="108"/>
      <c r="I151" s="293" t="s">
        <v>359</v>
      </c>
      <c r="AQ151" s="88"/>
    </row>
    <row r="152" spans="3:43" x14ac:dyDescent="0.25">
      <c r="E152" s="96"/>
      <c r="F152" s="40" t="s">
        <v>199</v>
      </c>
      <c r="G152" s="40" t="s">
        <v>120</v>
      </c>
      <c r="H152" s="91"/>
      <c r="I152" s="91"/>
      <c r="J152" s="238"/>
      <c r="K152" s="272">
        <f>'Inputs by customer type'!K120</f>
        <v>179.77446786950873</v>
      </c>
      <c r="L152" s="272">
        <f>'Inputs by customer type'!L120</f>
        <v>8.5000605450719816E-2</v>
      </c>
      <c r="M152" s="272">
        <f>'Inputs by customer type'!M120</f>
        <v>50.994806112427376</v>
      </c>
      <c r="N152" s="272">
        <f>'Inputs by customer type'!N120</f>
        <v>2.5727093827384553</v>
      </c>
      <c r="O152" s="272">
        <f>'Inputs by customer type'!O120</f>
        <v>0</v>
      </c>
      <c r="P152" s="272">
        <f>'Inputs by customer type'!P120</f>
        <v>1.946449261641106</v>
      </c>
      <c r="Q152" s="238"/>
      <c r="R152" s="272">
        <f>'Inputs by customer type'!R120</f>
        <v>5.4054629554655884</v>
      </c>
      <c r="S152" s="272">
        <f>'Inputs by customer type'!S120</f>
        <v>3.2511697241080468</v>
      </c>
      <c r="T152" s="272">
        <f>'Inputs by customer type'!T120</f>
        <v>10.272978968253968</v>
      </c>
      <c r="U152" s="272">
        <f>'Inputs by customer type'!U120</f>
        <v>0</v>
      </c>
      <c r="V152" s="272">
        <f>'Inputs by customer type'!V120</f>
        <v>0</v>
      </c>
      <c r="W152" s="272">
        <f>'Inputs by customer type'!W120</f>
        <v>0</v>
      </c>
      <c r="X152" s="272">
        <f>'Inputs by customer type'!X120</f>
        <v>25.409700000000001</v>
      </c>
      <c r="Y152" s="272">
        <f>'Inputs by customer type'!Y120</f>
        <v>0</v>
      </c>
      <c r="AQ152" s="88"/>
    </row>
    <row r="153" spans="3:43" x14ac:dyDescent="0.25">
      <c r="E153" s="96"/>
      <c r="F153" s="109" t="s">
        <v>200</v>
      </c>
      <c r="G153" s="109" t="s">
        <v>120</v>
      </c>
      <c r="J153" s="239"/>
      <c r="K153" s="472">
        <f>'Inputs by customer type'!K121</f>
        <v>844.36342956518479</v>
      </c>
      <c r="L153" s="472">
        <f>'Inputs by customer type'!L121</f>
        <v>0.58630721734623636</v>
      </c>
      <c r="M153" s="472">
        <f>'Inputs by customer type'!M121</f>
        <v>311.10576867355189</v>
      </c>
      <c r="N153" s="472">
        <f>'Inputs by customer type'!N121</f>
        <v>13.832706372048838</v>
      </c>
      <c r="O153" s="472">
        <f>'Inputs by customer type'!O121</f>
        <v>0</v>
      </c>
      <c r="P153" s="472">
        <f>'Inputs by customer type'!P121</f>
        <v>8.0794601484360076</v>
      </c>
      <c r="Q153" s="239"/>
      <c r="R153" s="472">
        <f>'Inputs by customer type'!R121</f>
        <v>46.327257006571251</v>
      </c>
      <c r="S153" s="472">
        <f>'Inputs by customer type'!S121</f>
        <v>12.776181565765997</v>
      </c>
      <c r="T153" s="472">
        <f>'Inputs by customer type'!T121</f>
        <v>44.359057142857147</v>
      </c>
      <c r="U153" s="472">
        <f>'Inputs by customer type'!U121</f>
        <v>0</v>
      </c>
      <c r="V153" s="472">
        <f>'Inputs by customer type'!V121</f>
        <v>0</v>
      </c>
      <c r="W153" s="472">
        <f>'Inputs by customer type'!W121</f>
        <v>0</v>
      </c>
      <c r="X153" s="472">
        <f>'Inputs by customer type'!X121</f>
        <v>1.0569</v>
      </c>
      <c r="Y153" s="472">
        <f>'Inputs by customer type'!Y121</f>
        <v>0</v>
      </c>
      <c r="AQ153" s="88"/>
    </row>
    <row r="154" spans="3:43" x14ac:dyDescent="0.25">
      <c r="E154" s="96"/>
      <c r="F154" s="109" t="s">
        <v>201</v>
      </c>
      <c r="G154" s="109" t="s">
        <v>120</v>
      </c>
      <c r="J154" s="239"/>
      <c r="K154" s="472">
        <f>'Inputs by customer type'!K122</f>
        <v>757.85400103071845</v>
      </c>
      <c r="L154" s="472">
        <f>'Inputs by customer type'!L122</f>
        <v>0.22915121924768586</v>
      </c>
      <c r="M154" s="472">
        <f>'Inputs by customer type'!M122</f>
        <v>157.64075203394657</v>
      </c>
      <c r="N154" s="472">
        <f>'Inputs by customer type'!N122</f>
        <v>7.6232102440074456</v>
      </c>
      <c r="O154" s="472">
        <f>'Inputs by customer type'!O122</f>
        <v>0</v>
      </c>
      <c r="P154" s="472">
        <f>'Inputs by customer type'!P122</f>
        <v>5.7613474219684608</v>
      </c>
      <c r="Q154" s="239"/>
      <c r="R154" s="472">
        <f>'Inputs by customer type'!R122</f>
        <v>4.5925501092132963</v>
      </c>
      <c r="S154" s="472">
        <f>'Inputs by customer type'!S122</f>
        <v>4.3867903210204036</v>
      </c>
      <c r="T154" s="472">
        <f>'Inputs by customer type'!T122</f>
        <v>30.278270238095242</v>
      </c>
      <c r="U154" s="472">
        <f>'Inputs by customer type'!U122</f>
        <v>0</v>
      </c>
      <c r="V154" s="472">
        <f>'Inputs by customer type'!V122</f>
        <v>0</v>
      </c>
      <c r="W154" s="472">
        <f>'Inputs by customer type'!W122</f>
        <v>0</v>
      </c>
      <c r="X154" s="472">
        <f>'Inputs by customer type'!X122</f>
        <v>0</v>
      </c>
      <c r="Y154" s="472">
        <f>'Inputs by customer type'!Y122</f>
        <v>0</v>
      </c>
      <c r="AQ154" s="88"/>
    </row>
    <row r="155" spans="3:43" x14ac:dyDescent="0.25">
      <c r="E155" s="96"/>
      <c r="F155" s="109" t="s">
        <v>74</v>
      </c>
      <c r="G155" s="109" t="s">
        <v>74</v>
      </c>
      <c r="J155" s="239"/>
      <c r="K155" s="472">
        <f>'Inputs by customer type'!K123</f>
        <v>532</v>
      </c>
      <c r="L155" s="472">
        <f>'Inputs by customer type'!L123</f>
        <v>5.6530833804223767E-2</v>
      </c>
      <c r="M155" s="472">
        <f>'Inputs by customer type'!M123</f>
        <v>9.5483870967741939</v>
      </c>
      <c r="N155" s="472">
        <f>'Inputs by customer type'!N123</f>
        <v>0.35071356901386325</v>
      </c>
      <c r="O155" s="472">
        <f>'Inputs by customer type'!O123</f>
        <v>0</v>
      </c>
      <c r="P155" s="472">
        <f>'Inputs by customer type'!P123</f>
        <v>0.59631521013407429</v>
      </c>
      <c r="Q155" s="239"/>
      <c r="R155" s="472">
        <f>'Inputs by customer type'!R123</f>
        <v>6</v>
      </c>
      <c r="S155" s="472">
        <f>'Inputs by customer type'!S123</f>
        <v>6</v>
      </c>
      <c r="T155" s="472">
        <f>'Inputs by customer type'!T123</f>
        <v>1</v>
      </c>
      <c r="U155" s="472">
        <f>'Inputs by customer type'!U123</f>
        <v>0</v>
      </c>
      <c r="V155" s="472">
        <f>'Inputs by customer type'!V123</f>
        <v>1</v>
      </c>
      <c r="W155" s="472">
        <f>'Inputs by customer type'!W123</f>
        <v>0</v>
      </c>
      <c r="X155" s="472">
        <f>'Inputs by customer type'!X123</f>
        <v>1</v>
      </c>
      <c r="Y155" s="472">
        <f>'Inputs by customer type'!Y123</f>
        <v>0</v>
      </c>
      <c r="AQ155" s="88"/>
    </row>
    <row r="156" spans="3:43" x14ac:dyDescent="0.25">
      <c r="E156" s="96"/>
      <c r="F156" s="109" t="s">
        <v>202</v>
      </c>
      <c r="G156" s="109" t="s">
        <v>169</v>
      </c>
      <c r="J156" s="239"/>
      <c r="K156" s="472">
        <f>'Inputs by customer type'!K124</f>
        <v>0</v>
      </c>
      <c r="L156" s="472">
        <f>'Inputs by customer type'!L124</f>
        <v>0</v>
      </c>
      <c r="M156" s="472">
        <f>'Inputs by customer type'!M124</f>
        <v>0</v>
      </c>
      <c r="N156" s="472">
        <f>'Inputs by customer type'!N124</f>
        <v>28.28566208954037</v>
      </c>
      <c r="O156" s="472">
        <f>'Inputs by customer type'!O124</f>
        <v>0</v>
      </c>
      <c r="P156" s="472">
        <f>'Inputs by customer type'!P124</f>
        <v>15.015345819402729</v>
      </c>
      <c r="Q156" s="239"/>
      <c r="R156" s="472">
        <f>'Inputs by customer type'!R124</f>
        <v>0</v>
      </c>
      <c r="S156" s="472">
        <f>'Inputs by customer type'!S124</f>
        <v>0</v>
      </c>
      <c r="T156" s="472">
        <f>'Inputs by customer type'!T124</f>
        <v>0</v>
      </c>
      <c r="U156" s="472">
        <f>'Inputs by customer type'!U124</f>
        <v>0</v>
      </c>
      <c r="V156" s="472">
        <f>'Inputs by customer type'!V124</f>
        <v>0</v>
      </c>
      <c r="W156" s="472">
        <f>'Inputs by customer type'!W124</f>
        <v>0</v>
      </c>
      <c r="X156" s="472">
        <f>'Inputs by customer type'!X124</f>
        <v>0</v>
      </c>
      <c r="Y156" s="472">
        <f>'Inputs by customer type'!Y124</f>
        <v>0</v>
      </c>
      <c r="AQ156" s="88"/>
    </row>
    <row r="157" spans="3:43" x14ac:dyDescent="0.25">
      <c r="E157" s="96"/>
      <c r="F157" s="109" t="s">
        <v>203</v>
      </c>
      <c r="G157" s="109" t="s">
        <v>169</v>
      </c>
      <c r="J157" s="239"/>
      <c r="K157" s="472">
        <f>'Inputs by customer type'!K125</f>
        <v>0</v>
      </c>
      <c r="L157" s="472">
        <f>'Inputs by customer type'!L125</f>
        <v>0</v>
      </c>
      <c r="M157" s="472">
        <f>'Inputs by customer type'!M125</f>
        <v>0</v>
      </c>
      <c r="N157" s="472">
        <f>'Inputs by customer type'!N125</f>
        <v>1.6630050077685223E-2</v>
      </c>
      <c r="O157" s="472">
        <f>'Inputs by customer type'!O125</f>
        <v>0</v>
      </c>
      <c r="P157" s="472">
        <f>'Inputs by customer type'!P125</f>
        <v>1.9248055262022282E-2</v>
      </c>
      <c r="Q157" s="239"/>
      <c r="R157" s="472">
        <f>'Inputs by customer type'!R125</f>
        <v>0</v>
      </c>
      <c r="S157" s="472">
        <f>'Inputs by customer type'!S125</f>
        <v>0</v>
      </c>
      <c r="T157" s="472">
        <f>'Inputs by customer type'!T125</f>
        <v>0</v>
      </c>
      <c r="U157" s="472">
        <f>'Inputs by customer type'!U125</f>
        <v>0</v>
      </c>
      <c r="V157" s="472">
        <f>'Inputs by customer type'!V125</f>
        <v>0</v>
      </c>
      <c r="W157" s="472">
        <f>'Inputs by customer type'!W125</f>
        <v>0</v>
      </c>
      <c r="X157" s="472">
        <f>'Inputs by customer type'!X125</f>
        <v>0</v>
      </c>
      <c r="Y157" s="472">
        <f>'Inputs by customer type'!Y125</f>
        <v>0</v>
      </c>
      <c r="AQ157" s="88"/>
    </row>
    <row r="158" spans="3:43" x14ac:dyDescent="0.25">
      <c r="E158" s="96"/>
      <c r="F158" s="36" t="s">
        <v>204</v>
      </c>
      <c r="G158" s="36" t="s">
        <v>170</v>
      </c>
      <c r="H158" s="93"/>
      <c r="I158" s="93"/>
      <c r="J158" s="240"/>
      <c r="K158" s="274">
        <f>'Inputs by customer type'!K126</f>
        <v>0</v>
      </c>
      <c r="L158" s="274">
        <f>'Inputs by customer type'!L126</f>
        <v>0</v>
      </c>
      <c r="M158" s="274">
        <f>'Inputs by customer type'!M126</f>
        <v>0</v>
      </c>
      <c r="N158" s="274">
        <f>'Inputs by customer type'!N126</f>
        <v>2.4262549284479116</v>
      </c>
      <c r="O158" s="274">
        <f>'Inputs by customer type'!O126</f>
        <v>0</v>
      </c>
      <c r="P158" s="274">
        <f>'Inputs by customer type'!P126</f>
        <v>0.94088390787221343</v>
      </c>
      <c r="Q158" s="240"/>
      <c r="R158" s="274">
        <f>'Inputs by customer type'!R126</f>
        <v>0</v>
      </c>
      <c r="S158" s="274">
        <f>'Inputs by customer type'!S126</f>
        <v>0</v>
      </c>
      <c r="T158" s="274">
        <f>'Inputs by customer type'!T126</f>
        <v>0</v>
      </c>
      <c r="U158" s="274">
        <f>'Inputs by customer type'!U126</f>
        <v>0</v>
      </c>
      <c r="V158" s="274">
        <f>'Inputs by customer type'!V126</f>
        <v>0</v>
      </c>
      <c r="W158" s="274">
        <f>'Inputs by customer type'!W126</f>
        <v>0</v>
      </c>
      <c r="X158" s="274">
        <f>'Inputs by customer type'!X126</f>
        <v>0</v>
      </c>
      <c r="Y158" s="274">
        <f>'Inputs by customer type'!Y126</f>
        <v>0</v>
      </c>
      <c r="AQ158" s="88"/>
    </row>
    <row r="159" spans="3:43" x14ac:dyDescent="0.25">
      <c r="AQ159" s="88"/>
    </row>
    <row r="160" spans="3:43" x14ac:dyDescent="0.25">
      <c r="E160" s="96" t="s">
        <v>1056</v>
      </c>
      <c r="G160" s="108"/>
      <c r="I160" s="293" t="s">
        <v>359</v>
      </c>
      <c r="AQ160" s="88"/>
    </row>
    <row r="161" spans="5:43" x14ac:dyDescent="0.25">
      <c r="E161" s="96"/>
      <c r="F161" s="40" t="s">
        <v>199</v>
      </c>
      <c r="G161" s="40" t="s">
        <v>120</v>
      </c>
      <c r="H161" s="91"/>
      <c r="I161" s="91"/>
      <c r="J161" s="272">
        <f>'Inputs by customer type'!J129</f>
        <v>44670.593528846104</v>
      </c>
      <c r="K161" s="238"/>
      <c r="L161" s="272">
        <f>'Inputs by customer type'!L129</f>
        <v>105.97944758038054</v>
      </c>
      <c r="M161" s="238"/>
      <c r="N161" s="272">
        <f>'Inputs by customer type'!N129</f>
        <v>2564.8908079741745</v>
      </c>
      <c r="O161" s="272">
        <f>'Inputs by customer type'!O129</f>
        <v>10.208910205854352</v>
      </c>
      <c r="P161" s="272">
        <f>'Inputs by customer type'!P129</f>
        <v>215.5864947703501</v>
      </c>
      <c r="Q161" s="272">
        <f>'Inputs by customer type'!Q129</f>
        <v>93.792650881413181</v>
      </c>
      <c r="R161" s="238"/>
      <c r="S161" s="238"/>
      <c r="T161" s="238"/>
      <c r="U161" s="238"/>
      <c r="V161" s="238"/>
      <c r="W161" s="238"/>
      <c r="X161" s="238"/>
      <c r="Y161" s="238"/>
      <c r="AQ161" s="88"/>
    </row>
    <row r="162" spans="5:43" x14ac:dyDescent="0.25">
      <c r="E162" s="96"/>
      <c r="F162" s="109" t="s">
        <v>200</v>
      </c>
      <c r="G162" s="109" t="s">
        <v>120</v>
      </c>
      <c r="J162" s="472">
        <f>'Inputs by customer type'!J130</f>
        <v>188586.48344018924</v>
      </c>
      <c r="K162" s="239"/>
      <c r="L162" s="472">
        <f>'Inputs by customer type'!L130</f>
        <v>731.01261664269748</v>
      </c>
      <c r="M162" s="239"/>
      <c r="N162" s="472">
        <f>'Inputs by customer type'!N130</f>
        <v>13790.668180837714</v>
      </c>
      <c r="O162" s="472">
        <f>'Inputs by customer type'!O130</f>
        <v>57.966016181635908</v>
      </c>
      <c r="P162" s="472">
        <f>'Inputs by customer type'!P130</f>
        <v>894.87176848857177</v>
      </c>
      <c r="Q162" s="472">
        <f>'Inputs by customer type'!Q130</f>
        <v>576.08956419110757</v>
      </c>
      <c r="R162" s="239"/>
      <c r="S162" s="239"/>
      <c r="T162" s="239"/>
      <c r="U162" s="239"/>
      <c r="V162" s="239"/>
      <c r="W162" s="239"/>
      <c r="X162" s="239"/>
      <c r="Y162" s="239"/>
      <c r="AQ162" s="88"/>
    </row>
    <row r="163" spans="5:43" x14ac:dyDescent="0.25">
      <c r="E163" s="96"/>
      <c r="F163" s="109" t="s">
        <v>201</v>
      </c>
      <c r="G163" s="109" t="s">
        <v>120</v>
      </c>
      <c r="J163" s="472">
        <f>'Inputs by customer type'!J131</f>
        <v>86625.588105867108</v>
      </c>
      <c r="K163" s="239"/>
      <c r="L163" s="472">
        <f>'Inputs by customer type'!L131</f>
        <v>285.70760760427919</v>
      </c>
      <c r="M163" s="239"/>
      <c r="N163" s="472">
        <f>'Inputs by customer type'!N131</f>
        <v>7600.0429793189005</v>
      </c>
      <c r="O163" s="472">
        <f>'Inputs by customer type'!O131</f>
        <v>32.406666317748588</v>
      </c>
      <c r="P163" s="472">
        <f>'Inputs by customer type'!P131</f>
        <v>638.12025329093376</v>
      </c>
      <c r="Q163" s="472">
        <f>'Inputs by customer type'!Q131</f>
        <v>467.62435887244271</v>
      </c>
      <c r="R163" s="239"/>
      <c r="S163" s="239"/>
      <c r="T163" s="239"/>
      <c r="U163" s="239"/>
      <c r="V163" s="239"/>
      <c r="W163" s="239"/>
      <c r="X163" s="239"/>
      <c r="Y163" s="239"/>
      <c r="AQ163" s="88"/>
    </row>
    <row r="164" spans="5:43" x14ac:dyDescent="0.25">
      <c r="E164" s="96"/>
      <c r="F164" s="109" t="s">
        <v>74</v>
      </c>
      <c r="G164" s="109" t="s">
        <v>74</v>
      </c>
      <c r="J164" s="472">
        <f>'Inputs by customer type'!J132</f>
        <v>115145.92079188582</v>
      </c>
      <c r="K164" s="239"/>
      <c r="L164" s="472">
        <f>'Inputs by customer type'!L132</f>
        <v>619.49770118179629</v>
      </c>
      <c r="M164" s="239"/>
      <c r="N164" s="472">
        <f>'Inputs by customer type'!N132</f>
        <v>289.65169686899787</v>
      </c>
      <c r="O164" s="472">
        <f>'Inputs by customer type'!O132</f>
        <v>0.875</v>
      </c>
      <c r="P164" s="472">
        <f>'Inputs by customer type'!P132</f>
        <v>3.849071584531822</v>
      </c>
      <c r="Q164" s="472">
        <f>'Inputs by customer type'!Q132</f>
        <v>502</v>
      </c>
      <c r="R164" s="239"/>
      <c r="S164" s="239"/>
      <c r="T164" s="239"/>
      <c r="U164" s="239"/>
      <c r="V164" s="239"/>
      <c r="W164" s="239"/>
      <c r="X164" s="239"/>
      <c r="Y164" s="239"/>
      <c r="AQ164" s="88"/>
    </row>
    <row r="165" spans="5:43" x14ac:dyDescent="0.25">
      <c r="E165" s="96"/>
      <c r="F165" s="109" t="s">
        <v>202</v>
      </c>
      <c r="G165" s="109" t="s">
        <v>169</v>
      </c>
      <c r="J165" s="472">
        <f>'Inputs by customer type'!J133</f>
        <v>0</v>
      </c>
      <c r="K165" s="239"/>
      <c r="L165" s="472">
        <f>'Inputs by customer type'!L133</f>
        <v>0</v>
      </c>
      <c r="M165" s="239"/>
      <c r="N165" s="472">
        <f>'Inputs by customer type'!N133</f>
        <v>28199.700742608577</v>
      </c>
      <c r="O165" s="472">
        <f>'Inputs by customer type'!O133</f>
        <v>118.53631342500071</v>
      </c>
      <c r="P165" s="472">
        <f>'Inputs by customer type'!P133</f>
        <v>1663.0825353445739</v>
      </c>
      <c r="Q165" s="472">
        <f>'Inputs by customer type'!Q133</f>
        <v>0</v>
      </c>
      <c r="R165" s="239"/>
      <c r="S165" s="239"/>
      <c r="T165" s="239"/>
      <c r="U165" s="239"/>
      <c r="V165" s="239"/>
      <c r="W165" s="239"/>
      <c r="X165" s="239"/>
      <c r="Y165" s="239"/>
      <c r="AQ165" s="88"/>
    </row>
    <row r="166" spans="5:43" x14ac:dyDescent="0.25">
      <c r="E166" s="96"/>
      <c r="F166" s="109" t="s">
        <v>203</v>
      </c>
      <c r="G166" s="109" t="s">
        <v>169</v>
      </c>
      <c r="J166" s="472">
        <f>'Inputs by customer type'!J134</f>
        <v>0</v>
      </c>
      <c r="K166" s="239"/>
      <c r="L166" s="472">
        <f>'Inputs by customer type'!L134</f>
        <v>0</v>
      </c>
      <c r="M166" s="239"/>
      <c r="N166" s="472">
        <f>'Inputs by customer type'!N134</f>
        <v>16.579510638314996</v>
      </c>
      <c r="O166" s="472">
        <f>'Inputs by customer type'!O134</f>
        <v>0.64913503177350218</v>
      </c>
      <c r="P166" s="472">
        <f>'Inputs by customer type'!P134</f>
        <v>2.1318925937924087</v>
      </c>
      <c r="Q166" s="472">
        <f>'Inputs by customer type'!Q134</f>
        <v>0</v>
      </c>
      <c r="R166" s="239"/>
      <c r="S166" s="239"/>
      <c r="T166" s="239"/>
      <c r="U166" s="239"/>
      <c r="V166" s="239"/>
      <c r="W166" s="239"/>
      <c r="X166" s="239"/>
      <c r="Y166" s="239"/>
      <c r="AQ166" s="88"/>
    </row>
    <row r="167" spans="5:43" x14ac:dyDescent="0.25">
      <c r="E167" s="96"/>
      <c r="F167" s="36" t="s">
        <v>204</v>
      </c>
      <c r="G167" s="36" t="s">
        <v>170</v>
      </c>
      <c r="H167" s="93"/>
      <c r="I167" s="93"/>
      <c r="J167" s="274">
        <f>'Inputs by customer type'!J135</f>
        <v>0</v>
      </c>
      <c r="K167" s="240"/>
      <c r="L167" s="274">
        <f>'Inputs by customer type'!L135</f>
        <v>0</v>
      </c>
      <c r="M167" s="240"/>
      <c r="N167" s="274">
        <f>'Inputs by customer type'!N135</f>
        <v>2418.8814350861844</v>
      </c>
      <c r="O167" s="274">
        <f>'Inputs by customer type'!O135</f>
        <v>8.9737326867486686</v>
      </c>
      <c r="P167" s="274">
        <f>'Inputs by customer type'!P135</f>
        <v>104.21122588778802</v>
      </c>
      <c r="Q167" s="274">
        <f>'Inputs by customer type'!Q135</f>
        <v>0</v>
      </c>
      <c r="R167" s="240"/>
      <c r="S167" s="240"/>
      <c r="T167" s="240"/>
      <c r="U167" s="240"/>
      <c r="V167" s="240"/>
      <c r="W167" s="240"/>
      <c r="X167" s="240"/>
      <c r="Y167" s="240"/>
      <c r="AQ167" s="88"/>
    </row>
    <row r="168" spans="5:43" x14ac:dyDescent="0.25">
      <c r="AQ168" s="88"/>
    </row>
    <row r="169" spans="5:43" x14ac:dyDescent="0.25">
      <c r="E169" s="96" t="s">
        <v>1057</v>
      </c>
      <c r="G169" s="108"/>
      <c r="I169" s="293" t="s">
        <v>359</v>
      </c>
      <c r="AQ169" s="88"/>
    </row>
    <row r="170" spans="5:43" x14ac:dyDescent="0.25">
      <c r="E170" s="96"/>
      <c r="F170" s="40" t="s">
        <v>199</v>
      </c>
      <c r="G170" s="40" t="s">
        <v>120</v>
      </c>
      <c r="H170" s="91"/>
      <c r="I170" s="91"/>
      <c r="J170" s="238"/>
      <c r="K170" s="238"/>
      <c r="L170" s="272">
        <f>'Inputs by customer type'!L138</f>
        <v>261.59466956810127</v>
      </c>
      <c r="M170" s="238"/>
      <c r="N170" s="272">
        <f>'Inputs by customer type'!N138</f>
        <v>2436.3584506201018</v>
      </c>
      <c r="O170" s="272">
        <f>'Inputs by customer type'!O138</f>
        <v>129.46571530946113</v>
      </c>
      <c r="P170" s="272">
        <f>'Inputs by customer type'!P138</f>
        <v>747.76435380860607</v>
      </c>
      <c r="Q170" s="238"/>
      <c r="R170" s="238"/>
      <c r="S170" s="238"/>
      <c r="T170" s="238"/>
      <c r="U170" s="238"/>
      <c r="V170" s="238"/>
      <c r="W170" s="238"/>
      <c r="X170" s="238"/>
      <c r="Y170" s="238"/>
      <c r="AQ170" s="88"/>
    </row>
    <row r="171" spans="5:43" x14ac:dyDescent="0.25">
      <c r="E171" s="96"/>
      <c r="F171" s="109" t="s">
        <v>200</v>
      </c>
      <c r="G171" s="109" t="s">
        <v>120</v>
      </c>
      <c r="J171" s="239"/>
      <c r="K171" s="239"/>
      <c r="L171" s="472">
        <f>'Inputs by customer type'!L139</f>
        <v>1804.397062512721</v>
      </c>
      <c r="M171" s="239"/>
      <c r="N171" s="472">
        <f>'Inputs by customer type'!N139</f>
        <v>13099.587264153046</v>
      </c>
      <c r="O171" s="472">
        <f>'Inputs by customer type'!O139</f>
        <v>735.10409997452359</v>
      </c>
      <c r="P171" s="472">
        <f>'Inputs by customer type'!P139</f>
        <v>3103.8735075600434</v>
      </c>
      <c r="Q171" s="239"/>
      <c r="R171" s="239"/>
      <c r="S171" s="239"/>
      <c r="T171" s="239"/>
      <c r="U171" s="239"/>
      <c r="V171" s="239"/>
      <c r="W171" s="239"/>
      <c r="X171" s="239"/>
      <c r="Y171" s="239"/>
      <c r="AQ171" s="88"/>
    </row>
    <row r="172" spans="5:43" x14ac:dyDescent="0.25">
      <c r="E172" s="96"/>
      <c r="F172" s="109" t="s">
        <v>201</v>
      </c>
      <c r="G172" s="109" t="s">
        <v>120</v>
      </c>
      <c r="J172" s="239"/>
      <c r="K172" s="239"/>
      <c r="L172" s="472">
        <f>'Inputs by customer type'!L140</f>
        <v>705.22718235200853</v>
      </c>
      <c r="M172" s="239"/>
      <c r="N172" s="472">
        <f>'Inputs by customer type'!N140</f>
        <v>7219.1879982463633</v>
      </c>
      <c r="O172" s="472">
        <f>'Inputs by customer type'!O140</f>
        <v>410.96964818207346</v>
      </c>
      <c r="P172" s="472">
        <f>'Inputs by customer type'!P140</f>
        <v>2213.327784574677</v>
      </c>
      <c r="Q172" s="239"/>
      <c r="R172" s="239"/>
      <c r="S172" s="239"/>
      <c r="T172" s="239"/>
      <c r="U172" s="239"/>
      <c r="V172" s="239"/>
      <c r="W172" s="239"/>
      <c r="X172" s="239"/>
      <c r="Y172" s="239"/>
      <c r="AQ172" s="88"/>
    </row>
    <row r="173" spans="5:43" x14ac:dyDescent="0.25">
      <c r="E173" s="96"/>
      <c r="F173" s="109" t="s">
        <v>74</v>
      </c>
      <c r="G173" s="109" t="s">
        <v>74</v>
      </c>
      <c r="J173" s="239"/>
      <c r="K173" s="239"/>
      <c r="L173" s="472">
        <f>'Inputs by customer type'!L141</f>
        <v>465.5099893681957</v>
      </c>
      <c r="M173" s="239"/>
      <c r="N173" s="472">
        <f>'Inputs by customer type'!N141</f>
        <v>149.72641061657978</v>
      </c>
      <c r="O173" s="472">
        <f>'Inputs by customer type'!O141</f>
        <v>6.6499999999999995</v>
      </c>
      <c r="P173" s="472">
        <f>'Inputs by customer type'!P141</f>
        <v>4.5758160853167809</v>
      </c>
      <c r="Q173" s="239"/>
      <c r="R173" s="239"/>
      <c r="S173" s="239"/>
      <c r="T173" s="239"/>
      <c r="U173" s="239"/>
      <c r="V173" s="239"/>
      <c r="W173" s="239"/>
      <c r="X173" s="239"/>
      <c r="Y173" s="239"/>
      <c r="AQ173" s="88"/>
    </row>
    <row r="174" spans="5:43" x14ac:dyDescent="0.25">
      <c r="E174" s="96"/>
      <c r="F174" s="109" t="s">
        <v>202</v>
      </c>
      <c r="G174" s="109" t="s">
        <v>169</v>
      </c>
      <c r="J174" s="239"/>
      <c r="K174" s="239"/>
      <c r="L174" s="472">
        <f>'Inputs by customer type'!L142</f>
        <v>0</v>
      </c>
      <c r="M174" s="239"/>
      <c r="N174" s="472">
        <f>'Inputs by customer type'!N142</f>
        <v>26786.551300980038</v>
      </c>
      <c r="O174" s="472">
        <f>'Inputs by customer type'!O142</f>
        <v>1503.2347526099047</v>
      </c>
      <c r="P174" s="472">
        <f>'Inputs by customer type'!P142</f>
        <v>5768.4218053502436</v>
      </c>
      <c r="Q174" s="239"/>
      <c r="R174" s="239"/>
      <c r="S174" s="239"/>
      <c r="T174" s="239"/>
      <c r="U174" s="239"/>
      <c r="V174" s="239"/>
      <c r="W174" s="239"/>
      <c r="X174" s="239"/>
      <c r="Y174" s="239"/>
      <c r="AQ174" s="88"/>
    </row>
    <row r="175" spans="5:43" x14ac:dyDescent="0.25">
      <c r="E175" s="96"/>
      <c r="F175" s="109" t="s">
        <v>203</v>
      </c>
      <c r="G175" s="109" t="s">
        <v>169</v>
      </c>
      <c r="J175" s="239"/>
      <c r="K175" s="239"/>
      <c r="L175" s="472">
        <f>'Inputs by customer type'!L143</f>
        <v>0</v>
      </c>
      <c r="M175" s="239"/>
      <c r="N175" s="472">
        <f>'Inputs by customer type'!N143</f>
        <v>15.748674651264663</v>
      </c>
      <c r="O175" s="472">
        <f>'Inputs by customer type'!O143</f>
        <v>8.2320962302903453</v>
      </c>
      <c r="P175" s="472">
        <f>'Inputs by customer type'!P143</f>
        <v>7.3944951398030696</v>
      </c>
      <c r="Q175" s="239"/>
      <c r="R175" s="239"/>
      <c r="S175" s="239"/>
      <c r="T175" s="239"/>
      <c r="U175" s="239"/>
      <c r="V175" s="239"/>
      <c r="W175" s="239"/>
      <c r="X175" s="239"/>
      <c r="Y175" s="239"/>
      <c r="AQ175" s="88"/>
    </row>
    <row r="176" spans="5:43" x14ac:dyDescent="0.25">
      <c r="E176" s="96"/>
      <c r="F176" s="36" t="s">
        <v>204</v>
      </c>
      <c r="G176" s="36" t="s">
        <v>170</v>
      </c>
      <c r="H176" s="93"/>
      <c r="I176" s="93"/>
      <c r="J176" s="240"/>
      <c r="K176" s="240"/>
      <c r="L176" s="274">
        <f>'Inputs by customer type'!L144</f>
        <v>0</v>
      </c>
      <c r="M176" s="240"/>
      <c r="N176" s="274">
        <f>'Inputs by customer type'!N144</f>
        <v>2297.6659306892579</v>
      </c>
      <c r="O176" s="274">
        <f>'Inputs by customer type'!O144</f>
        <v>113.80163973031853</v>
      </c>
      <c r="P176" s="274">
        <f>'Inputs by customer type'!P144</f>
        <v>361.45789219585976</v>
      </c>
      <c r="Q176" s="240"/>
      <c r="R176" s="240"/>
      <c r="S176" s="240"/>
      <c r="T176" s="240"/>
      <c r="U176" s="240"/>
      <c r="V176" s="240"/>
      <c r="W176" s="240"/>
      <c r="X176" s="240"/>
      <c r="Y176" s="240"/>
      <c r="AQ176" s="88"/>
    </row>
    <row r="177" spans="5:43" x14ac:dyDescent="0.25">
      <c r="AQ177" s="88"/>
    </row>
    <row r="178" spans="5:43" x14ac:dyDescent="0.25">
      <c r="E178" s="96" t="s">
        <v>1058</v>
      </c>
      <c r="G178" s="108"/>
      <c r="I178" s="293" t="s">
        <v>359</v>
      </c>
      <c r="AQ178" s="88"/>
    </row>
    <row r="179" spans="5:43" x14ac:dyDescent="0.25">
      <c r="E179" s="96"/>
      <c r="F179" s="40" t="s">
        <v>199</v>
      </c>
      <c r="G179" s="40" t="s">
        <v>120</v>
      </c>
      <c r="H179" s="91"/>
      <c r="I179" s="91"/>
      <c r="J179" s="238"/>
      <c r="K179" s="238"/>
      <c r="L179" s="272">
        <f>'Inputs by customer type'!L147</f>
        <v>313.86655064559477</v>
      </c>
      <c r="M179" s="238"/>
      <c r="N179" s="272">
        <f>'Inputs by customer type'!N147</f>
        <v>2007.2494224918353</v>
      </c>
      <c r="O179" s="272">
        <f>'Inputs by customer type'!O147</f>
        <v>159.77103261868257</v>
      </c>
      <c r="P179" s="272">
        <f>'Inputs by customer type'!P147</f>
        <v>593.51122118205615</v>
      </c>
      <c r="Q179" s="238"/>
      <c r="R179" s="238"/>
      <c r="S179" s="238"/>
      <c r="T179" s="238"/>
      <c r="U179" s="238"/>
      <c r="V179" s="238"/>
      <c r="W179" s="238"/>
      <c r="X179" s="238"/>
      <c r="Y179" s="238"/>
      <c r="AQ179" s="88"/>
    </row>
    <row r="180" spans="5:43" x14ac:dyDescent="0.25">
      <c r="E180" s="96"/>
      <c r="F180" s="109" t="s">
        <v>200</v>
      </c>
      <c r="G180" s="109" t="s">
        <v>120</v>
      </c>
      <c r="J180" s="239"/>
      <c r="K180" s="239"/>
      <c r="L180" s="472">
        <f>'Inputs by customer type'!L148</f>
        <v>2164.9519194750847</v>
      </c>
      <c r="M180" s="239"/>
      <c r="N180" s="472">
        <f>'Inputs by customer type'!N148</f>
        <v>10792.393444470463</v>
      </c>
      <c r="O180" s="472">
        <f>'Inputs by customer type'!O148</f>
        <v>907.17716929474977</v>
      </c>
      <c r="P180" s="472">
        <f>'Inputs by customer type'!P148</f>
        <v>2463.5886245228921</v>
      </c>
      <c r="Q180" s="239"/>
      <c r="R180" s="239"/>
      <c r="S180" s="239"/>
      <c r="T180" s="239"/>
      <c r="U180" s="239"/>
      <c r="V180" s="239"/>
      <c r="W180" s="239"/>
      <c r="X180" s="239"/>
      <c r="Y180" s="239"/>
      <c r="AQ180" s="88"/>
    </row>
    <row r="181" spans="5:43" x14ac:dyDescent="0.25">
      <c r="E181" s="96"/>
      <c r="F181" s="109" t="s">
        <v>201</v>
      </c>
      <c r="G181" s="109" t="s">
        <v>120</v>
      </c>
      <c r="J181" s="239"/>
      <c r="K181" s="239"/>
      <c r="L181" s="472">
        <f>'Inputs by customer type'!L149</f>
        <v>846.14577014044687</v>
      </c>
      <c r="M181" s="239"/>
      <c r="N181" s="472">
        <f>'Inputs by customer type'!N149</f>
        <v>5947.6925230980796</v>
      </c>
      <c r="O181" s="472">
        <f>'Inputs by customer type'!O149</f>
        <v>507.16936841570254</v>
      </c>
      <c r="P181" s="472">
        <f>'Inputs by customer type'!P149</f>
        <v>1756.7497963874894</v>
      </c>
      <c r="Q181" s="239"/>
      <c r="R181" s="239"/>
      <c r="S181" s="239"/>
      <c r="T181" s="239"/>
      <c r="U181" s="239"/>
      <c r="V181" s="239"/>
      <c r="W181" s="239"/>
      <c r="X181" s="239"/>
      <c r="Y181" s="239"/>
      <c r="AQ181" s="88"/>
    </row>
    <row r="182" spans="5:43" x14ac:dyDescent="0.25">
      <c r="E182" s="96"/>
      <c r="F182" s="109" t="s">
        <v>74</v>
      </c>
      <c r="G182" s="109" t="s">
        <v>74</v>
      </c>
      <c r="J182" s="239"/>
      <c r="K182" s="239"/>
      <c r="L182" s="472">
        <f>'Inputs by customer type'!L150</f>
        <v>246.43363288943598</v>
      </c>
      <c r="M182" s="239"/>
      <c r="N182" s="472">
        <f>'Inputs by customer type'!N150</f>
        <v>79.742083586910155</v>
      </c>
      <c r="O182" s="472">
        <f>'Inputs by customer type'!O150</f>
        <v>7.875</v>
      </c>
      <c r="P182" s="472">
        <f>'Inputs by customer type'!P150</f>
        <v>1.978724940000361</v>
      </c>
      <c r="Q182" s="239"/>
      <c r="R182" s="239"/>
      <c r="S182" s="239"/>
      <c r="T182" s="239"/>
      <c r="U182" s="239"/>
      <c r="V182" s="239"/>
      <c r="W182" s="239"/>
      <c r="X182" s="239"/>
      <c r="Y182" s="239"/>
      <c r="AQ182" s="88"/>
    </row>
    <row r="183" spans="5:43" x14ac:dyDescent="0.25">
      <c r="E183" s="96"/>
      <c r="F183" s="109" t="s">
        <v>202</v>
      </c>
      <c r="G183" s="109" t="s">
        <v>169</v>
      </c>
      <c r="J183" s="239"/>
      <c r="K183" s="239"/>
      <c r="L183" s="472">
        <f>'Inputs by customer type'!L151</f>
        <v>0</v>
      </c>
      <c r="M183" s="239"/>
      <c r="N183" s="472">
        <f>'Inputs by customer type'!N151</f>
        <v>22068.710626613771</v>
      </c>
      <c r="O183" s="472">
        <f>'Inputs by customer type'!O151</f>
        <v>1855.1117422762413</v>
      </c>
      <c r="P183" s="472">
        <f>'Inputs by customer type'!P151</f>
        <v>4578.4785708880108</v>
      </c>
      <c r="Q183" s="239"/>
      <c r="R183" s="239"/>
      <c r="S183" s="239"/>
      <c r="T183" s="239"/>
      <c r="U183" s="239"/>
      <c r="V183" s="239"/>
      <c r="W183" s="239"/>
      <c r="X183" s="239"/>
      <c r="Y183" s="239"/>
      <c r="AQ183" s="88"/>
    </row>
    <row r="184" spans="5:43" x14ac:dyDescent="0.25">
      <c r="E184" s="96"/>
      <c r="F184" s="109" t="s">
        <v>203</v>
      </c>
      <c r="G184" s="109" t="s">
        <v>169</v>
      </c>
      <c r="J184" s="239"/>
      <c r="K184" s="239"/>
      <c r="L184" s="472">
        <f>'Inputs by customer type'!L152</f>
        <v>0</v>
      </c>
      <c r="M184" s="239"/>
      <c r="N184" s="472">
        <f>'Inputs by customer type'!N152</f>
        <v>12.974904448365157</v>
      </c>
      <c r="O184" s="472">
        <f>'Inputs by customer type'!O152</f>
        <v>10.159064213919624</v>
      </c>
      <c r="P184" s="472">
        <f>'Inputs by customer type'!P152</f>
        <v>5.8691161434697268</v>
      </c>
      <c r="Q184" s="239"/>
      <c r="R184" s="239"/>
      <c r="S184" s="239"/>
      <c r="T184" s="239"/>
      <c r="U184" s="239"/>
      <c r="V184" s="239"/>
      <c r="W184" s="239"/>
      <c r="X184" s="239"/>
      <c r="Y184" s="239"/>
      <c r="AQ184" s="88"/>
    </row>
    <row r="185" spans="5:43" x14ac:dyDescent="0.25">
      <c r="E185" s="96"/>
      <c r="F185" s="36" t="s">
        <v>204</v>
      </c>
      <c r="G185" s="36" t="s">
        <v>170</v>
      </c>
      <c r="H185" s="93"/>
      <c r="I185" s="93"/>
      <c r="J185" s="240"/>
      <c r="K185" s="240"/>
      <c r="L185" s="274">
        <f>'Inputs by customer type'!L153</f>
        <v>0</v>
      </c>
      <c r="M185" s="240"/>
      <c r="N185" s="274">
        <f>'Inputs by customer type'!N153</f>
        <v>1892.984429808075</v>
      </c>
      <c r="O185" s="274">
        <f>'Inputs by customer type'!O153</f>
        <v>140.44031232478395</v>
      </c>
      <c r="P185" s="274">
        <f>'Inputs by customer type'!P153</f>
        <v>286.89427880640397</v>
      </c>
      <c r="Q185" s="240"/>
      <c r="R185" s="240"/>
      <c r="S185" s="240"/>
      <c r="T185" s="240"/>
      <c r="U185" s="240"/>
      <c r="V185" s="240"/>
      <c r="W185" s="240"/>
      <c r="X185" s="240"/>
      <c r="Y185" s="240"/>
      <c r="AQ185" s="88"/>
    </row>
    <row r="186" spans="5:43" x14ac:dyDescent="0.25">
      <c r="AQ186" s="88"/>
    </row>
    <row r="187" spans="5:43" x14ac:dyDescent="0.25">
      <c r="E187" s="96" t="s">
        <v>1059</v>
      </c>
      <c r="G187" s="108"/>
      <c r="I187" s="293" t="s">
        <v>359</v>
      </c>
      <c r="AQ187" s="88"/>
    </row>
    <row r="188" spans="5:43" x14ac:dyDescent="0.25">
      <c r="E188" s="96"/>
      <c r="F188" s="40" t="s">
        <v>199</v>
      </c>
      <c r="G188" s="40" t="s">
        <v>120</v>
      </c>
      <c r="H188" s="91"/>
      <c r="I188" s="91"/>
      <c r="J188" s="238"/>
      <c r="K188" s="238"/>
      <c r="L188" s="272">
        <f>'Inputs by customer type'!L156</f>
        <v>789.94769280089258</v>
      </c>
      <c r="M188" s="238"/>
      <c r="N188" s="272">
        <f>'Inputs by customer type'!N156</f>
        <v>6603.6460524389131</v>
      </c>
      <c r="O188" s="272">
        <f>'Inputs by customer type'!O156</f>
        <v>2125.561714021183</v>
      </c>
      <c r="P188" s="272">
        <f>'Inputs by customer type'!P156</f>
        <v>1576.0498492369738</v>
      </c>
      <c r="Q188" s="238"/>
      <c r="R188" s="238"/>
      <c r="S188" s="238"/>
      <c r="T188" s="238"/>
      <c r="U188" s="238"/>
      <c r="V188" s="238"/>
      <c r="W188" s="238"/>
      <c r="X188" s="238"/>
      <c r="Y188" s="238"/>
      <c r="AQ188" s="88"/>
    </row>
    <row r="189" spans="5:43" x14ac:dyDescent="0.25">
      <c r="E189" s="96"/>
      <c r="F189" s="109" t="s">
        <v>200</v>
      </c>
      <c r="G189" s="109" t="s">
        <v>120</v>
      </c>
      <c r="J189" s="239"/>
      <c r="K189" s="239"/>
      <c r="L189" s="472">
        <f>'Inputs by customer type'!L157</f>
        <v>5448.8086427065409</v>
      </c>
      <c r="M189" s="239"/>
      <c r="N189" s="472">
        <f>'Inputs by customer type'!N157</f>
        <v>35505.874639869216</v>
      </c>
      <c r="O189" s="472">
        <f>'Inputs by customer type'!O157</f>
        <v>12068.902774692056</v>
      </c>
      <c r="P189" s="472">
        <f>'Inputs by customer type'!P157</f>
        <v>6541.9799014553437</v>
      </c>
      <c r="Q189" s="239"/>
      <c r="R189" s="239"/>
      <c r="S189" s="239"/>
      <c r="T189" s="239"/>
      <c r="U189" s="239"/>
      <c r="V189" s="239"/>
      <c r="W189" s="239"/>
      <c r="X189" s="239"/>
      <c r="Y189" s="239"/>
      <c r="AQ189" s="88"/>
    </row>
    <row r="190" spans="5:43" x14ac:dyDescent="0.25">
      <c r="E190" s="96"/>
      <c r="F190" s="109" t="s">
        <v>201</v>
      </c>
      <c r="G190" s="109" t="s">
        <v>120</v>
      </c>
      <c r="J190" s="239"/>
      <c r="K190" s="239"/>
      <c r="L190" s="472">
        <f>'Inputs by customer type'!L158</f>
        <v>2129.6022068003754</v>
      </c>
      <c r="M190" s="239"/>
      <c r="N190" s="472">
        <f>'Inputs by customer type'!N158</f>
        <v>19567.302304921617</v>
      </c>
      <c r="O190" s="472">
        <f>'Inputs by customer type'!O158</f>
        <v>6747.2793682292622</v>
      </c>
      <c r="P190" s="472">
        <f>'Inputs by customer type'!P158</f>
        <v>4664.992257820003</v>
      </c>
      <c r="Q190" s="239"/>
      <c r="R190" s="239"/>
      <c r="S190" s="239"/>
      <c r="T190" s="239"/>
      <c r="U190" s="239"/>
      <c r="V190" s="239"/>
      <c r="W190" s="239"/>
      <c r="X190" s="239"/>
      <c r="Y190" s="239"/>
      <c r="AQ190" s="88"/>
    </row>
    <row r="191" spans="5:43" x14ac:dyDescent="0.25">
      <c r="E191" s="96"/>
      <c r="F191" s="109" t="s">
        <v>74</v>
      </c>
      <c r="G191" s="109" t="s">
        <v>74</v>
      </c>
      <c r="J191" s="239"/>
      <c r="K191" s="239"/>
      <c r="L191" s="472">
        <f>'Inputs by customer type'!L159</f>
        <v>227.96674188211585</v>
      </c>
      <c r="M191" s="239"/>
      <c r="N191" s="472">
        <f>'Inputs by customer type'!N159</f>
        <v>108.52133737109615</v>
      </c>
      <c r="O191" s="472">
        <f>'Inputs by customer type'!O159</f>
        <v>30.099999999999998</v>
      </c>
      <c r="P191" s="472">
        <f>'Inputs by customer type'!P159</f>
        <v>2.0000721800169625</v>
      </c>
      <c r="Q191" s="239"/>
      <c r="R191" s="239"/>
      <c r="S191" s="239"/>
      <c r="T191" s="239"/>
      <c r="U191" s="239"/>
      <c r="V191" s="239"/>
      <c r="W191" s="239"/>
      <c r="X191" s="239"/>
      <c r="Y191" s="239"/>
      <c r="AQ191" s="88"/>
    </row>
    <row r="192" spans="5:43" x14ac:dyDescent="0.25">
      <c r="E192" s="96"/>
      <c r="F192" s="109" t="s">
        <v>202</v>
      </c>
      <c r="G192" s="109" t="s">
        <v>169</v>
      </c>
      <c r="J192" s="239"/>
      <c r="K192" s="239"/>
      <c r="L192" s="472">
        <f>'Inputs by customer type'!L160</f>
        <v>0</v>
      </c>
      <c r="M192" s="239"/>
      <c r="N192" s="472">
        <f>'Inputs by customer type'!N160</f>
        <v>72603.809062721266</v>
      </c>
      <c r="O192" s="472">
        <f>'Inputs by customer type'!O160</f>
        <v>24680.03385835552</v>
      </c>
      <c r="P192" s="472">
        <f>'Inputs by customer type'!P160</f>
        <v>12158.001742597764</v>
      </c>
      <c r="Q192" s="239"/>
      <c r="R192" s="239"/>
      <c r="S192" s="239"/>
      <c r="T192" s="239"/>
      <c r="U192" s="239"/>
      <c r="V192" s="239"/>
      <c r="W192" s="239"/>
      <c r="X192" s="239"/>
      <c r="Y192" s="239"/>
      <c r="AQ192" s="88"/>
    </row>
    <row r="193" spans="4:43" x14ac:dyDescent="0.25">
      <c r="E193" s="96"/>
      <c r="F193" s="109" t="s">
        <v>203</v>
      </c>
      <c r="G193" s="109" t="s">
        <v>169</v>
      </c>
      <c r="J193" s="239"/>
      <c r="K193" s="239"/>
      <c r="L193" s="472">
        <f>'Inputs by customer type'!L161</f>
        <v>0</v>
      </c>
      <c r="M193" s="239"/>
      <c r="N193" s="472">
        <f>'Inputs by customer type'!N161</f>
        <v>42.686113435196262</v>
      </c>
      <c r="O193" s="472">
        <f>'Inputs by customer type'!O161</f>
        <v>135.15414896846093</v>
      </c>
      <c r="P193" s="472">
        <f>'Inputs by customer type'!P161</f>
        <v>15.585248067672781</v>
      </c>
      <c r="Q193" s="239"/>
      <c r="R193" s="239"/>
      <c r="S193" s="239"/>
      <c r="T193" s="239"/>
      <c r="U193" s="239"/>
      <c r="V193" s="239"/>
      <c r="W193" s="239"/>
      <c r="X193" s="239"/>
      <c r="Y193" s="239"/>
      <c r="AQ193" s="88"/>
    </row>
    <row r="194" spans="4:43" x14ac:dyDescent="0.25">
      <c r="E194" s="96"/>
      <c r="F194" s="36" t="s">
        <v>204</v>
      </c>
      <c r="G194" s="36" t="s">
        <v>170</v>
      </c>
      <c r="H194" s="93"/>
      <c r="I194" s="93"/>
      <c r="J194" s="240"/>
      <c r="K194" s="240"/>
      <c r="L194" s="274">
        <f>'Inputs by customer type'!L162</f>
        <v>0</v>
      </c>
      <c r="M194" s="240"/>
      <c r="N194" s="274">
        <f>'Inputs by customer type'!N162</f>
        <v>6227.7258706154989</v>
      </c>
      <c r="O194" s="274">
        <f>'Inputs by customer type'!O162</f>
        <v>1868.3896954912193</v>
      </c>
      <c r="P194" s="274">
        <f>'Inputs by customer type'!P162</f>
        <v>761.83847705397625</v>
      </c>
      <c r="Q194" s="240"/>
      <c r="R194" s="240"/>
      <c r="S194" s="240"/>
      <c r="T194" s="240"/>
      <c r="U194" s="240"/>
      <c r="V194" s="240"/>
      <c r="W194" s="240"/>
      <c r="X194" s="240"/>
      <c r="Y194" s="240"/>
      <c r="AQ194" s="88"/>
    </row>
    <row r="195" spans="4:43" x14ac:dyDescent="0.25">
      <c r="AQ195" s="88"/>
    </row>
    <row r="196" spans="4:43" x14ac:dyDescent="0.25">
      <c r="D196" s="82" t="s">
        <v>1075</v>
      </c>
      <c r="AQ196" s="88"/>
    </row>
    <row r="197" spans="4:43" x14ac:dyDescent="0.25">
      <c r="AQ197" s="88"/>
    </row>
    <row r="198" spans="4:43" x14ac:dyDescent="0.25">
      <c r="E198" s="96" t="s">
        <v>900</v>
      </c>
      <c r="G198" s="108"/>
      <c r="I198" s="293" t="s">
        <v>359</v>
      </c>
      <c r="AA198" s="293" t="s">
        <v>692</v>
      </c>
    </row>
    <row r="199" spans="4:43" x14ac:dyDescent="0.25">
      <c r="E199" s="96"/>
      <c r="F199" s="40" t="s">
        <v>199</v>
      </c>
      <c r="G199" s="40" t="s">
        <v>120</v>
      </c>
      <c r="H199" s="91"/>
      <c r="I199" s="91"/>
      <c r="J199" s="267">
        <f t="shared" ref="J199:Y205" si="2">SUM( J67, J76, J85, J94, J58 )</f>
        <v>1519528.9909572054</v>
      </c>
      <c r="K199" s="267">
        <f t="shared" si="2"/>
        <v>352.09798476122353</v>
      </c>
      <c r="L199" s="267">
        <f t="shared" si="2"/>
        <v>305974.76854749012</v>
      </c>
      <c r="M199" s="267">
        <f t="shared" si="2"/>
        <v>551.63967583646206</v>
      </c>
      <c r="N199" s="267">
        <f t="shared" si="2"/>
        <v>515659.94194878009</v>
      </c>
      <c r="O199" s="267">
        <f t="shared" si="2"/>
        <v>32993.617351146895</v>
      </c>
      <c r="P199" s="267">
        <f t="shared" si="2"/>
        <v>419704.455827142</v>
      </c>
      <c r="Q199" s="267">
        <f t="shared" si="2"/>
        <v>11517.961391048839</v>
      </c>
      <c r="R199" s="267">
        <f t="shared" si="2"/>
        <v>674.85025217285374</v>
      </c>
      <c r="S199" s="267">
        <f t="shared" si="2"/>
        <v>25.768606153818535</v>
      </c>
      <c r="T199" s="267">
        <f t="shared" si="2"/>
        <v>3471.0598153050755</v>
      </c>
      <c r="U199" s="267">
        <f t="shared" si="2"/>
        <v>0</v>
      </c>
      <c r="V199" s="267">
        <f t="shared" si="2"/>
        <v>0</v>
      </c>
      <c r="W199" s="267">
        <f t="shared" si="2"/>
        <v>0</v>
      </c>
      <c r="X199" s="267">
        <f t="shared" si="2"/>
        <v>86090.420132224855</v>
      </c>
      <c r="Y199" s="267">
        <f t="shared" si="2"/>
        <v>0</v>
      </c>
    </row>
    <row r="200" spans="4:43" x14ac:dyDescent="0.25">
      <c r="E200" s="96"/>
      <c r="F200" s="109" t="s">
        <v>200</v>
      </c>
      <c r="G200" s="109" t="s">
        <v>120</v>
      </c>
      <c r="J200" s="264">
        <f t="shared" si="2"/>
        <v>6704922.9381034765</v>
      </c>
      <c r="K200" s="264">
        <f t="shared" si="2"/>
        <v>43149.740797225757</v>
      </c>
      <c r="L200" s="264">
        <f t="shared" si="2"/>
        <v>1924243.7897781476</v>
      </c>
      <c r="M200" s="264">
        <f t="shared" si="2"/>
        <v>7964.6066273601509</v>
      </c>
      <c r="N200" s="264">
        <f t="shared" si="2"/>
        <v>2942519.3140414082</v>
      </c>
      <c r="O200" s="264">
        <f t="shared" si="2"/>
        <v>180364.60505998542</v>
      </c>
      <c r="P200" s="264">
        <f t="shared" si="2"/>
        <v>2345059.381895408</v>
      </c>
      <c r="Q200" s="473">
        <f t="shared" si="2"/>
        <v>73125.948651823521</v>
      </c>
      <c r="R200" s="473">
        <f t="shared" si="2"/>
        <v>5290.0415585937481</v>
      </c>
      <c r="S200" s="473">
        <f t="shared" si="2"/>
        <v>199.9475994029803</v>
      </c>
      <c r="T200" s="264">
        <f t="shared" si="2"/>
        <v>32553.160713646485</v>
      </c>
      <c r="U200" s="264">
        <f t="shared" si="2"/>
        <v>0</v>
      </c>
      <c r="V200" s="264">
        <f t="shared" si="2"/>
        <v>0</v>
      </c>
      <c r="W200" s="264">
        <f t="shared" si="2"/>
        <v>0</v>
      </c>
      <c r="X200" s="264">
        <f t="shared" si="2"/>
        <v>532778.46099718625</v>
      </c>
      <c r="Y200" s="264">
        <f t="shared" si="2"/>
        <v>0</v>
      </c>
    </row>
    <row r="201" spans="4:43" x14ac:dyDescent="0.25">
      <c r="E201" s="96"/>
      <c r="F201" s="109" t="s">
        <v>201</v>
      </c>
      <c r="G201" s="109" t="s">
        <v>120</v>
      </c>
      <c r="J201" s="264">
        <f t="shared" si="2"/>
        <v>3714187.4425115269</v>
      </c>
      <c r="K201" s="264">
        <f t="shared" si="2"/>
        <v>106119.38059189059</v>
      </c>
      <c r="L201" s="264">
        <f t="shared" si="2"/>
        <v>854958.36276893259</v>
      </c>
      <c r="M201" s="264">
        <f t="shared" si="2"/>
        <v>22951.54492456152</v>
      </c>
      <c r="N201" s="264">
        <f t="shared" si="2"/>
        <v>1542881.3100961696</v>
      </c>
      <c r="O201" s="264">
        <f t="shared" si="2"/>
        <v>118063.34563246807</v>
      </c>
      <c r="P201" s="264">
        <f t="shared" si="2"/>
        <v>1607565.3350004095</v>
      </c>
      <c r="Q201" s="473">
        <f t="shared" si="2"/>
        <v>109990.23751551715</v>
      </c>
      <c r="R201" s="473">
        <f t="shared" si="2"/>
        <v>705.96883393295752</v>
      </c>
      <c r="S201" s="473">
        <f t="shared" si="2"/>
        <v>28.789763351391056</v>
      </c>
      <c r="T201" s="264">
        <f t="shared" si="2"/>
        <v>8516.1143309833551</v>
      </c>
      <c r="U201" s="264">
        <f t="shared" si="2"/>
        <v>0</v>
      </c>
      <c r="V201" s="264">
        <f t="shared" si="2"/>
        <v>0</v>
      </c>
      <c r="W201" s="264">
        <f t="shared" si="2"/>
        <v>0</v>
      </c>
      <c r="X201" s="264">
        <f t="shared" si="2"/>
        <v>260951.76676867288</v>
      </c>
      <c r="Y201" s="264">
        <f t="shared" si="2"/>
        <v>0</v>
      </c>
    </row>
    <row r="202" spans="4:43" x14ac:dyDescent="0.25">
      <c r="E202" s="96"/>
      <c r="F202" s="109" t="s">
        <v>74</v>
      </c>
      <c r="G202" s="109" t="s">
        <v>74</v>
      </c>
      <c r="J202" s="264">
        <f t="shared" si="2"/>
        <v>2901359.4971160064</v>
      </c>
      <c r="K202" s="264">
        <f t="shared" si="2"/>
        <v>33762.707811624095</v>
      </c>
      <c r="L202" s="264">
        <f t="shared" si="2"/>
        <v>232813.28704236689</v>
      </c>
      <c r="M202" s="264">
        <f t="shared" si="2"/>
        <v>4756.0967741935474</v>
      </c>
      <c r="N202" s="264">
        <f t="shared" si="2"/>
        <v>22622.200206440659</v>
      </c>
      <c r="O202" s="264">
        <f t="shared" si="2"/>
        <v>263</v>
      </c>
      <c r="P202" s="264">
        <f t="shared" si="2"/>
        <v>1834.5277166413589</v>
      </c>
      <c r="Q202" s="264">
        <f t="shared" si="2"/>
        <v>4004.5</v>
      </c>
      <c r="R202" s="264">
        <f t="shared" si="2"/>
        <v>1884.9999999999998</v>
      </c>
      <c r="S202" s="264">
        <f t="shared" si="2"/>
        <v>38.935483870967744</v>
      </c>
      <c r="T202" s="264">
        <f t="shared" si="2"/>
        <v>836.76967715751107</v>
      </c>
      <c r="U202" s="264">
        <f t="shared" si="2"/>
        <v>0</v>
      </c>
      <c r="V202" s="264">
        <f t="shared" si="2"/>
        <v>1</v>
      </c>
      <c r="W202" s="264">
        <f t="shared" si="2"/>
        <v>0</v>
      </c>
      <c r="X202" s="264">
        <f t="shared" si="2"/>
        <v>232.35483870967744</v>
      </c>
      <c r="Y202" s="264">
        <f t="shared" si="2"/>
        <v>0</v>
      </c>
    </row>
    <row r="203" spans="4:43" x14ac:dyDescent="0.25">
      <c r="E203" s="96"/>
      <c r="F203" s="109" t="s">
        <v>202</v>
      </c>
      <c r="G203" s="109" t="s">
        <v>169</v>
      </c>
      <c r="J203" s="279"/>
      <c r="K203" s="279"/>
      <c r="L203" s="279"/>
      <c r="M203" s="279"/>
      <c r="N203" s="264">
        <f t="shared" si="2"/>
        <v>3315022.462259219</v>
      </c>
      <c r="O203" s="264">
        <f t="shared" si="2"/>
        <v>116391.04311512016</v>
      </c>
      <c r="P203" s="264">
        <f t="shared" si="2"/>
        <v>1988006.799007453</v>
      </c>
      <c r="Q203" s="279"/>
      <c r="R203" s="279"/>
      <c r="S203" s="279"/>
      <c r="T203" s="279"/>
      <c r="U203" s="279"/>
      <c r="V203" s="279"/>
      <c r="W203" s="279"/>
      <c r="X203" s="279"/>
      <c r="Y203" s="279"/>
    </row>
    <row r="204" spans="4:43" x14ac:dyDescent="0.25">
      <c r="E204" s="96"/>
      <c r="F204" s="109" t="s">
        <v>203</v>
      </c>
      <c r="G204" s="109" t="s">
        <v>169</v>
      </c>
      <c r="J204" s="279"/>
      <c r="K204" s="279"/>
      <c r="L204" s="279"/>
      <c r="M204" s="279"/>
      <c r="N204" s="264">
        <f t="shared" si="2"/>
        <v>45202.177111179793</v>
      </c>
      <c r="O204" s="264">
        <f t="shared" si="2"/>
        <v>794.95690355847444</v>
      </c>
      <c r="P204" s="264">
        <f t="shared" si="2"/>
        <v>23750.260260869494</v>
      </c>
      <c r="Q204" s="279"/>
      <c r="R204" s="279"/>
      <c r="S204" s="279"/>
      <c r="T204" s="279"/>
      <c r="U204" s="279"/>
      <c r="V204" s="279"/>
      <c r="W204" s="279"/>
      <c r="X204" s="279"/>
      <c r="Y204" s="279"/>
    </row>
    <row r="205" spans="4:43" x14ac:dyDescent="0.25">
      <c r="E205" s="96"/>
      <c r="F205" s="36" t="s">
        <v>204</v>
      </c>
      <c r="G205" s="36" t="s">
        <v>170</v>
      </c>
      <c r="H205" s="93"/>
      <c r="I205" s="93"/>
      <c r="J205" s="240"/>
      <c r="K205" s="240"/>
      <c r="L205" s="240"/>
      <c r="M205" s="240"/>
      <c r="N205" s="268">
        <f t="shared" si="2"/>
        <v>419558.06968835293</v>
      </c>
      <c r="O205" s="268">
        <f t="shared" si="2"/>
        <v>23290.796583517404</v>
      </c>
      <c r="P205" s="268">
        <f t="shared" si="2"/>
        <v>307343.38014144002</v>
      </c>
      <c r="Q205" s="240"/>
      <c r="R205" s="240"/>
      <c r="S205" s="240"/>
      <c r="T205" s="268">
        <f>SUM( T73, T82, T91, T100, T64 )</f>
        <v>5486.7326098670592</v>
      </c>
      <c r="U205" s="240"/>
      <c r="V205" s="268">
        <f>SUM( V73, V82, V91, V100, V64 )</f>
        <v>0</v>
      </c>
      <c r="W205" s="240"/>
      <c r="X205" s="268">
        <f>SUM( X73, X82, X91, X100, X64 )</f>
        <v>37970.304935278305</v>
      </c>
      <c r="Y205" s="240"/>
    </row>
    <row r="206" spans="4:43" s="375" customFormat="1" x14ac:dyDescent="0.25">
      <c r="E206" s="376"/>
      <c r="F206" s="377"/>
      <c r="G206" s="377"/>
      <c r="J206" s="378"/>
      <c r="K206" s="378"/>
      <c r="L206" s="378"/>
      <c r="M206" s="378"/>
      <c r="N206" s="379"/>
      <c r="O206" s="379"/>
      <c r="P206" s="379"/>
      <c r="Q206" s="378"/>
      <c r="R206" s="378"/>
      <c r="S206" s="378"/>
      <c r="T206" s="379"/>
      <c r="U206" s="378"/>
      <c r="V206" s="379"/>
      <c r="W206" s="378"/>
      <c r="X206" s="379"/>
      <c r="Y206" s="378"/>
    </row>
    <row r="207" spans="4:43" x14ac:dyDescent="0.25">
      <c r="E207" s="96" t="s">
        <v>901</v>
      </c>
      <c r="G207" s="36"/>
      <c r="H207" s="93"/>
      <c r="I207" s="293" t="s">
        <v>359</v>
      </c>
      <c r="J207" s="271"/>
      <c r="K207" s="271"/>
      <c r="L207" s="271"/>
      <c r="M207" s="271"/>
      <c r="N207" s="271"/>
      <c r="O207" s="271"/>
      <c r="P207" s="271"/>
      <c r="Q207" s="271"/>
      <c r="R207" s="271"/>
      <c r="S207" s="271"/>
      <c r="T207" s="271"/>
      <c r="U207" s="271"/>
      <c r="V207" s="271"/>
      <c r="W207" s="271"/>
      <c r="X207" s="271"/>
      <c r="Y207" s="271"/>
      <c r="AA207" s="293" t="s">
        <v>692</v>
      </c>
    </row>
    <row r="208" spans="4:43" x14ac:dyDescent="0.25">
      <c r="E208" s="96"/>
      <c r="F208" s="40" t="s">
        <v>199</v>
      </c>
      <c r="G208" s="109" t="s">
        <v>120</v>
      </c>
      <c r="I208" s="91"/>
      <c r="J208" s="267">
        <f t="shared" ref="J208:N211" si="3">SUM( J114, J123, J132, J141, J105 )</f>
        <v>12427.22138594751</v>
      </c>
      <c r="K208" s="267">
        <f t="shared" si="3"/>
        <v>0</v>
      </c>
      <c r="L208" s="267">
        <f t="shared" si="3"/>
        <v>525.83803690458274</v>
      </c>
      <c r="M208" s="267">
        <f t="shared" si="3"/>
        <v>29.268702844790479</v>
      </c>
      <c r="N208" s="267">
        <f t="shared" si="3"/>
        <v>1646.1777445493926</v>
      </c>
      <c r="O208" s="238"/>
      <c r="P208" s="238"/>
      <c r="Q208" s="267">
        <f t="shared" ref="Q208:R211" si="4">SUM( Q114, Q123, Q132, Q141, Q105 )</f>
        <v>8.385521972809924</v>
      </c>
      <c r="R208" s="267">
        <f t="shared" si="4"/>
        <v>26.613504917281357</v>
      </c>
      <c r="S208" s="238"/>
      <c r="T208" s="267">
        <f>SUM( T114, T123, T132, T141, T105 )</f>
        <v>0</v>
      </c>
      <c r="U208" s="238"/>
      <c r="V208" s="238"/>
      <c r="W208" s="238"/>
      <c r="X208" s="238"/>
      <c r="Y208" s="238"/>
    </row>
    <row r="209" spans="5:27" x14ac:dyDescent="0.25">
      <c r="E209" s="96"/>
      <c r="F209" s="109" t="s">
        <v>200</v>
      </c>
      <c r="G209" s="109" t="s">
        <v>120</v>
      </c>
      <c r="J209" s="264">
        <f t="shared" si="3"/>
        <v>51168.232381723828</v>
      </c>
      <c r="K209" s="264">
        <f t="shared" si="3"/>
        <v>0</v>
      </c>
      <c r="L209" s="264">
        <f t="shared" si="3"/>
        <v>3339.3522610394725</v>
      </c>
      <c r="M209" s="264">
        <f t="shared" si="3"/>
        <v>179.17889035465157</v>
      </c>
      <c r="N209" s="264">
        <f t="shared" si="3"/>
        <v>9645.3314316990691</v>
      </c>
      <c r="O209" s="279"/>
      <c r="P209" s="279"/>
      <c r="Q209" s="473">
        <f t="shared" si="4"/>
        <v>52.712365653495674</v>
      </c>
      <c r="R209" s="473">
        <f t="shared" si="4"/>
        <v>222.99704050037963</v>
      </c>
      <c r="S209" s="279"/>
      <c r="T209" s="264">
        <f>SUM( T115, T124, T133, T142, T106 )</f>
        <v>0</v>
      </c>
      <c r="U209" s="279"/>
      <c r="V209" s="279"/>
      <c r="W209" s="279"/>
      <c r="X209" s="279"/>
      <c r="Y209" s="279"/>
    </row>
    <row r="210" spans="5:27" x14ac:dyDescent="0.25">
      <c r="E210" s="96"/>
      <c r="F210" s="109" t="s">
        <v>201</v>
      </c>
      <c r="G210" s="109" t="s">
        <v>120</v>
      </c>
      <c r="J210" s="264">
        <f t="shared" si="3"/>
        <v>24902.513907975921</v>
      </c>
      <c r="K210" s="264">
        <f t="shared" si="3"/>
        <v>0</v>
      </c>
      <c r="L210" s="264">
        <f t="shared" si="3"/>
        <v>1502.3877560412086</v>
      </c>
      <c r="M210" s="264">
        <f t="shared" si="3"/>
        <v>94.027914478237506</v>
      </c>
      <c r="N210" s="264">
        <f t="shared" si="3"/>
        <v>5718.963451804535</v>
      </c>
      <c r="O210" s="279"/>
      <c r="P210" s="279"/>
      <c r="Q210" s="473">
        <f t="shared" si="4"/>
        <v>45.853087148916899</v>
      </c>
      <c r="R210" s="473">
        <f t="shared" si="4"/>
        <v>20.758512136782162</v>
      </c>
      <c r="S210" s="279"/>
      <c r="T210" s="264">
        <f>SUM( T116, T125, T134, T143, T107 )</f>
        <v>0</v>
      </c>
      <c r="U210" s="279"/>
      <c r="V210" s="279"/>
      <c r="W210" s="279"/>
      <c r="X210" s="279"/>
      <c r="Y210" s="279"/>
    </row>
    <row r="211" spans="5:27" x14ac:dyDescent="0.25">
      <c r="E211" s="96"/>
      <c r="F211" s="109" t="s">
        <v>74</v>
      </c>
      <c r="G211" s="109" t="s">
        <v>74</v>
      </c>
      <c r="J211" s="264">
        <f t="shared" si="3"/>
        <v>30423.599820316216</v>
      </c>
      <c r="K211" s="264">
        <f t="shared" si="3"/>
        <v>0</v>
      </c>
      <c r="L211" s="264">
        <f t="shared" si="3"/>
        <v>431.04981576165653</v>
      </c>
      <c r="M211" s="264">
        <f t="shared" si="3"/>
        <v>4</v>
      </c>
      <c r="N211" s="264">
        <f t="shared" si="3"/>
        <v>139.49999999999997</v>
      </c>
      <c r="O211" s="279"/>
      <c r="P211" s="279"/>
      <c r="Q211" s="264">
        <f t="shared" si="4"/>
        <v>122</v>
      </c>
      <c r="R211" s="264">
        <f t="shared" si="4"/>
        <v>50.451612903225801</v>
      </c>
      <c r="S211" s="279"/>
      <c r="T211" s="264">
        <f>SUM( T117, T126, T135, T144, T108 )</f>
        <v>0</v>
      </c>
      <c r="U211" s="279"/>
      <c r="V211" s="279"/>
      <c r="W211" s="279"/>
      <c r="X211" s="279"/>
      <c r="Y211" s="279"/>
    </row>
    <row r="212" spans="5:27" x14ac:dyDescent="0.25">
      <c r="E212" s="96"/>
      <c r="F212" s="109" t="s">
        <v>202</v>
      </c>
      <c r="G212" s="109" t="s">
        <v>169</v>
      </c>
      <c r="J212" s="279"/>
      <c r="K212" s="279"/>
      <c r="L212" s="279"/>
      <c r="M212" s="279"/>
      <c r="N212" s="264">
        <f>SUM( N118, N127, N136, N145, N109 )</f>
        <v>20670.910714285721</v>
      </c>
      <c r="O212" s="279"/>
      <c r="P212" s="279"/>
      <c r="Q212" s="279"/>
      <c r="R212" s="279"/>
      <c r="S212" s="279"/>
      <c r="T212" s="279"/>
      <c r="U212" s="279"/>
      <c r="V212" s="279"/>
      <c r="W212" s="279"/>
      <c r="X212" s="279"/>
      <c r="Y212" s="279"/>
    </row>
    <row r="213" spans="5:27" x14ac:dyDescent="0.25">
      <c r="E213" s="96"/>
      <c r="F213" s="109" t="s">
        <v>203</v>
      </c>
      <c r="G213" s="109" t="s">
        <v>169</v>
      </c>
      <c r="J213" s="279"/>
      <c r="K213" s="279"/>
      <c r="L213" s="279"/>
      <c r="M213" s="279"/>
      <c r="N213" s="264">
        <f>SUM( N119, N128, N137, N146, N110 )</f>
        <v>18.683035714285705</v>
      </c>
      <c r="O213" s="279"/>
      <c r="P213" s="279"/>
      <c r="Q213" s="279"/>
      <c r="R213" s="279"/>
      <c r="S213" s="279"/>
      <c r="T213" s="279"/>
      <c r="U213" s="279"/>
      <c r="V213" s="279"/>
      <c r="W213" s="279"/>
      <c r="X213" s="279"/>
      <c r="Y213" s="279"/>
    </row>
    <row r="214" spans="5:27" x14ac:dyDescent="0.25">
      <c r="E214" s="96"/>
      <c r="F214" s="36" t="s">
        <v>204</v>
      </c>
      <c r="G214" s="36" t="s">
        <v>170</v>
      </c>
      <c r="H214" s="93"/>
      <c r="I214" s="93"/>
      <c r="J214" s="240"/>
      <c r="K214" s="240"/>
      <c r="L214" s="240"/>
      <c r="M214" s="240"/>
      <c r="N214" s="268">
        <f>SUM( N120, N129, N138, N147, N111 )</f>
        <v>1981.8244299554478</v>
      </c>
      <c r="O214" s="240"/>
      <c r="P214" s="240"/>
      <c r="Q214" s="240"/>
      <c r="R214" s="240"/>
      <c r="S214" s="240"/>
      <c r="T214" s="268">
        <f>SUM( T120, T129, T138, T147, T111 )</f>
        <v>0</v>
      </c>
      <c r="U214" s="240"/>
      <c r="V214" s="240"/>
      <c r="W214" s="240"/>
      <c r="X214" s="240"/>
      <c r="Y214" s="240"/>
    </row>
    <row r="215" spans="5:27" s="375" customFormat="1" x14ac:dyDescent="0.25">
      <c r="E215" s="376"/>
      <c r="F215" s="377"/>
      <c r="G215" s="377"/>
      <c r="J215" s="378"/>
      <c r="K215" s="378"/>
      <c r="L215" s="378"/>
      <c r="M215" s="378"/>
      <c r="N215" s="379"/>
      <c r="O215" s="378"/>
      <c r="P215" s="378"/>
      <c r="Q215" s="378"/>
      <c r="R215" s="378"/>
      <c r="S215" s="378"/>
      <c r="T215" s="379"/>
      <c r="U215" s="378"/>
      <c r="V215" s="378"/>
      <c r="W215" s="378"/>
      <c r="X215" s="378"/>
      <c r="Y215" s="378"/>
    </row>
    <row r="216" spans="5:27" x14ac:dyDescent="0.25">
      <c r="E216" s="96" t="s">
        <v>902</v>
      </c>
      <c r="G216" s="36"/>
      <c r="H216" s="93"/>
      <c r="I216" s="293" t="s">
        <v>359</v>
      </c>
      <c r="J216" s="271"/>
      <c r="K216" s="271"/>
      <c r="L216" s="271"/>
      <c r="M216" s="271"/>
      <c r="N216" s="271"/>
      <c r="O216" s="271"/>
      <c r="P216" s="271"/>
      <c r="Q216" s="271"/>
      <c r="R216" s="271"/>
      <c r="S216" s="271"/>
      <c r="T216" s="271"/>
      <c r="U216" s="271"/>
      <c r="V216" s="271"/>
      <c r="W216" s="271"/>
      <c r="X216" s="271"/>
      <c r="Y216" s="271"/>
      <c r="AA216" s="293" t="s">
        <v>692</v>
      </c>
    </row>
    <row r="217" spans="5:27" x14ac:dyDescent="0.25">
      <c r="F217" s="40" t="s">
        <v>199</v>
      </c>
      <c r="G217" s="109" t="s">
        <v>120</v>
      </c>
      <c r="I217" s="91"/>
      <c r="J217" s="267">
        <f t="shared" ref="J217:T223" si="5">SUM( J161, J170, J179, J188, J152 )</f>
        <v>44670.593528846104</v>
      </c>
      <c r="K217" s="267">
        <f t="shared" si="5"/>
        <v>179.77446786950873</v>
      </c>
      <c r="L217" s="267">
        <f t="shared" si="5"/>
        <v>1471.4733612004197</v>
      </c>
      <c r="M217" s="267">
        <f t="shared" si="5"/>
        <v>50.994806112427376</v>
      </c>
      <c r="N217" s="267">
        <f t="shared" si="5"/>
        <v>13614.717442907764</v>
      </c>
      <c r="O217" s="267">
        <f t="shared" si="5"/>
        <v>2425.0073721551812</v>
      </c>
      <c r="P217" s="267">
        <f t="shared" si="5"/>
        <v>3134.8583682596272</v>
      </c>
      <c r="Q217" s="267">
        <f t="shared" si="5"/>
        <v>93.792650881413181</v>
      </c>
      <c r="R217" s="267">
        <f t="shared" si="5"/>
        <v>5.4054629554655884</v>
      </c>
      <c r="S217" s="267">
        <f t="shared" si="5"/>
        <v>3.2511697241080468</v>
      </c>
      <c r="T217" s="267">
        <f t="shared" si="5"/>
        <v>10.272978968253968</v>
      </c>
      <c r="U217" s="238"/>
      <c r="V217" s="267">
        <f>SUM( V161, V170, V179, V188, V152 )</f>
        <v>0</v>
      </c>
      <c r="W217" s="238"/>
      <c r="X217" s="267">
        <f>SUM( X161, X170, X179, X188, X152 )</f>
        <v>25.409700000000001</v>
      </c>
      <c r="Y217" s="238"/>
    </row>
    <row r="218" spans="5:27" x14ac:dyDescent="0.25">
      <c r="F218" s="109" t="s">
        <v>200</v>
      </c>
      <c r="G218" s="109" t="s">
        <v>120</v>
      </c>
      <c r="J218" s="264">
        <f t="shared" si="5"/>
        <v>188586.48344018924</v>
      </c>
      <c r="K218" s="264">
        <f t="shared" si="5"/>
        <v>844.36342956518479</v>
      </c>
      <c r="L218" s="264">
        <f t="shared" si="5"/>
        <v>10149.756548554391</v>
      </c>
      <c r="M218" s="264">
        <f t="shared" si="5"/>
        <v>311.10576867355189</v>
      </c>
      <c r="N218" s="264">
        <f t="shared" si="5"/>
        <v>73202.356235702493</v>
      </c>
      <c r="O218" s="264">
        <f t="shared" si="5"/>
        <v>13769.150060142965</v>
      </c>
      <c r="P218" s="264">
        <f t="shared" si="5"/>
        <v>13012.393262175288</v>
      </c>
      <c r="Q218" s="473">
        <f t="shared" si="5"/>
        <v>576.08956419110757</v>
      </c>
      <c r="R218" s="473">
        <f t="shared" si="5"/>
        <v>46.327257006571251</v>
      </c>
      <c r="S218" s="473">
        <f t="shared" si="5"/>
        <v>12.776181565765997</v>
      </c>
      <c r="T218" s="264">
        <f t="shared" si="5"/>
        <v>44.359057142857147</v>
      </c>
      <c r="U218" s="279"/>
      <c r="V218" s="264">
        <f>SUM( V162, V171, V180, V189, V153 )</f>
        <v>0</v>
      </c>
      <c r="W218" s="279"/>
      <c r="X218" s="264">
        <f>SUM( X162, X171, X180, X189, X153 )</f>
        <v>1.0569</v>
      </c>
      <c r="Y218" s="279"/>
    </row>
    <row r="219" spans="5:27" x14ac:dyDescent="0.25">
      <c r="F219" s="109" t="s">
        <v>201</v>
      </c>
      <c r="G219" s="109" t="s">
        <v>120</v>
      </c>
      <c r="J219" s="264">
        <f t="shared" si="5"/>
        <v>86625.588105867108</v>
      </c>
      <c r="K219" s="264">
        <f t="shared" si="5"/>
        <v>757.85400103071845</v>
      </c>
      <c r="L219" s="264">
        <f t="shared" si="5"/>
        <v>3966.9119181163578</v>
      </c>
      <c r="M219" s="264">
        <f t="shared" si="5"/>
        <v>157.64075203394657</v>
      </c>
      <c r="N219" s="264">
        <f t="shared" si="5"/>
        <v>40341.849015828971</v>
      </c>
      <c r="O219" s="264">
        <f t="shared" si="5"/>
        <v>7697.8250511447868</v>
      </c>
      <c r="P219" s="264">
        <f t="shared" si="5"/>
        <v>9278.9514394950711</v>
      </c>
      <c r="Q219" s="473">
        <f t="shared" si="5"/>
        <v>467.62435887244271</v>
      </c>
      <c r="R219" s="473">
        <f t="shared" si="5"/>
        <v>4.5925501092132963</v>
      </c>
      <c r="S219" s="473">
        <f t="shared" si="5"/>
        <v>4.3867903210204036</v>
      </c>
      <c r="T219" s="264">
        <f t="shared" si="5"/>
        <v>30.278270238095242</v>
      </c>
      <c r="U219" s="279"/>
      <c r="V219" s="264">
        <f>SUM( V163, V172, V181, V190, V154 )</f>
        <v>0</v>
      </c>
      <c r="W219" s="279"/>
      <c r="X219" s="264">
        <f>SUM( X163, X172, X181, X190, X154 )</f>
        <v>0</v>
      </c>
      <c r="Y219" s="279"/>
    </row>
    <row r="220" spans="5:27" x14ac:dyDescent="0.25">
      <c r="F220" s="109" t="s">
        <v>74</v>
      </c>
      <c r="G220" s="109" t="s">
        <v>74</v>
      </c>
      <c r="J220" s="264">
        <f t="shared" si="5"/>
        <v>115145.92079188582</v>
      </c>
      <c r="K220" s="264">
        <f t="shared" si="5"/>
        <v>532</v>
      </c>
      <c r="L220" s="264">
        <f t="shared" si="5"/>
        <v>1559.4645961553481</v>
      </c>
      <c r="M220" s="264">
        <f t="shared" si="5"/>
        <v>9.5483870967741939</v>
      </c>
      <c r="N220" s="264">
        <f t="shared" si="5"/>
        <v>627.9922420125979</v>
      </c>
      <c r="O220" s="264">
        <f t="shared" si="5"/>
        <v>45.5</v>
      </c>
      <c r="P220" s="264">
        <f t="shared" si="5"/>
        <v>13.000000000000002</v>
      </c>
      <c r="Q220" s="264">
        <f t="shared" si="5"/>
        <v>502</v>
      </c>
      <c r="R220" s="264">
        <f t="shared" si="5"/>
        <v>6</v>
      </c>
      <c r="S220" s="264">
        <f t="shared" si="5"/>
        <v>6</v>
      </c>
      <c r="T220" s="264">
        <f t="shared" si="5"/>
        <v>1</v>
      </c>
      <c r="U220" s="279"/>
      <c r="V220" s="264">
        <f>SUM( V164, V173, V182, V191, V155 )</f>
        <v>1</v>
      </c>
      <c r="W220" s="279"/>
      <c r="X220" s="264">
        <f>SUM( X164, X173, X182, X191, X155 )</f>
        <v>1</v>
      </c>
      <c r="Y220" s="279"/>
    </row>
    <row r="221" spans="5:27" x14ac:dyDescent="0.25">
      <c r="F221" s="109" t="s">
        <v>202</v>
      </c>
      <c r="G221" s="109" t="s">
        <v>169</v>
      </c>
      <c r="J221" s="279"/>
      <c r="K221" s="279"/>
      <c r="L221" s="279"/>
      <c r="M221" s="279"/>
      <c r="N221" s="264">
        <f t="shared" si="5"/>
        <v>149687.05739501317</v>
      </c>
      <c r="O221" s="264">
        <f t="shared" si="5"/>
        <v>28156.916666666668</v>
      </c>
      <c r="P221" s="264">
        <f t="shared" si="5"/>
        <v>24182.999999999996</v>
      </c>
      <c r="Q221" s="279"/>
      <c r="R221" s="279"/>
      <c r="S221" s="279"/>
      <c r="T221" s="279"/>
      <c r="U221" s="279"/>
      <c r="V221" s="279"/>
      <c r="W221" s="279"/>
      <c r="X221" s="279"/>
      <c r="Y221" s="279"/>
    </row>
    <row r="222" spans="5:27" x14ac:dyDescent="0.25">
      <c r="F222" s="109" t="s">
        <v>203</v>
      </c>
      <c r="G222" s="109" t="s">
        <v>169</v>
      </c>
      <c r="J222" s="279"/>
      <c r="K222" s="279"/>
      <c r="L222" s="279"/>
      <c r="M222" s="279"/>
      <c r="N222" s="264">
        <f t="shared" si="5"/>
        <v>88.005833223218758</v>
      </c>
      <c r="O222" s="264">
        <f t="shared" si="5"/>
        <v>154.1944444444444</v>
      </c>
      <c r="P222" s="264">
        <f t="shared" si="5"/>
        <v>31.000000000000007</v>
      </c>
      <c r="Q222" s="279"/>
      <c r="R222" s="279"/>
      <c r="S222" s="279"/>
      <c r="T222" s="279"/>
      <c r="U222" s="279"/>
      <c r="V222" s="279"/>
      <c r="W222" s="279"/>
      <c r="X222" s="279"/>
      <c r="Y222" s="279"/>
    </row>
    <row r="223" spans="5:27" x14ac:dyDescent="0.25">
      <c r="F223" s="36" t="s">
        <v>204</v>
      </c>
      <c r="G223" s="36" t="s">
        <v>170</v>
      </c>
      <c r="H223" s="93"/>
      <c r="I223" s="93"/>
      <c r="J223" s="240"/>
      <c r="K223" s="240"/>
      <c r="L223" s="240"/>
      <c r="M223" s="240"/>
      <c r="N223" s="268">
        <f t="shared" si="5"/>
        <v>12839.683921127466</v>
      </c>
      <c r="O223" s="268">
        <f t="shared" si="5"/>
        <v>2131.6053802330703</v>
      </c>
      <c r="P223" s="268">
        <f t="shared" si="5"/>
        <v>1515.3427578519002</v>
      </c>
      <c r="Q223" s="240"/>
      <c r="R223" s="240"/>
      <c r="S223" s="240"/>
      <c r="T223" s="268">
        <f>SUM( T167, T176, T185, T194, T158 )</f>
        <v>0</v>
      </c>
      <c r="U223" s="240"/>
      <c r="V223" s="268">
        <f>SUM( V167, V176, V185, V194, V158 )</f>
        <v>0</v>
      </c>
      <c r="W223" s="240"/>
      <c r="X223" s="268">
        <f>SUM( X167, X176, X185, X194, X158 )</f>
        <v>0</v>
      </c>
      <c r="Y223" s="240"/>
    </row>
    <row r="224" spans="5:27" x14ac:dyDescent="0.25">
      <c r="G224" s="108"/>
    </row>
    <row r="225" spans="3:43" x14ac:dyDescent="0.25">
      <c r="C225" s="7" t="str">
        <f ca="1">INDEX('Version control'!$H$35:$H$61,MATCH($A$1,'Version control'!$F$35:$F$61,0),1)&amp;"-C: Volume discounting"</f>
        <v>Section 507-C: Volume discounting</v>
      </c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  <c r="P225" s="7"/>
      <c r="Q225" s="7"/>
      <c r="R225" s="7"/>
      <c r="S225" s="7"/>
      <c r="T225" s="7"/>
      <c r="U225" s="7"/>
      <c r="V225" s="7"/>
      <c r="W225" s="7"/>
      <c r="X225" s="7"/>
      <c r="Y225" s="7"/>
      <c r="Z225" s="7"/>
      <c r="AA225" s="7"/>
      <c r="AQ225" s="88"/>
    </row>
    <row r="226" spans="3:43" x14ac:dyDescent="0.25">
      <c r="C226" s="96"/>
      <c r="AQ226" s="88"/>
    </row>
    <row r="227" spans="3:43" x14ac:dyDescent="0.25">
      <c r="C227" s="82" t="s">
        <v>502</v>
      </c>
      <c r="AQ227" s="88"/>
    </row>
    <row r="228" spans="3:43" x14ac:dyDescent="0.25">
      <c r="C228" s="96"/>
      <c r="AQ228" s="88"/>
    </row>
    <row r="229" spans="3:43" x14ac:dyDescent="0.25">
      <c r="C229" s="82"/>
      <c r="E229" s="96" t="s">
        <v>134</v>
      </c>
      <c r="I229" s="293" t="s">
        <v>359</v>
      </c>
      <c r="AA229" s="293" t="s">
        <v>694</v>
      </c>
      <c r="AQ229" s="88"/>
    </row>
    <row r="230" spans="3:43" x14ac:dyDescent="0.25">
      <c r="C230" s="82"/>
      <c r="E230" s="96"/>
      <c r="AQ230" s="88"/>
    </row>
    <row r="231" spans="3:43" x14ac:dyDescent="0.25">
      <c r="F231" s="14" t="s">
        <v>145</v>
      </c>
      <c r="G231" s="14" t="s">
        <v>120</v>
      </c>
      <c r="J231" s="275">
        <f t="shared" ref="J231:Y231" si="6">J$199</f>
        <v>1519528.9909572054</v>
      </c>
      <c r="K231" s="275">
        <f t="shared" si="6"/>
        <v>352.09798476122353</v>
      </c>
      <c r="L231" s="275">
        <f t="shared" si="6"/>
        <v>305974.76854749012</v>
      </c>
      <c r="M231" s="275">
        <f t="shared" si="6"/>
        <v>551.63967583646206</v>
      </c>
      <c r="N231" s="275">
        <f t="shared" si="6"/>
        <v>515659.94194878009</v>
      </c>
      <c r="O231" s="275">
        <f t="shared" si="6"/>
        <v>32993.617351146895</v>
      </c>
      <c r="P231" s="275">
        <f t="shared" si="6"/>
        <v>419704.455827142</v>
      </c>
      <c r="Q231" s="275">
        <f t="shared" si="6"/>
        <v>11517.961391048839</v>
      </c>
      <c r="R231" s="275">
        <f t="shared" si="6"/>
        <v>674.85025217285374</v>
      </c>
      <c r="S231" s="275">
        <f t="shared" si="6"/>
        <v>25.768606153818535</v>
      </c>
      <c r="T231" s="275">
        <f t="shared" si="6"/>
        <v>3471.0598153050755</v>
      </c>
      <c r="U231" s="275">
        <f t="shared" si="6"/>
        <v>0</v>
      </c>
      <c r="V231" s="275">
        <f t="shared" si="6"/>
        <v>0</v>
      </c>
      <c r="W231" s="275">
        <f t="shared" si="6"/>
        <v>0</v>
      </c>
      <c r="X231" s="275">
        <f t="shared" si="6"/>
        <v>86090.420132224855</v>
      </c>
      <c r="Y231" s="275">
        <f t="shared" si="6"/>
        <v>0</v>
      </c>
      <c r="AQ231" s="88"/>
    </row>
    <row r="232" spans="3:43" x14ac:dyDescent="0.25">
      <c r="F232" s="14" t="s">
        <v>146</v>
      </c>
      <c r="G232" s="14" t="s">
        <v>120</v>
      </c>
      <c r="J232" s="275">
        <f t="shared" ref="J232:Y232" si="7">J$208</f>
        <v>12427.22138594751</v>
      </c>
      <c r="K232" s="275">
        <f t="shared" si="7"/>
        <v>0</v>
      </c>
      <c r="L232" s="275">
        <f t="shared" si="7"/>
        <v>525.83803690458274</v>
      </c>
      <c r="M232" s="275">
        <f t="shared" si="7"/>
        <v>29.268702844790479</v>
      </c>
      <c r="N232" s="275">
        <f t="shared" si="7"/>
        <v>1646.1777445493926</v>
      </c>
      <c r="O232" s="275">
        <f t="shared" si="7"/>
        <v>0</v>
      </c>
      <c r="P232" s="275">
        <f t="shared" si="7"/>
        <v>0</v>
      </c>
      <c r="Q232" s="275">
        <f t="shared" si="7"/>
        <v>8.385521972809924</v>
      </c>
      <c r="R232" s="275">
        <f t="shared" si="7"/>
        <v>26.613504917281357</v>
      </c>
      <c r="S232" s="275">
        <f t="shared" si="7"/>
        <v>0</v>
      </c>
      <c r="T232" s="275">
        <f t="shared" si="7"/>
        <v>0</v>
      </c>
      <c r="U232" s="275">
        <f t="shared" si="7"/>
        <v>0</v>
      </c>
      <c r="V232" s="275">
        <f t="shared" si="7"/>
        <v>0</v>
      </c>
      <c r="W232" s="275">
        <f t="shared" si="7"/>
        <v>0</v>
      </c>
      <c r="X232" s="275">
        <f t="shared" si="7"/>
        <v>0</v>
      </c>
      <c r="Y232" s="275">
        <f t="shared" si="7"/>
        <v>0</v>
      </c>
      <c r="AQ232" s="88"/>
    </row>
    <row r="233" spans="3:43" x14ac:dyDescent="0.25">
      <c r="F233" s="14" t="s">
        <v>147</v>
      </c>
      <c r="G233" s="14" t="s">
        <v>120</v>
      </c>
      <c r="J233" s="275">
        <f t="shared" ref="J233:Y233" si="8">J$217</f>
        <v>44670.593528846104</v>
      </c>
      <c r="K233" s="275">
        <f t="shared" si="8"/>
        <v>179.77446786950873</v>
      </c>
      <c r="L233" s="275">
        <f t="shared" si="8"/>
        <v>1471.4733612004197</v>
      </c>
      <c r="M233" s="275">
        <f t="shared" si="8"/>
        <v>50.994806112427376</v>
      </c>
      <c r="N233" s="275">
        <f t="shared" si="8"/>
        <v>13614.717442907764</v>
      </c>
      <c r="O233" s="275">
        <f t="shared" si="8"/>
        <v>2425.0073721551812</v>
      </c>
      <c r="P233" s="275">
        <f t="shared" si="8"/>
        <v>3134.8583682596272</v>
      </c>
      <c r="Q233" s="275">
        <f t="shared" si="8"/>
        <v>93.792650881413181</v>
      </c>
      <c r="R233" s="275">
        <f t="shared" si="8"/>
        <v>5.4054629554655884</v>
      </c>
      <c r="S233" s="275">
        <f t="shared" si="8"/>
        <v>3.2511697241080468</v>
      </c>
      <c r="T233" s="275">
        <f t="shared" si="8"/>
        <v>10.272978968253968</v>
      </c>
      <c r="U233" s="275">
        <f t="shared" si="8"/>
        <v>0</v>
      </c>
      <c r="V233" s="275">
        <f t="shared" si="8"/>
        <v>0</v>
      </c>
      <c r="W233" s="275">
        <f t="shared" si="8"/>
        <v>0</v>
      </c>
      <c r="X233" s="275">
        <f t="shared" si="8"/>
        <v>25.409700000000001</v>
      </c>
      <c r="Y233" s="275">
        <f t="shared" si="8"/>
        <v>0</v>
      </c>
      <c r="AQ233" s="88"/>
    </row>
    <row r="234" spans="3:43" x14ac:dyDescent="0.25">
      <c r="F234" s="14" t="s">
        <v>178</v>
      </c>
      <c r="G234" s="14" t="s">
        <v>94</v>
      </c>
      <c r="J234" s="474">
        <f>IF(J$39, J$45, J$34)</f>
        <v>0.35419813587175775</v>
      </c>
      <c r="K234" s="474">
        <f t="shared" ref="K234:Y234" si="9">IF(K$39, K$45, K$34)</f>
        <v>0.35419813587175775</v>
      </c>
      <c r="L234" s="474">
        <f t="shared" si="9"/>
        <v>0.35419813587175775</v>
      </c>
      <c r="M234" s="474">
        <f t="shared" si="9"/>
        <v>0.35419813587175775</v>
      </c>
      <c r="N234" s="474">
        <f t="shared" si="9"/>
        <v>0.35419813587175775</v>
      </c>
      <c r="O234" s="474">
        <f t="shared" si="9"/>
        <v>0</v>
      </c>
      <c r="P234" s="474">
        <f t="shared" si="9"/>
        <v>0</v>
      </c>
      <c r="Q234" s="474">
        <f t="shared" si="9"/>
        <v>0.35419813587175775</v>
      </c>
      <c r="R234" s="474">
        <f t="shared" si="9"/>
        <v>0</v>
      </c>
      <c r="S234" s="474">
        <f t="shared" si="9"/>
        <v>0</v>
      </c>
      <c r="T234" s="474">
        <f t="shared" si="9"/>
        <v>0</v>
      </c>
      <c r="U234" s="474">
        <f t="shared" si="9"/>
        <v>0</v>
      </c>
      <c r="V234" s="474">
        <f t="shared" si="9"/>
        <v>0</v>
      </c>
      <c r="W234" s="474">
        <f t="shared" si="9"/>
        <v>0</v>
      </c>
      <c r="X234" s="474">
        <f t="shared" si="9"/>
        <v>0</v>
      </c>
      <c r="Y234" s="474">
        <f t="shared" si="9"/>
        <v>0</v>
      </c>
      <c r="AQ234" s="88"/>
    </row>
    <row r="235" spans="3:43" x14ac:dyDescent="0.25">
      <c r="F235" s="14" t="s">
        <v>179</v>
      </c>
      <c r="G235" s="14" t="s">
        <v>94</v>
      </c>
      <c r="J235" s="474">
        <f>IF(J$39, J$45, J$35)</f>
        <v>0.53678178408311983</v>
      </c>
      <c r="K235" s="474">
        <f t="shared" ref="K235:Y235" si="10">IF(K$39, K$45, K$35)</f>
        <v>0.53678178408311983</v>
      </c>
      <c r="L235" s="474">
        <f t="shared" si="10"/>
        <v>0.53678178408311983</v>
      </c>
      <c r="M235" s="474">
        <f t="shared" si="10"/>
        <v>0.53678178408311983</v>
      </c>
      <c r="N235" s="474">
        <f t="shared" si="10"/>
        <v>0.53678178408311983</v>
      </c>
      <c r="O235" s="474">
        <f t="shared" si="10"/>
        <v>0.26008027391458188</v>
      </c>
      <c r="P235" s="474">
        <f t="shared" si="10"/>
        <v>0.15233473843264977</v>
      </c>
      <c r="Q235" s="474">
        <f t="shared" si="10"/>
        <v>0.53678178408311983</v>
      </c>
      <c r="R235" s="474">
        <f t="shared" si="10"/>
        <v>0</v>
      </c>
      <c r="S235" s="474">
        <f t="shared" si="10"/>
        <v>0</v>
      </c>
      <c r="T235" s="474">
        <f t="shared" si="10"/>
        <v>0</v>
      </c>
      <c r="U235" s="474">
        <f t="shared" si="10"/>
        <v>0</v>
      </c>
      <c r="V235" s="474">
        <f t="shared" si="10"/>
        <v>0</v>
      </c>
      <c r="W235" s="474">
        <f t="shared" si="10"/>
        <v>0</v>
      </c>
      <c r="X235" s="474">
        <f t="shared" si="10"/>
        <v>0</v>
      </c>
      <c r="Y235" s="474">
        <f t="shared" si="10"/>
        <v>0</v>
      </c>
      <c r="AQ235" s="88"/>
    </row>
    <row r="236" spans="3:43" x14ac:dyDescent="0.25">
      <c r="F236" s="14" t="s">
        <v>166</v>
      </c>
      <c r="G236" s="14" t="s">
        <v>120</v>
      </c>
      <c r="J236" s="275">
        <f t="shared" ref="J236:Y237" si="11">J232 * (1 - J234)</f>
        <v>8025.5227369792601</v>
      </c>
      <c r="K236" s="275">
        <f t="shared" si="11"/>
        <v>0</v>
      </c>
      <c r="L236" s="275">
        <f t="shared" si="11"/>
        <v>339.58718446251498</v>
      </c>
      <c r="M236" s="275">
        <f t="shared" si="11"/>
        <v>18.901782857781278</v>
      </c>
      <c r="N236" s="275">
        <f t="shared" si="11"/>
        <v>1063.104656116423</v>
      </c>
      <c r="O236" s="275">
        <f t="shared" si="11"/>
        <v>0</v>
      </c>
      <c r="P236" s="275">
        <f t="shared" si="11"/>
        <v>0</v>
      </c>
      <c r="Q236" s="275">
        <f t="shared" si="11"/>
        <v>5.4153857217289847</v>
      </c>
      <c r="R236" s="275">
        <f t="shared" si="11"/>
        <v>26.613504917281357</v>
      </c>
      <c r="S236" s="275">
        <f t="shared" si="11"/>
        <v>0</v>
      </c>
      <c r="T236" s="275">
        <f t="shared" si="11"/>
        <v>0</v>
      </c>
      <c r="U236" s="275">
        <f t="shared" si="11"/>
        <v>0</v>
      </c>
      <c r="V236" s="275">
        <f t="shared" si="11"/>
        <v>0</v>
      </c>
      <c r="W236" s="275">
        <f t="shared" si="11"/>
        <v>0</v>
      </c>
      <c r="X236" s="275">
        <f t="shared" si="11"/>
        <v>0</v>
      </c>
      <c r="Y236" s="275">
        <f t="shared" si="11"/>
        <v>0</v>
      </c>
      <c r="AQ236" s="88"/>
    </row>
    <row r="237" spans="3:43" x14ac:dyDescent="0.25">
      <c r="F237" s="15" t="s">
        <v>177</v>
      </c>
      <c r="G237" s="15" t="s">
        <v>120</v>
      </c>
      <c r="H237" s="93"/>
      <c r="I237" s="93"/>
      <c r="J237" s="268">
        <f t="shared" si="11"/>
        <v>20692.232638380225</v>
      </c>
      <c r="K237" s="268">
        <f t="shared" si="11"/>
        <v>83.274808273920328</v>
      </c>
      <c r="L237" s="268">
        <f t="shared" si="11"/>
        <v>681.61326514447342</v>
      </c>
      <c r="M237" s="268">
        <f t="shared" si="11"/>
        <v>23.621723108425826</v>
      </c>
      <c r="N237" s="268">
        <f t="shared" si="11"/>
        <v>6306.5851241161636</v>
      </c>
      <c r="O237" s="268">
        <f t="shared" si="11"/>
        <v>1794.3107905601812</v>
      </c>
      <c r="P237" s="268">
        <f t="shared" si="11"/>
        <v>2657.3105387073938</v>
      </c>
      <c r="Q237" s="268">
        <f t="shared" si="11"/>
        <v>43.446464407403013</v>
      </c>
      <c r="R237" s="268">
        <f t="shared" si="11"/>
        <v>5.4054629554655884</v>
      </c>
      <c r="S237" s="268">
        <f t="shared" si="11"/>
        <v>3.2511697241080468</v>
      </c>
      <c r="T237" s="268">
        <f t="shared" si="11"/>
        <v>10.272978968253968</v>
      </c>
      <c r="U237" s="268">
        <f t="shared" si="11"/>
        <v>0</v>
      </c>
      <c r="V237" s="268">
        <f t="shared" si="11"/>
        <v>0</v>
      </c>
      <c r="W237" s="268">
        <f t="shared" si="11"/>
        <v>0</v>
      </c>
      <c r="X237" s="268">
        <f t="shared" si="11"/>
        <v>25.409700000000001</v>
      </c>
      <c r="Y237" s="268">
        <f t="shared" si="11"/>
        <v>0</v>
      </c>
      <c r="AQ237" s="88"/>
    </row>
    <row r="238" spans="3:43" x14ac:dyDescent="0.25">
      <c r="F238" s="14" t="s">
        <v>167</v>
      </c>
      <c r="G238" s="14" t="s">
        <v>120</v>
      </c>
      <c r="J238" s="256">
        <f t="shared" ref="J238:Y238" si="12">J231 + J236 + J237</f>
        <v>1548246.7463325649</v>
      </c>
      <c r="K238" s="256">
        <f t="shared" si="12"/>
        <v>435.37279303514384</v>
      </c>
      <c r="L238" s="256">
        <f t="shared" si="12"/>
        <v>306995.96899709711</v>
      </c>
      <c r="M238" s="256">
        <f t="shared" si="12"/>
        <v>594.16318180266921</v>
      </c>
      <c r="N238" s="256">
        <f t="shared" si="12"/>
        <v>523029.63172901265</v>
      </c>
      <c r="O238" s="256">
        <f t="shared" si="12"/>
        <v>34787.928141707074</v>
      </c>
      <c r="P238" s="256">
        <f t="shared" si="12"/>
        <v>422361.76636584941</v>
      </c>
      <c r="Q238" s="256">
        <f t="shared" si="12"/>
        <v>11566.823241177972</v>
      </c>
      <c r="R238" s="256">
        <f t="shared" si="12"/>
        <v>706.86922004560074</v>
      </c>
      <c r="S238" s="256">
        <f t="shared" si="12"/>
        <v>29.01977587792658</v>
      </c>
      <c r="T238" s="256">
        <f t="shared" si="12"/>
        <v>3481.3327942733295</v>
      </c>
      <c r="U238" s="256">
        <f t="shared" si="12"/>
        <v>0</v>
      </c>
      <c r="V238" s="256">
        <f t="shared" si="12"/>
        <v>0</v>
      </c>
      <c r="W238" s="256">
        <f t="shared" si="12"/>
        <v>0</v>
      </c>
      <c r="X238" s="256">
        <f t="shared" si="12"/>
        <v>86115.829832224859</v>
      </c>
      <c r="Y238" s="256">
        <f t="shared" si="12"/>
        <v>0</v>
      </c>
      <c r="AQ238" s="88"/>
    </row>
    <row r="239" spans="3:43" x14ac:dyDescent="0.25">
      <c r="E239" s="96"/>
      <c r="J239" s="252"/>
      <c r="K239" s="252"/>
      <c r="L239" s="252"/>
      <c r="M239" s="252"/>
      <c r="N239" s="252"/>
      <c r="O239" s="252"/>
      <c r="P239" s="252"/>
      <c r="Q239" s="252"/>
      <c r="R239" s="252"/>
      <c r="S239" s="252"/>
      <c r="T239" s="252"/>
      <c r="U239" s="252"/>
      <c r="V239" s="252"/>
      <c r="W239" s="252"/>
      <c r="X239" s="252"/>
      <c r="Y239" s="252"/>
      <c r="AQ239" s="88"/>
    </row>
    <row r="240" spans="3:43" x14ac:dyDescent="0.25">
      <c r="E240" s="96" t="s">
        <v>135</v>
      </c>
      <c r="I240" s="293" t="s">
        <v>359</v>
      </c>
      <c r="J240" s="252"/>
      <c r="K240" s="252"/>
      <c r="L240" s="252"/>
      <c r="M240" s="252"/>
      <c r="N240" s="252"/>
      <c r="O240" s="252"/>
      <c r="P240" s="252"/>
      <c r="Q240" s="252"/>
      <c r="R240" s="252"/>
      <c r="S240" s="252"/>
      <c r="T240" s="252"/>
      <c r="U240" s="252"/>
      <c r="V240" s="252"/>
      <c r="W240" s="252"/>
      <c r="X240" s="252"/>
      <c r="Y240" s="252"/>
      <c r="AA240" s="293" t="s">
        <v>694</v>
      </c>
      <c r="AQ240" s="88"/>
    </row>
    <row r="241" spans="5:43" x14ac:dyDescent="0.25">
      <c r="E241" s="96"/>
      <c r="J241" s="252"/>
      <c r="K241" s="252"/>
      <c r="L241" s="252"/>
      <c r="M241" s="252"/>
      <c r="N241" s="252"/>
      <c r="O241" s="252"/>
      <c r="P241" s="252"/>
      <c r="Q241" s="252"/>
      <c r="R241" s="252"/>
      <c r="S241" s="252"/>
      <c r="T241" s="252"/>
      <c r="U241" s="252"/>
      <c r="V241" s="252"/>
      <c r="W241" s="252"/>
      <c r="X241" s="252"/>
      <c r="Y241" s="252"/>
      <c r="AQ241" s="88"/>
    </row>
    <row r="242" spans="5:43" x14ac:dyDescent="0.25">
      <c r="F242" s="14" t="s">
        <v>145</v>
      </c>
      <c r="G242" s="14" t="s">
        <v>120</v>
      </c>
      <c r="J242" s="275">
        <f t="shared" ref="J242:Y242" si="13">J$200</f>
        <v>6704922.9381034765</v>
      </c>
      <c r="K242" s="275">
        <f t="shared" si="13"/>
        <v>43149.740797225757</v>
      </c>
      <c r="L242" s="275">
        <f t="shared" si="13"/>
        <v>1924243.7897781476</v>
      </c>
      <c r="M242" s="275">
        <f t="shared" si="13"/>
        <v>7964.6066273601509</v>
      </c>
      <c r="N242" s="275">
        <f t="shared" si="13"/>
        <v>2942519.3140414082</v>
      </c>
      <c r="O242" s="275">
        <f t="shared" si="13"/>
        <v>180364.60505998542</v>
      </c>
      <c r="P242" s="275">
        <f t="shared" si="13"/>
        <v>2345059.381895408</v>
      </c>
      <c r="Q242" s="275">
        <f t="shared" si="13"/>
        <v>73125.948651823521</v>
      </c>
      <c r="R242" s="275">
        <f t="shared" si="13"/>
        <v>5290.0415585937481</v>
      </c>
      <c r="S242" s="275">
        <f t="shared" si="13"/>
        <v>199.9475994029803</v>
      </c>
      <c r="T242" s="275">
        <f t="shared" si="13"/>
        <v>32553.160713646485</v>
      </c>
      <c r="U242" s="275">
        <f t="shared" si="13"/>
        <v>0</v>
      </c>
      <c r="V242" s="275">
        <f t="shared" si="13"/>
        <v>0</v>
      </c>
      <c r="W242" s="275">
        <f t="shared" si="13"/>
        <v>0</v>
      </c>
      <c r="X242" s="275">
        <f t="shared" si="13"/>
        <v>532778.46099718625</v>
      </c>
      <c r="Y242" s="275">
        <f t="shared" si="13"/>
        <v>0</v>
      </c>
      <c r="AQ242" s="88"/>
    </row>
    <row r="243" spans="5:43" x14ac:dyDescent="0.25">
      <c r="F243" s="14" t="s">
        <v>146</v>
      </c>
      <c r="G243" s="14" t="s">
        <v>120</v>
      </c>
      <c r="J243" s="275">
        <f t="shared" ref="J243:Y243" si="14">J$209</f>
        <v>51168.232381723828</v>
      </c>
      <c r="K243" s="275">
        <f t="shared" si="14"/>
        <v>0</v>
      </c>
      <c r="L243" s="275">
        <f t="shared" si="14"/>
        <v>3339.3522610394725</v>
      </c>
      <c r="M243" s="275">
        <f t="shared" si="14"/>
        <v>179.17889035465157</v>
      </c>
      <c r="N243" s="275">
        <f t="shared" si="14"/>
        <v>9645.3314316990691</v>
      </c>
      <c r="O243" s="275">
        <f t="shared" si="14"/>
        <v>0</v>
      </c>
      <c r="P243" s="275">
        <f t="shared" si="14"/>
        <v>0</v>
      </c>
      <c r="Q243" s="275">
        <f t="shared" si="14"/>
        <v>52.712365653495674</v>
      </c>
      <c r="R243" s="275">
        <f t="shared" si="14"/>
        <v>222.99704050037963</v>
      </c>
      <c r="S243" s="275">
        <f t="shared" si="14"/>
        <v>0</v>
      </c>
      <c r="T243" s="275">
        <f t="shared" si="14"/>
        <v>0</v>
      </c>
      <c r="U243" s="275">
        <f t="shared" si="14"/>
        <v>0</v>
      </c>
      <c r="V243" s="275">
        <f t="shared" si="14"/>
        <v>0</v>
      </c>
      <c r="W243" s="275">
        <f t="shared" si="14"/>
        <v>0</v>
      </c>
      <c r="X243" s="275">
        <f t="shared" si="14"/>
        <v>0</v>
      </c>
      <c r="Y243" s="275">
        <f t="shared" si="14"/>
        <v>0</v>
      </c>
      <c r="AQ243" s="88"/>
    </row>
    <row r="244" spans="5:43" x14ac:dyDescent="0.25">
      <c r="F244" s="14" t="s">
        <v>147</v>
      </c>
      <c r="G244" s="14" t="s">
        <v>120</v>
      </c>
      <c r="J244" s="275">
        <f t="shared" ref="J244:Y244" si="15">J$218</f>
        <v>188586.48344018924</v>
      </c>
      <c r="K244" s="275">
        <f t="shared" si="15"/>
        <v>844.36342956518479</v>
      </c>
      <c r="L244" s="275">
        <f t="shared" si="15"/>
        <v>10149.756548554391</v>
      </c>
      <c r="M244" s="275">
        <f t="shared" si="15"/>
        <v>311.10576867355189</v>
      </c>
      <c r="N244" s="275">
        <f t="shared" si="15"/>
        <v>73202.356235702493</v>
      </c>
      <c r="O244" s="275">
        <f t="shared" si="15"/>
        <v>13769.150060142965</v>
      </c>
      <c r="P244" s="275">
        <f t="shared" si="15"/>
        <v>13012.393262175288</v>
      </c>
      <c r="Q244" s="275">
        <f t="shared" si="15"/>
        <v>576.08956419110757</v>
      </c>
      <c r="R244" s="275">
        <f t="shared" si="15"/>
        <v>46.327257006571251</v>
      </c>
      <c r="S244" s="275">
        <f t="shared" si="15"/>
        <v>12.776181565765997</v>
      </c>
      <c r="T244" s="275">
        <f t="shared" si="15"/>
        <v>44.359057142857147</v>
      </c>
      <c r="U244" s="275">
        <f t="shared" si="15"/>
        <v>0</v>
      </c>
      <c r="V244" s="275">
        <f t="shared" si="15"/>
        <v>0</v>
      </c>
      <c r="W244" s="275">
        <f t="shared" si="15"/>
        <v>0</v>
      </c>
      <c r="X244" s="275">
        <f t="shared" si="15"/>
        <v>1.0569</v>
      </c>
      <c r="Y244" s="275">
        <f t="shared" si="15"/>
        <v>0</v>
      </c>
      <c r="AQ244" s="88"/>
    </row>
    <row r="245" spans="5:43" x14ac:dyDescent="0.25">
      <c r="F245" s="14" t="s">
        <v>178</v>
      </c>
      <c r="G245" s="14" t="s">
        <v>94</v>
      </c>
      <c r="J245" s="475">
        <f t="shared" ref="J245:Y245" si="16">IF(J$39, J$45, J$34)</f>
        <v>0.35419813587175775</v>
      </c>
      <c r="K245" s="475">
        <f t="shared" si="16"/>
        <v>0.35419813587175775</v>
      </c>
      <c r="L245" s="475">
        <f t="shared" si="16"/>
        <v>0.35419813587175775</v>
      </c>
      <c r="M245" s="475">
        <f t="shared" si="16"/>
        <v>0.35419813587175775</v>
      </c>
      <c r="N245" s="475">
        <f t="shared" si="16"/>
        <v>0.35419813587175775</v>
      </c>
      <c r="O245" s="475">
        <f t="shared" si="16"/>
        <v>0</v>
      </c>
      <c r="P245" s="475">
        <f t="shared" si="16"/>
        <v>0</v>
      </c>
      <c r="Q245" s="475">
        <f t="shared" si="16"/>
        <v>0.35419813587175775</v>
      </c>
      <c r="R245" s="475">
        <f t="shared" si="16"/>
        <v>0</v>
      </c>
      <c r="S245" s="475">
        <f t="shared" si="16"/>
        <v>0</v>
      </c>
      <c r="T245" s="475">
        <f t="shared" si="16"/>
        <v>0</v>
      </c>
      <c r="U245" s="475">
        <f t="shared" si="16"/>
        <v>0</v>
      </c>
      <c r="V245" s="475">
        <f t="shared" si="16"/>
        <v>0</v>
      </c>
      <c r="W245" s="475">
        <f t="shared" si="16"/>
        <v>0</v>
      </c>
      <c r="X245" s="475">
        <f t="shared" si="16"/>
        <v>0</v>
      </c>
      <c r="Y245" s="475">
        <f t="shared" si="16"/>
        <v>0</v>
      </c>
      <c r="AQ245" s="88"/>
    </row>
    <row r="246" spans="5:43" x14ac:dyDescent="0.25">
      <c r="F246" s="14" t="s">
        <v>179</v>
      </c>
      <c r="G246" s="14" t="s">
        <v>94</v>
      </c>
      <c r="J246" s="475">
        <f t="shared" ref="J246:Y246" si="17">IF(J$39, J$45, J$35)</f>
        <v>0.53678178408311983</v>
      </c>
      <c r="K246" s="475">
        <f t="shared" si="17"/>
        <v>0.53678178408311983</v>
      </c>
      <c r="L246" s="475">
        <f t="shared" si="17"/>
        <v>0.53678178408311983</v>
      </c>
      <c r="M246" s="475">
        <f t="shared" si="17"/>
        <v>0.53678178408311983</v>
      </c>
      <c r="N246" s="475">
        <f t="shared" si="17"/>
        <v>0.53678178408311983</v>
      </c>
      <c r="O246" s="475">
        <f t="shared" si="17"/>
        <v>0.26008027391458188</v>
      </c>
      <c r="P246" s="475">
        <f t="shared" si="17"/>
        <v>0.15233473843264977</v>
      </c>
      <c r="Q246" s="475">
        <f t="shared" si="17"/>
        <v>0.53678178408311983</v>
      </c>
      <c r="R246" s="475">
        <f t="shared" si="17"/>
        <v>0</v>
      </c>
      <c r="S246" s="475">
        <f t="shared" si="17"/>
        <v>0</v>
      </c>
      <c r="T246" s="475">
        <f t="shared" si="17"/>
        <v>0</v>
      </c>
      <c r="U246" s="475">
        <f t="shared" si="17"/>
        <v>0</v>
      </c>
      <c r="V246" s="475">
        <f t="shared" si="17"/>
        <v>0</v>
      </c>
      <c r="W246" s="475">
        <f t="shared" si="17"/>
        <v>0</v>
      </c>
      <c r="X246" s="475">
        <f t="shared" si="17"/>
        <v>0</v>
      </c>
      <c r="Y246" s="475">
        <f t="shared" si="17"/>
        <v>0</v>
      </c>
      <c r="AQ246" s="88"/>
    </row>
    <row r="247" spans="5:43" x14ac:dyDescent="0.25">
      <c r="F247" s="14" t="s">
        <v>166</v>
      </c>
      <c r="G247" s="14" t="s">
        <v>120</v>
      </c>
      <c r="J247" s="275">
        <f t="shared" ref="J247:Y248" si="18">J243 * (1 - J245)</f>
        <v>33044.539856264339</v>
      </c>
      <c r="K247" s="275">
        <f t="shared" si="18"/>
        <v>0</v>
      </c>
      <c r="L247" s="275">
        <f t="shared" si="18"/>
        <v>2156.5599151601518</v>
      </c>
      <c r="M247" s="275">
        <f t="shared" si="18"/>
        <v>115.71406140346392</v>
      </c>
      <c r="N247" s="275">
        <f t="shared" si="18"/>
        <v>6228.9730187259865</v>
      </c>
      <c r="O247" s="275">
        <f t="shared" si="18"/>
        <v>0</v>
      </c>
      <c r="P247" s="275">
        <f t="shared" si="18"/>
        <v>0</v>
      </c>
      <c r="Q247" s="275">
        <f t="shared" si="18"/>
        <v>34.041744001637035</v>
      </c>
      <c r="R247" s="275">
        <f t="shared" si="18"/>
        <v>222.99704050037963</v>
      </c>
      <c r="S247" s="275">
        <f t="shared" si="18"/>
        <v>0</v>
      </c>
      <c r="T247" s="275">
        <f t="shared" si="18"/>
        <v>0</v>
      </c>
      <c r="U247" s="275">
        <f t="shared" si="18"/>
        <v>0</v>
      </c>
      <c r="V247" s="275">
        <f t="shared" si="18"/>
        <v>0</v>
      </c>
      <c r="W247" s="275">
        <f t="shared" si="18"/>
        <v>0</v>
      </c>
      <c r="X247" s="275">
        <f t="shared" si="18"/>
        <v>0</v>
      </c>
      <c r="Y247" s="275">
        <f t="shared" si="18"/>
        <v>0</v>
      </c>
      <c r="AQ247" s="88"/>
    </row>
    <row r="248" spans="5:43" x14ac:dyDescent="0.25">
      <c r="F248" s="15" t="s">
        <v>177</v>
      </c>
      <c r="G248" s="15" t="s">
        <v>120</v>
      </c>
      <c r="H248" s="93"/>
      <c r="I248" s="93"/>
      <c r="J248" s="268">
        <f t="shared" si="18"/>
        <v>87356.694405202725</v>
      </c>
      <c r="K248" s="268">
        <f t="shared" si="18"/>
        <v>391.12452142864322</v>
      </c>
      <c r="L248" s="268">
        <f t="shared" si="18"/>
        <v>4701.5521204120359</v>
      </c>
      <c r="M248" s="268">
        <f t="shared" si="18"/>
        <v>144.10985912641235</v>
      </c>
      <c r="N248" s="268">
        <f t="shared" si="18"/>
        <v>33908.66485641402</v>
      </c>
      <c r="O248" s="268">
        <f t="shared" si="18"/>
        <v>10188.065740930002</v>
      </c>
      <c r="P248" s="268">
        <f t="shared" si="18"/>
        <v>11030.153738199042</v>
      </c>
      <c r="Q248" s="268">
        <f t="shared" si="18"/>
        <v>266.85518013293785</v>
      </c>
      <c r="R248" s="268">
        <f t="shared" si="18"/>
        <v>46.327257006571251</v>
      </c>
      <c r="S248" s="268">
        <f t="shared" si="18"/>
        <v>12.776181565765997</v>
      </c>
      <c r="T248" s="268">
        <f t="shared" si="18"/>
        <v>44.359057142857147</v>
      </c>
      <c r="U248" s="268">
        <f t="shared" si="18"/>
        <v>0</v>
      </c>
      <c r="V248" s="268">
        <f t="shared" si="18"/>
        <v>0</v>
      </c>
      <c r="W248" s="268">
        <f t="shared" si="18"/>
        <v>0</v>
      </c>
      <c r="X248" s="268">
        <f t="shared" si="18"/>
        <v>1.0569</v>
      </c>
      <c r="Y248" s="268">
        <f t="shared" si="18"/>
        <v>0</v>
      </c>
      <c r="AQ248" s="88"/>
    </row>
    <row r="249" spans="5:43" x14ac:dyDescent="0.25">
      <c r="F249" s="14" t="s">
        <v>167</v>
      </c>
      <c r="G249" s="14" t="s">
        <v>120</v>
      </c>
      <c r="J249" s="256">
        <f t="shared" ref="J249:Y249" si="19">J242 + J247 + J248</f>
        <v>6825324.1723649437</v>
      </c>
      <c r="K249" s="256">
        <f t="shared" si="19"/>
        <v>43540.865318654403</v>
      </c>
      <c r="L249" s="256">
        <f t="shared" si="19"/>
        <v>1931101.9018137197</v>
      </c>
      <c r="M249" s="256">
        <f t="shared" si="19"/>
        <v>8224.4305478900278</v>
      </c>
      <c r="N249" s="256">
        <f t="shared" si="19"/>
        <v>2982656.951916548</v>
      </c>
      <c r="O249" s="256">
        <f t="shared" si="19"/>
        <v>190552.67080091542</v>
      </c>
      <c r="P249" s="256">
        <f t="shared" si="19"/>
        <v>2356089.5356336073</v>
      </c>
      <c r="Q249" s="256">
        <f t="shared" si="19"/>
        <v>73426.845575958097</v>
      </c>
      <c r="R249" s="256">
        <f t="shared" si="19"/>
        <v>5559.3658561006987</v>
      </c>
      <c r="S249" s="256">
        <f t="shared" si="19"/>
        <v>212.7237809687463</v>
      </c>
      <c r="T249" s="256">
        <f t="shared" si="19"/>
        <v>32597.519770789342</v>
      </c>
      <c r="U249" s="256">
        <f t="shared" si="19"/>
        <v>0</v>
      </c>
      <c r="V249" s="256">
        <f t="shared" si="19"/>
        <v>0</v>
      </c>
      <c r="W249" s="256">
        <f t="shared" si="19"/>
        <v>0</v>
      </c>
      <c r="X249" s="256">
        <f t="shared" si="19"/>
        <v>532779.51789718622</v>
      </c>
      <c r="Y249" s="256">
        <f t="shared" si="19"/>
        <v>0</v>
      </c>
      <c r="AQ249" s="88"/>
    </row>
    <row r="250" spans="5:43" x14ac:dyDescent="0.25">
      <c r="E250" s="96"/>
      <c r="J250" s="252"/>
      <c r="K250" s="252"/>
      <c r="L250" s="252"/>
      <c r="M250" s="252"/>
      <c r="N250" s="252"/>
      <c r="O250" s="252"/>
      <c r="P250" s="252"/>
      <c r="Q250" s="252"/>
      <c r="R250" s="252"/>
      <c r="S250" s="252"/>
      <c r="T250" s="252"/>
      <c r="U250" s="252"/>
      <c r="V250" s="252"/>
      <c r="W250" s="252"/>
      <c r="X250" s="252"/>
      <c r="Y250" s="252"/>
      <c r="AQ250" s="88"/>
    </row>
    <row r="251" spans="5:43" x14ac:dyDescent="0.25">
      <c r="E251" s="96" t="s">
        <v>136</v>
      </c>
      <c r="I251" s="293" t="s">
        <v>359</v>
      </c>
      <c r="J251" s="252"/>
      <c r="K251" s="252"/>
      <c r="L251" s="252"/>
      <c r="M251" s="252"/>
      <c r="N251" s="252"/>
      <c r="O251" s="252"/>
      <c r="P251" s="252"/>
      <c r="Q251" s="252"/>
      <c r="R251" s="252"/>
      <c r="S251" s="252"/>
      <c r="T251" s="252"/>
      <c r="U251" s="252"/>
      <c r="V251" s="252"/>
      <c r="W251" s="252"/>
      <c r="X251" s="252"/>
      <c r="Y251" s="252"/>
      <c r="AA251" s="293" t="s">
        <v>694</v>
      </c>
      <c r="AQ251" s="88"/>
    </row>
    <row r="252" spans="5:43" x14ac:dyDescent="0.25">
      <c r="E252" s="96"/>
      <c r="J252" s="252"/>
      <c r="K252" s="252"/>
      <c r="L252" s="252"/>
      <c r="M252" s="252"/>
      <c r="N252" s="252"/>
      <c r="O252" s="252"/>
      <c r="P252" s="252"/>
      <c r="Q252" s="252"/>
      <c r="R252" s="252"/>
      <c r="S252" s="252"/>
      <c r="T252" s="252"/>
      <c r="U252" s="252"/>
      <c r="V252" s="252"/>
      <c r="W252" s="252"/>
      <c r="X252" s="252"/>
      <c r="Y252" s="252"/>
      <c r="AQ252" s="88"/>
    </row>
    <row r="253" spans="5:43" x14ac:dyDescent="0.25">
      <c r="F253" s="14" t="s">
        <v>145</v>
      </c>
      <c r="G253" s="14" t="s">
        <v>120</v>
      </c>
      <c r="J253" s="275">
        <f t="shared" ref="J253:Y253" si="20">J$201</f>
        <v>3714187.4425115269</v>
      </c>
      <c r="K253" s="275">
        <f t="shared" si="20"/>
        <v>106119.38059189059</v>
      </c>
      <c r="L253" s="275">
        <f t="shared" si="20"/>
        <v>854958.36276893259</v>
      </c>
      <c r="M253" s="275">
        <f t="shared" si="20"/>
        <v>22951.54492456152</v>
      </c>
      <c r="N253" s="275">
        <f t="shared" si="20"/>
        <v>1542881.3100961696</v>
      </c>
      <c r="O253" s="275">
        <f t="shared" si="20"/>
        <v>118063.34563246807</v>
      </c>
      <c r="P253" s="275">
        <f t="shared" si="20"/>
        <v>1607565.3350004095</v>
      </c>
      <c r="Q253" s="275">
        <f t="shared" si="20"/>
        <v>109990.23751551715</v>
      </c>
      <c r="R253" s="275">
        <f t="shared" si="20"/>
        <v>705.96883393295752</v>
      </c>
      <c r="S253" s="275">
        <f t="shared" si="20"/>
        <v>28.789763351391056</v>
      </c>
      <c r="T253" s="275">
        <f t="shared" si="20"/>
        <v>8516.1143309833551</v>
      </c>
      <c r="U253" s="275">
        <f t="shared" si="20"/>
        <v>0</v>
      </c>
      <c r="V253" s="275">
        <f t="shared" si="20"/>
        <v>0</v>
      </c>
      <c r="W253" s="275">
        <f t="shared" si="20"/>
        <v>0</v>
      </c>
      <c r="X253" s="275">
        <f t="shared" si="20"/>
        <v>260951.76676867288</v>
      </c>
      <c r="Y253" s="275">
        <f t="shared" si="20"/>
        <v>0</v>
      </c>
      <c r="AQ253" s="88"/>
    </row>
    <row r="254" spans="5:43" x14ac:dyDescent="0.25">
      <c r="F254" s="14" t="s">
        <v>146</v>
      </c>
      <c r="G254" s="14" t="s">
        <v>120</v>
      </c>
      <c r="J254" s="275">
        <f t="shared" ref="J254:Y254" si="21">J$210</f>
        <v>24902.513907975921</v>
      </c>
      <c r="K254" s="275">
        <f t="shared" si="21"/>
        <v>0</v>
      </c>
      <c r="L254" s="275">
        <f t="shared" si="21"/>
        <v>1502.3877560412086</v>
      </c>
      <c r="M254" s="275">
        <f t="shared" si="21"/>
        <v>94.027914478237506</v>
      </c>
      <c r="N254" s="275">
        <f t="shared" si="21"/>
        <v>5718.963451804535</v>
      </c>
      <c r="O254" s="275">
        <f t="shared" si="21"/>
        <v>0</v>
      </c>
      <c r="P254" s="275">
        <f t="shared" si="21"/>
        <v>0</v>
      </c>
      <c r="Q254" s="275">
        <f t="shared" si="21"/>
        <v>45.853087148916899</v>
      </c>
      <c r="R254" s="275">
        <f t="shared" si="21"/>
        <v>20.758512136782162</v>
      </c>
      <c r="S254" s="275">
        <f t="shared" si="21"/>
        <v>0</v>
      </c>
      <c r="T254" s="275">
        <f t="shared" si="21"/>
        <v>0</v>
      </c>
      <c r="U254" s="275">
        <f t="shared" si="21"/>
        <v>0</v>
      </c>
      <c r="V254" s="275">
        <f t="shared" si="21"/>
        <v>0</v>
      </c>
      <c r="W254" s="275">
        <f t="shared" si="21"/>
        <v>0</v>
      </c>
      <c r="X254" s="275">
        <f t="shared" si="21"/>
        <v>0</v>
      </c>
      <c r="Y254" s="275">
        <f t="shared" si="21"/>
        <v>0</v>
      </c>
      <c r="AQ254" s="88"/>
    </row>
    <row r="255" spans="5:43" x14ac:dyDescent="0.25">
      <c r="F255" s="14" t="s">
        <v>147</v>
      </c>
      <c r="G255" s="14" t="s">
        <v>120</v>
      </c>
      <c r="J255" s="275">
        <f t="shared" ref="J255:Y255" si="22">J$219</f>
        <v>86625.588105867108</v>
      </c>
      <c r="K255" s="275">
        <f t="shared" si="22"/>
        <v>757.85400103071845</v>
      </c>
      <c r="L255" s="275">
        <f t="shared" si="22"/>
        <v>3966.9119181163578</v>
      </c>
      <c r="M255" s="275">
        <f t="shared" si="22"/>
        <v>157.64075203394657</v>
      </c>
      <c r="N255" s="275">
        <f t="shared" si="22"/>
        <v>40341.849015828971</v>
      </c>
      <c r="O255" s="275">
        <f t="shared" si="22"/>
        <v>7697.8250511447868</v>
      </c>
      <c r="P255" s="275">
        <f t="shared" si="22"/>
        <v>9278.9514394950711</v>
      </c>
      <c r="Q255" s="275">
        <f t="shared" si="22"/>
        <v>467.62435887244271</v>
      </c>
      <c r="R255" s="275">
        <f t="shared" si="22"/>
        <v>4.5925501092132963</v>
      </c>
      <c r="S255" s="275">
        <f t="shared" si="22"/>
        <v>4.3867903210204036</v>
      </c>
      <c r="T255" s="275">
        <f t="shared" si="22"/>
        <v>30.278270238095242</v>
      </c>
      <c r="U255" s="275">
        <f t="shared" si="22"/>
        <v>0</v>
      </c>
      <c r="V255" s="275">
        <f t="shared" si="22"/>
        <v>0</v>
      </c>
      <c r="W255" s="275">
        <f t="shared" si="22"/>
        <v>0</v>
      </c>
      <c r="X255" s="275">
        <f t="shared" si="22"/>
        <v>0</v>
      </c>
      <c r="Y255" s="275">
        <f t="shared" si="22"/>
        <v>0</v>
      </c>
      <c r="AQ255" s="88"/>
    </row>
    <row r="256" spans="5:43" x14ac:dyDescent="0.25">
      <c r="F256" s="14" t="s">
        <v>178</v>
      </c>
      <c r="G256" s="14" t="s">
        <v>94</v>
      </c>
      <c r="J256" s="475">
        <f t="shared" ref="J256:Y256" si="23">IF(J$39, J$45, J$34)</f>
        <v>0.35419813587175775</v>
      </c>
      <c r="K256" s="475">
        <f t="shared" si="23"/>
        <v>0.35419813587175775</v>
      </c>
      <c r="L256" s="475">
        <f t="shared" si="23"/>
        <v>0.35419813587175775</v>
      </c>
      <c r="M256" s="475">
        <f t="shared" si="23"/>
        <v>0.35419813587175775</v>
      </c>
      <c r="N256" s="475">
        <f t="shared" si="23"/>
        <v>0.35419813587175775</v>
      </c>
      <c r="O256" s="475">
        <f t="shared" si="23"/>
        <v>0</v>
      </c>
      <c r="P256" s="475">
        <f t="shared" si="23"/>
        <v>0</v>
      </c>
      <c r="Q256" s="475">
        <f t="shared" si="23"/>
        <v>0.35419813587175775</v>
      </c>
      <c r="R256" s="475">
        <f t="shared" si="23"/>
        <v>0</v>
      </c>
      <c r="S256" s="475">
        <f t="shared" si="23"/>
        <v>0</v>
      </c>
      <c r="T256" s="475">
        <f t="shared" si="23"/>
        <v>0</v>
      </c>
      <c r="U256" s="475">
        <f t="shared" si="23"/>
        <v>0</v>
      </c>
      <c r="V256" s="475">
        <f t="shared" si="23"/>
        <v>0</v>
      </c>
      <c r="W256" s="475">
        <f t="shared" si="23"/>
        <v>0</v>
      </c>
      <c r="X256" s="475">
        <f t="shared" si="23"/>
        <v>0</v>
      </c>
      <c r="Y256" s="475">
        <f t="shared" si="23"/>
        <v>0</v>
      </c>
      <c r="AQ256" s="88"/>
    </row>
    <row r="257" spans="5:43" x14ac:dyDescent="0.25">
      <c r="F257" s="14" t="s">
        <v>179</v>
      </c>
      <c r="G257" s="14" t="s">
        <v>94</v>
      </c>
      <c r="J257" s="475">
        <f t="shared" ref="J257:Y257" si="24">IF(J$39, J$45, J$35)</f>
        <v>0.53678178408311983</v>
      </c>
      <c r="K257" s="475">
        <f t="shared" si="24"/>
        <v>0.53678178408311983</v>
      </c>
      <c r="L257" s="475">
        <f t="shared" si="24"/>
        <v>0.53678178408311983</v>
      </c>
      <c r="M257" s="475">
        <f t="shared" si="24"/>
        <v>0.53678178408311983</v>
      </c>
      <c r="N257" s="475">
        <f t="shared" si="24"/>
        <v>0.53678178408311983</v>
      </c>
      <c r="O257" s="475">
        <f t="shared" si="24"/>
        <v>0.26008027391458188</v>
      </c>
      <c r="P257" s="475">
        <f t="shared" si="24"/>
        <v>0.15233473843264977</v>
      </c>
      <c r="Q257" s="475">
        <f t="shared" si="24"/>
        <v>0.53678178408311983</v>
      </c>
      <c r="R257" s="475">
        <f t="shared" si="24"/>
        <v>0</v>
      </c>
      <c r="S257" s="475">
        <f t="shared" si="24"/>
        <v>0</v>
      </c>
      <c r="T257" s="475">
        <f t="shared" si="24"/>
        <v>0</v>
      </c>
      <c r="U257" s="475">
        <f t="shared" si="24"/>
        <v>0</v>
      </c>
      <c r="V257" s="475">
        <f t="shared" si="24"/>
        <v>0</v>
      </c>
      <c r="W257" s="475">
        <f t="shared" si="24"/>
        <v>0</v>
      </c>
      <c r="X257" s="475">
        <f t="shared" si="24"/>
        <v>0</v>
      </c>
      <c r="Y257" s="475">
        <f t="shared" si="24"/>
        <v>0</v>
      </c>
      <c r="AQ257" s="88"/>
    </row>
    <row r="258" spans="5:43" x14ac:dyDescent="0.25">
      <c r="F258" s="14" t="s">
        <v>166</v>
      </c>
      <c r="G258" s="14" t="s">
        <v>120</v>
      </c>
      <c r="J258" s="275">
        <f t="shared" ref="J258:Y259" si="25">J254 * (1 - J256)</f>
        <v>16082.089903250329</v>
      </c>
      <c r="K258" s="275">
        <f t="shared" si="25"/>
        <v>0</v>
      </c>
      <c r="L258" s="275">
        <f t="shared" si="25"/>
        <v>970.24481349485939</v>
      </c>
      <c r="M258" s="275">
        <f t="shared" si="25"/>
        <v>60.723402450136717</v>
      </c>
      <c r="N258" s="275">
        <f t="shared" si="25"/>
        <v>3693.3172580566556</v>
      </c>
      <c r="O258" s="275">
        <f t="shared" si="25"/>
        <v>0</v>
      </c>
      <c r="P258" s="275">
        <f t="shared" si="25"/>
        <v>0</v>
      </c>
      <c r="Q258" s="275">
        <f t="shared" si="25"/>
        <v>29.612009156805282</v>
      </c>
      <c r="R258" s="275">
        <f t="shared" si="25"/>
        <v>20.758512136782162</v>
      </c>
      <c r="S258" s="275">
        <f t="shared" si="25"/>
        <v>0</v>
      </c>
      <c r="T258" s="275">
        <f t="shared" si="25"/>
        <v>0</v>
      </c>
      <c r="U258" s="275">
        <f t="shared" si="25"/>
        <v>0</v>
      </c>
      <c r="V258" s="275">
        <f t="shared" si="25"/>
        <v>0</v>
      </c>
      <c r="W258" s="275">
        <f t="shared" si="25"/>
        <v>0</v>
      </c>
      <c r="X258" s="275">
        <f t="shared" si="25"/>
        <v>0</v>
      </c>
      <c r="Y258" s="275">
        <f t="shared" si="25"/>
        <v>0</v>
      </c>
      <c r="AQ258" s="88"/>
    </row>
    <row r="259" spans="5:43" x14ac:dyDescent="0.25">
      <c r="F259" s="15" t="s">
        <v>177</v>
      </c>
      <c r="G259" s="15" t="s">
        <v>120</v>
      </c>
      <c r="H259" s="93"/>
      <c r="I259" s="93"/>
      <c r="J259" s="268">
        <f t="shared" si="25"/>
        <v>40126.550375150277</v>
      </c>
      <c r="K259" s="268">
        <f t="shared" si="25"/>
        <v>351.05177828291886</v>
      </c>
      <c r="L259" s="268">
        <f t="shared" si="25"/>
        <v>1837.5458614092684</v>
      </c>
      <c r="M259" s="268">
        <f t="shared" si="25"/>
        <v>73.022067912960026</v>
      </c>
      <c r="N259" s="268">
        <f t="shared" si="25"/>
        <v>18687.079327900443</v>
      </c>
      <c r="O259" s="268">
        <f t="shared" si="25"/>
        <v>5695.7726032965202</v>
      </c>
      <c r="P259" s="268">
        <f t="shared" si="25"/>
        <v>7865.4447990303306</v>
      </c>
      <c r="Q259" s="268">
        <f t="shared" si="25"/>
        <v>216.61212123616784</v>
      </c>
      <c r="R259" s="268">
        <f t="shared" si="25"/>
        <v>4.5925501092132963</v>
      </c>
      <c r="S259" s="268">
        <f t="shared" si="25"/>
        <v>4.3867903210204036</v>
      </c>
      <c r="T259" s="268">
        <f t="shared" si="25"/>
        <v>30.278270238095242</v>
      </c>
      <c r="U259" s="268">
        <f t="shared" si="25"/>
        <v>0</v>
      </c>
      <c r="V259" s="268">
        <f t="shared" si="25"/>
        <v>0</v>
      </c>
      <c r="W259" s="268">
        <f t="shared" si="25"/>
        <v>0</v>
      </c>
      <c r="X259" s="268">
        <f t="shared" si="25"/>
        <v>0</v>
      </c>
      <c r="Y259" s="268">
        <f t="shared" si="25"/>
        <v>0</v>
      </c>
      <c r="AQ259" s="88"/>
    </row>
    <row r="260" spans="5:43" x14ac:dyDescent="0.25">
      <c r="F260" s="14" t="s">
        <v>167</v>
      </c>
      <c r="G260" s="14" t="s">
        <v>120</v>
      </c>
      <c r="J260" s="256">
        <f t="shared" ref="J260:Y260" si="26">J253 + J258 + J259</f>
        <v>3770396.0827899273</v>
      </c>
      <c r="K260" s="256">
        <f t="shared" si="26"/>
        <v>106470.4323701735</v>
      </c>
      <c r="L260" s="256">
        <f t="shared" si="26"/>
        <v>857766.15344383672</v>
      </c>
      <c r="M260" s="256">
        <f t="shared" si="26"/>
        <v>23085.290394924617</v>
      </c>
      <c r="N260" s="256">
        <f t="shared" si="26"/>
        <v>1565261.7066821267</v>
      </c>
      <c r="O260" s="256">
        <f t="shared" si="26"/>
        <v>123759.11823576459</v>
      </c>
      <c r="P260" s="256">
        <f t="shared" si="26"/>
        <v>1615430.7797994399</v>
      </c>
      <c r="Q260" s="256">
        <f t="shared" si="26"/>
        <v>110236.46164591011</v>
      </c>
      <c r="R260" s="256">
        <f t="shared" si="26"/>
        <v>731.31989617895306</v>
      </c>
      <c r="S260" s="256">
        <f t="shared" si="26"/>
        <v>33.176553672411458</v>
      </c>
      <c r="T260" s="256">
        <f t="shared" si="26"/>
        <v>8546.3926012214506</v>
      </c>
      <c r="U260" s="256">
        <f t="shared" si="26"/>
        <v>0</v>
      </c>
      <c r="V260" s="256">
        <f t="shared" si="26"/>
        <v>0</v>
      </c>
      <c r="W260" s="256">
        <f t="shared" si="26"/>
        <v>0</v>
      </c>
      <c r="X260" s="256">
        <f t="shared" si="26"/>
        <v>260951.76676867288</v>
      </c>
      <c r="Y260" s="256">
        <f t="shared" si="26"/>
        <v>0</v>
      </c>
      <c r="AQ260" s="88"/>
    </row>
    <row r="261" spans="5:43" x14ac:dyDescent="0.25">
      <c r="E261" s="96"/>
      <c r="J261" s="252"/>
      <c r="K261" s="252"/>
      <c r="L261" s="252"/>
      <c r="M261" s="252"/>
      <c r="N261" s="252"/>
      <c r="O261" s="252"/>
      <c r="P261" s="252"/>
      <c r="Q261" s="252"/>
      <c r="R261" s="252"/>
      <c r="S261" s="252"/>
      <c r="T261" s="252"/>
      <c r="U261" s="252"/>
      <c r="V261" s="252"/>
      <c r="W261" s="252"/>
      <c r="X261" s="252"/>
      <c r="Y261" s="252"/>
      <c r="AQ261" s="88"/>
    </row>
    <row r="262" spans="5:43" x14ac:dyDescent="0.25">
      <c r="E262" s="96" t="s">
        <v>142</v>
      </c>
      <c r="I262" s="293" t="s">
        <v>359</v>
      </c>
      <c r="J262" s="252"/>
      <c r="K262" s="252"/>
      <c r="L262" s="252"/>
      <c r="M262" s="252"/>
      <c r="N262" s="252"/>
      <c r="O262" s="252"/>
      <c r="P262" s="252"/>
      <c r="Q262" s="252"/>
      <c r="R262" s="252"/>
      <c r="S262" s="252"/>
      <c r="T262" s="252"/>
      <c r="U262" s="252"/>
      <c r="V262" s="252"/>
      <c r="W262" s="252"/>
      <c r="X262" s="252"/>
      <c r="Y262" s="252"/>
      <c r="AQ262" s="88"/>
    </row>
    <row r="263" spans="5:43" x14ac:dyDescent="0.25">
      <c r="E263" s="96"/>
      <c r="J263" s="252"/>
      <c r="K263" s="252"/>
      <c r="L263" s="252"/>
      <c r="M263" s="252"/>
      <c r="N263" s="252"/>
      <c r="O263" s="252"/>
      <c r="P263" s="252"/>
      <c r="Q263" s="252"/>
      <c r="R263" s="252"/>
      <c r="S263" s="252"/>
      <c r="T263" s="252"/>
      <c r="U263" s="252"/>
      <c r="V263" s="252"/>
      <c r="W263" s="252"/>
      <c r="X263" s="252"/>
      <c r="Y263" s="252"/>
      <c r="AQ263" s="88"/>
    </row>
    <row r="264" spans="5:43" x14ac:dyDescent="0.25">
      <c r="F264" s="14" t="s">
        <v>167</v>
      </c>
      <c r="G264" s="14" t="s">
        <v>120</v>
      </c>
      <c r="J264" s="275">
        <f t="shared" ref="J264:Y264" si="27">J260 + J249 + J238</f>
        <v>12143967.001487436</v>
      </c>
      <c r="K264" s="275">
        <f t="shared" si="27"/>
        <v>150446.67048186305</v>
      </c>
      <c r="L264" s="275">
        <f t="shared" si="27"/>
        <v>3095864.0242546536</v>
      </c>
      <c r="M264" s="275">
        <f t="shared" si="27"/>
        <v>31903.884124617314</v>
      </c>
      <c r="N264" s="275">
        <f t="shared" si="27"/>
        <v>5070948.2903276868</v>
      </c>
      <c r="O264" s="275">
        <f t="shared" si="27"/>
        <v>349099.7171783871</v>
      </c>
      <c r="P264" s="275">
        <f t="shared" si="27"/>
        <v>4393882.0817988962</v>
      </c>
      <c r="Q264" s="275">
        <f t="shared" si="27"/>
        <v>195230.13046304617</v>
      </c>
      <c r="R264" s="275">
        <f t="shared" si="27"/>
        <v>6997.5549723252525</v>
      </c>
      <c r="S264" s="275">
        <f t="shared" si="27"/>
        <v>274.92011051908435</v>
      </c>
      <c r="T264" s="275">
        <f t="shared" si="27"/>
        <v>44625.245166284119</v>
      </c>
      <c r="U264" s="275">
        <f t="shared" si="27"/>
        <v>0</v>
      </c>
      <c r="V264" s="275">
        <f t="shared" si="27"/>
        <v>0</v>
      </c>
      <c r="W264" s="275">
        <f t="shared" si="27"/>
        <v>0</v>
      </c>
      <c r="X264" s="275">
        <f t="shared" si="27"/>
        <v>879847.11449808395</v>
      </c>
      <c r="Y264" s="275">
        <f t="shared" si="27"/>
        <v>0</v>
      </c>
      <c r="AQ264" s="88"/>
    </row>
    <row r="265" spans="5:43" x14ac:dyDescent="0.25">
      <c r="E265" s="96"/>
      <c r="J265" s="252"/>
      <c r="K265" s="252"/>
      <c r="L265" s="252"/>
      <c r="M265" s="252"/>
      <c r="N265" s="252"/>
      <c r="O265" s="252"/>
      <c r="P265" s="252"/>
      <c r="Q265" s="252"/>
      <c r="R265" s="252"/>
      <c r="S265" s="252"/>
      <c r="T265" s="252"/>
      <c r="U265" s="252"/>
      <c r="V265" s="252"/>
      <c r="W265" s="252"/>
      <c r="X265" s="252"/>
      <c r="Y265" s="252"/>
      <c r="AQ265" s="88"/>
    </row>
    <row r="266" spans="5:43" x14ac:dyDescent="0.25">
      <c r="E266" s="96" t="s">
        <v>74</v>
      </c>
      <c r="I266" s="293" t="s">
        <v>359</v>
      </c>
      <c r="J266" s="252"/>
      <c r="K266" s="252"/>
      <c r="L266" s="252"/>
      <c r="M266" s="252"/>
      <c r="N266" s="252"/>
      <c r="O266" s="252"/>
      <c r="P266" s="252"/>
      <c r="Q266" s="252"/>
      <c r="R266" s="252"/>
      <c r="S266" s="252"/>
      <c r="T266" s="252"/>
      <c r="U266" s="252"/>
      <c r="V266" s="252"/>
      <c r="W266" s="252"/>
      <c r="X266" s="252"/>
      <c r="Y266" s="252"/>
      <c r="AA266" s="293" t="s">
        <v>694</v>
      </c>
      <c r="AQ266" s="88"/>
    </row>
    <row r="267" spans="5:43" x14ac:dyDescent="0.25">
      <c r="E267" s="96"/>
      <c r="J267" s="252"/>
      <c r="K267" s="252"/>
      <c r="L267" s="252"/>
      <c r="M267" s="252"/>
      <c r="N267" s="252"/>
      <c r="O267" s="252"/>
      <c r="P267" s="252"/>
      <c r="Q267" s="252"/>
      <c r="R267" s="252"/>
      <c r="S267" s="252"/>
      <c r="T267" s="252"/>
      <c r="U267" s="252"/>
      <c r="V267" s="252"/>
      <c r="W267" s="252"/>
      <c r="X267" s="252"/>
      <c r="Y267" s="252"/>
      <c r="AQ267" s="88"/>
    </row>
    <row r="268" spans="5:43" x14ac:dyDescent="0.25">
      <c r="F268" s="14" t="s">
        <v>145</v>
      </c>
      <c r="G268" s="14" t="s">
        <v>74</v>
      </c>
      <c r="J268" s="275">
        <f t="shared" ref="J268:Y268" si="28">J202</f>
        <v>2901359.4971160064</v>
      </c>
      <c r="K268" s="275">
        <f t="shared" si="28"/>
        <v>33762.707811624095</v>
      </c>
      <c r="L268" s="275">
        <f t="shared" si="28"/>
        <v>232813.28704236689</v>
      </c>
      <c r="M268" s="275">
        <f t="shared" si="28"/>
        <v>4756.0967741935474</v>
      </c>
      <c r="N268" s="275">
        <f t="shared" si="28"/>
        <v>22622.200206440659</v>
      </c>
      <c r="O268" s="275">
        <f t="shared" si="28"/>
        <v>263</v>
      </c>
      <c r="P268" s="275">
        <f t="shared" si="28"/>
        <v>1834.5277166413589</v>
      </c>
      <c r="Q268" s="275">
        <f t="shared" si="28"/>
        <v>4004.5</v>
      </c>
      <c r="R268" s="275">
        <f t="shared" si="28"/>
        <v>1884.9999999999998</v>
      </c>
      <c r="S268" s="275">
        <f t="shared" si="28"/>
        <v>38.935483870967744</v>
      </c>
      <c r="T268" s="275">
        <f t="shared" si="28"/>
        <v>836.76967715751107</v>
      </c>
      <c r="U268" s="275">
        <f t="shared" si="28"/>
        <v>0</v>
      </c>
      <c r="V268" s="275">
        <f t="shared" si="28"/>
        <v>1</v>
      </c>
      <c r="W268" s="275">
        <f t="shared" si="28"/>
        <v>0</v>
      </c>
      <c r="X268" s="275">
        <f t="shared" si="28"/>
        <v>232.35483870967744</v>
      </c>
      <c r="Y268" s="275">
        <f t="shared" si="28"/>
        <v>0</v>
      </c>
      <c r="AQ268" s="88"/>
    </row>
    <row r="269" spans="5:43" x14ac:dyDescent="0.25">
      <c r="F269" s="14" t="s">
        <v>146</v>
      </c>
      <c r="G269" s="14" t="s">
        <v>74</v>
      </c>
      <c r="J269" s="275">
        <f t="shared" ref="J269:Y269" si="29">J211</f>
        <v>30423.599820316216</v>
      </c>
      <c r="K269" s="275">
        <f t="shared" si="29"/>
        <v>0</v>
      </c>
      <c r="L269" s="275">
        <f t="shared" si="29"/>
        <v>431.04981576165653</v>
      </c>
      <c r="M269" s="275">
        <f t="shared" si="29"/>
        <v>4</v>
      </c>
      <c r="N269" s="275">
        <f t="shared" si="29"/>
        <v>139.49999999999997</v>
      </c>
      <c r="O269" s="275">
        <f t="shared" si="29"/>
        <v>0</v>
      </c>
      <c r="P269" s="275">
        <f t="shared" si="29"/>
        <v>0</v>
      </c>
      <c r="Q269" s="275">
        <f t="shared" si="29"/>
        <v>122</v>
      </c>
      <c r="R269" s="275">
        <f t="shared" si="29"/>
        <v>50.451612903225801</v>
      </c>
      <c r="S269" s="275">
        <f t="shared" si="29"/>
        <v>0</v>
      </c>
      <c r="T269" s="275">
        <f t="shared" si="29"/>
        <v>0</v>
      </c>
      <c r="U269" s="275">
        <f t="shared" si="29"/>
        <v>0</v>
      </c>
      <c r="V269" s="275">
        <f t="shared" si="29"/>
        <v>0</v>
      </c>
      <c r="W269" s="275">
        <f t="shared" si="29"/>
        <v>0</v>
      </c>
      <c r="X269" s="275">
        <f t="shared" si="29"/>
        <v>0</v>
      </c>
      <c r="Y269" s="275">
        <f t="shared" si="29"/>
        <v>0</v>
      </c>
      <c r="AQ269" s="88"/>
    </row>
    <row r="270" spans="5:43" x14ac:dyDescent="0.25">
      <c r="F270" s="14" t="s">
        <v>147</v>
      </c>
      <c r="G270" s="14" t="s">
        <v>74</v>
      </c>
      <c r="J270" s="275">
        <f t="shared" ref="J270:Y270" si="30">J220</f>
        <v>115145.92079188582</v>
      </c>
      <c r="K270" s="275">
        <f t="shared" si="30"/>
        <v>532</v>
      </c>
      <c r="L270" s="275">
        <f t="shared" si="30"/>
        <v>1559.4645961553481</v>
      </c>
      <c r="M270" s="275">
        <f t="shared" si="30"/>
        <v>9.5483870967741939</v>
      </c>
      <c r="N270" s="275">
        <f t="shared" si="30"/>
        <v>627.9922420125979</v>
      </c>
      <c r="O270" s="275">
        <f t="shared" si="30"/>
        <v>45.5</v>
      </c>
      <c r="P270" s="275">
        <f t="shared" si="30"/>
        <v>13.000000000000002</v>
      </c>
      <c r="Q270" s="275">
        <f t="shared" si="30"/>
        <v>502</v>
      </c>
      <c r="R270" s="275">
        <f t="shared" si="30"/>
        <v>6</v>
      </c>
      <c r="S270" s="275">
        <f t="shared" si="30"/>
        <v>6</v>
      </c>
      <c r="T270" s="275">
        <f t="shared" si="30"/>
        <v>1</v>
      </c>
      <c r="U270" s="275">
        <f t="shared" si="30"/>
        <v>0</v>
      </c>
      <c r="V270" s="275">
        <f t="shared" si="30"/>
        <v>1</v>
      </c>
      <c r="W270" s="275">
        <f t="shared" si="30"/>
        <v>0</v>
      </c>
      <c r="X270" s="275">
        <f t="shared" si="30"/>
        <v>1</v>
      </c>
      <c r="Y270" s="275">
        <f t="shared" si="30"/>
        <v>0</v>
      </c>
      <c r="AQ270" s="88"/>
    </row>
    <row r="271" spans="5:43" x14ac:dyDescent="0.25">
      <c r="F271" s="14" t="s">
        <v>178</v>
      </c>
      <c r="G271" s="14" t="s">
        <v>94</v>
      </c>
      <c r="J271" s="475">
        <f t="shared" ref="J271:Y271" si="31">IF(J$40, J$46, J$34)</f>
        <v>0.35419813587175775</v>
      </c>
      <c r="K271" s="475">
        <f t="shared" si="31"/>
        <v>0.35419813587175775</v>
      </c>
      <c r="L271" s="475">
        <f t="shared" si="31"/>
        <v>0.35419813587175775</v>
      </c>
      <c r="M271" s="475">
        <f t="shared" si="31"/>
        <v>0.35419813587175775</v>
      </c>
      <c r="N271" s="475">
        <f t="shared" si="31"/>
        <v>0.35419813587175775</v>
      </c>
      <c r="O271" s="475">
        <f t="shared" si="31"/>
        <v>0</v>
      </c>
      <c r="P271" s="475">
        <f t="shared" si="31"/>
        <v>0</v>
      </c>
      <c r="Q271" s="475">
        <f t="shared" si="31"/>
        <v>0.35419813587175775</v>
      </c>
      <c r="R271" s="475">
        <f t="shared" si="31"/>
        <v>1</v>
      </c>
      <c r="S271" s="475">
        <f t="shared" si="31"/>
        <v>1</v>
      </c>
      <c r="T271" s="475">
        <f t="shared" si="31"/>
        <v>1</v>
      </c>
      <c r="U271" s="475">
        <f t="shared" si="31"/>
        <v>1</v>
      </c>
      <c r="V271" s="475">
        <f t="shared" si="31"/>
        <v>1</v>
      </c>
      <c r="W271" s="475">
        <f t="shared" si="31"/>
        <v>1</v>
      </c>
      <c r="X271" s="475">
        <f t="shared" si="31"/>
        <v>1</v>
      </c>
      <c r="Y271" s="475">
        <f t="shared" si="31"/>
        <v>1</v>
      </c>
      <c r="AQ271" s="88"/>
    </row>
    <row r="272" spans="5:43" x14ac:dyDescent="0.25">
      <c r="F272" s="14" t="s">
        <v>179</v>
      </c>
      <c r="G272" s="14" t="s">
        <v>94</v>
      </c>
      <c r="J272" s="475">
        <f t="shared" ref="J272:Y272" si="32">IF(J$40, J$46, J$35)</f>
        <v>0.53678178408311983</v>
      </c>
      <c r="K272" s="475">
        <f t="shared" si="32"/>
        <v>0.53678178408311983</v>
      </c>
      <c r="L272" s="475">
        <f t="shared" si="32"/>
        <v>0.53678178408311983</v>
      </c>
      <c r="M272" s="475">
        <f t="shared" si="32"/>
        <v>0.53678178408311983</v>
      </c>
      <c r="N272" s="475">
        <f t="shared" si="32"/>
        <v>0.53678178408311983</v>
      </c>
      <c r="O272" s="475">
        <f t="shared" si="32"/>
        <v>0.26008027391458188</v>
      </c>
      <c r="P272" s="475">
        <f t="shared" si="32"/>
        <v>0.15233473843264977</v>
      </c>
      <c r="Q272" s="475">
        <f t="shared" si="32"/>
        <v>0.53678178408311983</v>
      </c>
      <c r="R272" s="475">
        <f t="shared" si="32"/>
        <v>1</v>
      </c>
      <c r="S272" s="475">
        <f t="shared" si="32"/>
        <v>1</v>
      </c>
      <c r="T272" s="475">
        <f t="shared" si="32"/>
        <v>1</v>
      </c>
      <c r="U272" s="475">
        <f t="shared" si="32"/>
        <v>1</v>
      </c>
      <c r="V272" s="475">
        <f t="shared" si="32"/>
        <v>1</v>
      </c>
      <c r="W272" s="475">
        <f t="shared" si="32"/>
        <v>1</v>
      </c>
      <c r="X272" s="475">
        <f t="shared" si="32"/>
        <v>1</v>
      </c>
      <c r="Y272" s="475">
        <f t="shared" si="32"/>
        <v>1</v>
      </c>
      <c r="AQ272" s="88"/>
    </row>
    <row r="273" spans="5:43" x14ac:dyDescent="0.25">
      <c r="F273" s="14" t="s">
        <v>166</v>
      </c>
      <c r="G273" s="14" t="s">
        <v>74</v>
      </c>
      <c r="J273" s="275">
        <f t="shared" ref="J273:Y274" si="33">J269 * (1 - J271)</f>
        <v>19647.617477451869</v>
      </c>
      <c r="K273" s="275">
        <f t="shared" si="33"/>
        <v>0</v>
      </c>
      <c r="L273" s="275">
        <f t="shared" si="33"/>
        <v>278.37277455101315</v>
      </c>
      <c r="M273" s="275">
        <f t="shared" si="33"/>
        <v>2.583207456512969</v>
      </c>
      <c r="N273" s="275">
        <f t="shared" si="33"/>
        <v>90.089360045889777</v>
      </c>
      <c r="O273" s="275">
        <f t="shared" si="33"/>
        <v>0</v>
      </c>
      <c r="P273" s="275">
        <f t="shared" si="33"/>
        <v>0</v>
      </c>
      <c r="Q273" s="275">
        <f t="shared" si="33"/>
        <v>78.787827423645552</v>
      </c>
      <c r="R273" s="275">
        <f t="shared" si="33"/>
        <v>0</v>
      </c>
      <c r="S273" s="275">
        <f t="shared" si="33"/>
        <v>0</v>
      </c>
      <c r="T273" s="275">
        <f t="shared" si="33"/>
        <v>0</v>
      </c>
      <c r="U273" s="275">
        <f t="shared" si="33"/>
        <v>0</v>
      </c>
      <c r="V273" s="275">
        <f t="shared" si="33"/>
        <v>0</v>
      </c>
      <c r="W273" s="275">
        <f t="shared" si="33"/>
        <v>0</v>
      </c>
      <c r="X273" s="275">
        <f t="shared" si="33"/>
        <v>0</v>
      </c>
      <c r="Y273" s="275">
        <f t="shared" si="33"/>
        <v>0</v>
      </c>
      <c r="AQ273" s="88"/>
    </row>
    <row r="274" spans="5:43" x14ac:dyDescent="0.25">
      <c r="F274" s="15" t="s">
        <v>177</v>
      </c>
      <c r="G274" s="15" t="s">
        <v>74</v>
      </c>
      <c r="H274" s="93"/>
      <c r="I274" s="93"/>
      <c r="J274" s="268">
        <f t="shared" si="33"/>
        <v>53337.687999323745</v>
      </c>
      <c r="K274" s="268">
        <f t="shared" si="33"/>
        <v>246.43209086778026</v>
      </c>
      <c r="L274" s="268">
        <f t="shared" si="33"/>
        <v>722.37240801661835</v>
      </c>
      <c r="M274" s="268">
        <f t="shared" si="33"/>
        <v>4.4229868358515008</v>
      </c>
      <c r="N274" s="268">
        <f t="shared" si="33"/>
        <v>290.89744595471723</v>
      </c>
      <c r="O274" s="268">
        <f t="shared" si="33"/>
        <v>33.666347536886526</v>
      </c>
      <c r="P274" s="268">
        <f t="shared" si="33"/>
        <v>11.019648400375555</v>
      </c>
      <c r="Q274" s="268">
        <f t="shared" si="33"/>
        <v>232.53554439027386</v>
      </c>
      <c r="R274" s="268">
        <f t="shared" si="33"/>
        <v>0</v>
      </c>
      <c r="S274" s="268">
        <f t="shared" si="33"/>
        <v>0</v>
      </c>
      <c r="T274" s="268">
        <f t="shared" si="33"/>
        <v>0</v>
      </c>
      <c r="U274" s="268">
        <f t="shared" si="33"/>
        <v>0</v>
      </c>
      <c r="V274" s="268">
        <f t="shared" si="33"/>
        <v>0</v>
      </c>
      <c r="W274" s="268">
        <f t="shared" si="33"/>
        <v>0</v>
      </c>
      <c r="X274" s="268">
        <f t="shared" si="33"/>
        <v>0</v>
      </c>
      <c r="Y274" s="268">
        <f t="shared" si="33"/>
        <v>0</v>
      </c>
      <c r="AQ274" s="88"/>
    </row>
    <row r="275" spans="5:43" x14ac:dyDescent="0.25">
      <c r="F275" s="14" t="s">
        <v>167</v>
      </c>
      <c r="G275" s="14" t="s">
        <v>74</v>
      </c>
      <c r="J275" s="256">
        <f t="shared" ref="J275:Y275" si="34">J268 + J273 + J274</f>
        <v>2974344.8025927823</v>
      </c>
      <c r="K275" s="256">
        <f t="shared" si="34"/>
        <v>34009.139902491879</v>
      </c>
      <c r="L275" s="256">
        <f t="shared" si="34"/>
        <v>233814.03222493452</v>
      </c>
      <c r="M275" s="256">
        <f t="shared" si="34"/>
        <v>4763.1029684859122</v>
      </c>
      <c r="N275" s="256">
        <f t="shared" si="34"/>
        <v>23003.187012441267</v>
      </c>
      <c r="O275" s="256">
        <f t="shared" si="34"/>
        <v>296.66634753688652</v>
      </c>
      <c r="P275" s="256">
        <f t="shared" si="34"/>
        <v>1845.5473650417343</v>
      </c>
      <c r="Q275" s="256">
        <f t="shared" si="34"/>
        <v>4315.823371813919</v>
      </c>
      <c r="R275" s="256">
        <f t="shared" si="34"/>
        <v>1884.9999999999998</v>
      </c>
      <c r="S275" s="256">
        <f t="shared" si="34"/>
        <v>38.935483870967744</v>
      </c>
      <c r="T275" s="256">
        <f t="shared" si="34"/>
        <v>836.76967715751107</v>
      </c>
      <c r="U275" s="256">
        <f t="shared" si="34"/>
        <v>0</v>
      </c>
      <c r="V275" s="256">
        <f t="shared" si="34"/>
        <v>1</v>
      </c>
      <c r="W275" s="256">
        <f t="shared" si="34"/>
        <v>0</v>
      </c>
      <c r="X275" s="256">
        <f t="shared" si="34"/>
        <v>232.35483870967744</v>
      </c>
      <c r="Y275" s="256">
        <f t="shared" si="34"/>
        <v>0</v>
      </c>
      <c r="AQ275" s="88"/>
    </row>
    <row r="276" spans="5:43" x14ac:dyDescent="0.25">
      <c r="E276" s="96"/>
      <c r="J276" s="252"/>
      <c r="K276" s="252"/>
      <c r="L276" s="252"/>
      <c r="M276" s="252"/>
      <c r="N276" s="252"/>
      <c r="O276" s="252"/>
      <c r="P276" s="252"/>
      <c r="Q276" s="252"/>
      <c r="R276" s="252"/>
      <c r="S276" s="252"/>
      <c r="T276" s="252"/>
      <c r="U276" s="252"/>
      <c r="V276" s="252"/>
      <c r="W276" s="252"/>
      <c r="X276" s="252"/>
      <c r="Y276" s="252"/>
      <c r="AQ276" s="88"/>
    </row>
    <row r="277" spans="5:43" x14ac:dyDescent="0.25">
      <c r="E277" s="96" t="s">
        <v>202</v>
      </c>
      <c r="I277" s="293" t="s">
        <v>359</v>
      </c>
      <c r="J277" s="252"/>
      <c r="K277" s="252"/>
      <c r="L277" s="252"/>
      <c r="M277" s="252"/>
      <c r="N277" s="252"/>
      <c r="O277" s="252"/>
      <c r="P277" s="252"/>
      <c r="Q277" s="252"/>
      <c r="R277" s="252"/>
      <c r="S277" s="252"/>
      <c r="T277" s="252"/>
      <c r="U277" s="252"/>
      <c r="V277" s="252"/>
      <c r="W277" s="252"/>
      <c r="X277" s="252"/>
      <c r="Y277" s="252"/>
      <c r="AA277" s="293" t="s">
        <v>694</v>
      </c>
      <c r="AQ277" s="88"/>
    </row>
    <row r="278" spans="5:43" x14ac:dyDescent="0.25">
      <c r="E278" s="96"/>
      <c r="J278" s="252"/>
      <c r="K278" s="252"/>
      <c r="L278" s="252"/>
      <c r="M278" s="252"/>
      <c r="N278" s="252"/>
      <c r="O278" s="252"/>
      <c r="P278" s="252"/>
      <c r="Q278" s="252"/>
      <c r="R278" s="252"/>
      <c r="S278" s="252"/>
      <c r="T278" s="252"/>
      <c r="U278" s="252"/>
      <c r="V278" s="252"/>
      <c r="W278" s="252"/>
      <c r="X278" s="252"/>
      <c r="Y278" s="252"/>
      <c r="AQ278" s="88"/>
    </row>
    <row r="279" spans="5:43" x14ac:dyDescent="0.25">
      <c r="F279" s="14" t="s">
        <v>145</v>
      </c>
      <c r="G279" s="14" t="s">
        <v>169</v>
      </c>
      <c r="J279" s="275">
        <f t="shared" ref="J279:Y279" si="35">J203</f>
        <v>0</v>
      </c>
      <c r="K279" s="275">
        <f t="shared" si="35"/>
        <v>0</v>
      </c>
      <c r="L279" s="275">
        <f t="shared" si="35"/>
        <v>0</v>
      </c>
      <c r="M279" s="275">
        <f t="shared" si="35"/>
        <v>0</v>
      </c>
      <c r="N279" s="275">
        <f t="shared" si="35"/>
        <v>3315022.462259219</v>
      </c>
      <c r="O279" s="275">
        <f t="shared" si="35"/>
        <v>116391.04311512016</v>
      </c>
      <c r="P279" s="275">
        <f t="shared" si="35"/>
        <v>1988006.799007453</v>
      </c>
      <c r="Q279" s="275">
        <f t="shared" si="35"/>
        <v>0</v>
      </c>
      <c r="R279" s="275">
        <f t="shared" si="35"/>
        <v>0</v>
      </c>
      <c r="S279" s="275">
        <f t="shared" si="35"/>
        <v>0</v>
      </c>
      <c r="T279" s="275">
        <f t="shared" si="35"/>
        <v>0</v>
      </c>
      <c r="U279" s="275">
        <f t="shared" si="35"/>
        <v>0</v>
      </c>
      <c r="V279" s="275">
        <f t="shared" si="35"/>
        <v>0</v>
      </c>
      <c r="W279" s="275">
        <f t="shared" si="35"/>
        <v>0</v>
      </c>
      <c r="X279" s="275">
        <f t="shared" si="35"/>
        <v>0</v>
      </c>
      <c r="Y279" s="275">
        <f t="shared" si="35"/>
        <v>0</v>
      </c>
      <c r="AQ279" s="88"/>
    </row>
    <row r="280" spans="5:43" x14ac:dyDescent="0.25">
      <c r="F280" s="14" t="s">
        <v>146</v>
      </c>
      <c r="G280" s="14" t="s">
        <v>169</v>
      </c>
      <c r="J280" s="275">
        <f t="shared" ref="J280:Y280" si="36">J212</f>
        <v>0</v>
      </c>
      <c r="K280" s="275">
        <f t="shared" si="36"/>
        <v>0</v>
      </c>
      <c r="L280" s="275">
        <f t="shared" si="36"/>
        <v>0</v>
      </c>
      <c r="M280" s="275">
        <f t="shared" si="36"/>
        <v>0</v>
      </c>
      <c r="N280" s="275">
        <f t="shared" si="36"/>
        <v>20670.910714285721</v>
      </c>
      <c r="O280" s="275">
        <f t="shared" si="36"/>
        <v>0</v>
      </c>
      <c r="P280" s="275">
        <f t="shared" si="36"/>
        <v>0</v>
      </c>
      <c r="Q280" s="275">
        <f t="shared" si="36"/>
        <v>0</v>
      </c>
      <c r="R280" s="275">
        <f t="shared" si="36"/>
        <v>0</v>
      </c>
      <c r="S280" s="275">
        <f t="shared" si="36"/>
        <v>0</v>
      </c>
      <c r="T280" s="275">
        <f t="shared" si="36"/>
        <v>0</v>
      </c>
      <c r="U280" s="275">
        <f t="shared" si="36"/>
        <v>0</v>
      </c>
      <c r="V280" s="275">
        <f t="shared" si="36"/>
        <v>0</v>
      </c>
      <c r="W280" s="275">
        <f t="shared" si="36"/>
        <v>0</v>
      </c>
      <c r="X280" s="275">
        <f t="shared" si="36"/>
        <v>0</v>
      </c>
      <c r="Y280" s="275">
        <f t="shared" si="36"/>
        <v>0</v>
      </c>
      <c r="AQ280" s="88"/>
    </row>
    <row r="281" spans="5:43" x14ac:dyDescent="0.25">
      <c r="F281" s="14" t="s">
        <v>147</v>
      </c>
      <c r="G281" s="14" t="s">
        <v>169</v>
      </c>
      <c r="J281" s="275">
        <f t="shared" ref="J281:Y281" si="37">J221</f>
        <v>0</v>
      </c>
      <c r="K281" s="275">
        <f t="shared" si="37"/>
        <v>0</v>
      </c>
      <c r="L281" s="275">
        <f t="shared" si="37"/>
        <v>0</v>
      </c>
      <c r="M281" s="275">
        <f t="shared" si="37"/>
        <v>0</v>
      </c>
      <c r="N281" s="275">
        <f t="shared" si="37"/>
        <v>149687.05739501317</v>
      </c>
      <c r="O281" s="275">
        <f t="shared" si="37"/>
        <v>28156.916666666668</v>
      </c>
      <c r="P281" s="275">
        <f t="shared" si="37"/>
        <v>24182.999999999996</v>
      </c>
      <c r="Q281" s="275">
        <f t="shared" si="37"/>
        <v>0</v>
      </c>
      <c r="R281" s="275">
        <f t="shared" si="37"/>
        <v>0</v>
      </c>
      <c r="S281" s="275">
        <f t="shared" si="37"/>
        <v>0</v>
      </c>
      <c r="T281" s="275">
        <f t="shared" si="37"/>
        <v>0</v>
      </c>
      <c r="U281" s="275">
        <f t="shared" si="37"/>
        <v>0</v>
      </c>
      <c r="V281" s="275">
        <f t="shared" si="37"/>
        <v>0</v>
      </c>
      <c r="W281" s="275">
        <f t="shared" si="37"/>
        <v>0</v>
      </c>
      <c r="X281" s="275">
        <f t="shared" si="37"/>
        <v>0</v>
      </c>
      <c r="Y281" s="275">
        <f t="shared" si="37"/>
        <v>0</v>
      </c>
      <c r="AQ281" s="88"/>
    </row>
    <row r="282" spans="5:43" x14ac:dyDescent="0.25">
      <c r="F282" s="14" t="s">
        <v>178</v>
      </c>
      <c r="G282" s="14" t="s">
        <v>94</v>
      </c>
      <c r="J282" s="475">
        <f t="shared" ref="J282:Y282" si="38">IF(J$41, J$47, J$34)</f>
        <v>0.35419813587175775</v>
      </c>
      <c r="K282" s="475">
        <f t="shared" si="38"/>
        <v>0.35419813587175775</v>
      </c>
      <c r="L282" s="475">
        <f t="shared" si="38"/>
        <v>0.35419813587175775</v>
      </c>
      <c r="M282" s="475">
        <f t="shared" si="38"/>
        <v>0.35419813587175775</v>
      </c>
      <c r="N282" s="475">
        <f t="shared" si="38"/>
        <v>0.35419813587175775</v>
      </c>
      <c r="O282" s="475">
        <f t="shared" si="38"/>
        <v>0</v>
      </c>
      <c r="P282" s="475">
        <f t="shared" si="38"/>
        <v>0</v>
      </c>
      <c r="Q282" s="475">
        <f t="shared" si="38"/>
        <v>0.35419813587175775</v>
      </c>
      <c r="R282" s="475">
        <f t="shared" si="38"/>
        <v>0</v>
      </c>
      <c r="S282" s="475">
        <f t="shared" si="38"/>
        <v>0</v>
      </c>
      <c r="T282" s="475">
        <f t="shared" si="38"/>
        <v>0</v>
      </c>
      <c r="U282" s="475">
        <f t="shared" si="38"/>
        <v>0</v>
      </c>
      <c r="V282" s="475">
        <f t="shared" si="38"/>
        <v>0</v>
      </c>
      <c r="W282" s="475">
        <f t="shared" si="38"/>
        <v>0</v>
      </c>
      <c r="X282" s="475">
        <f t="shared" si="38"/>
        <v>0</v>
      </c>
      <c r="Y282" s="475">
        <f t="shared" si="38"/>
        <v>0</v>
      </c>
      <c r="AQ282" s="88"/>
    </row>
    <row r="283" spans="5:43" x14ac:dyDescent="0.25">
      <c r="F283" s="14" t="s">
        <v>179</v>
      </c>
      <c r="G283" s="14" t="s">
        <v>94</v>
      </c>
      <c r="J283" s="475">
        <f t="shared" ref="J283:Y283" si="39">IF(J$41, J$47, J$35)</f>
        <v>0.53678178408311983</v>
      </c>
      <c r="K283" s="475">
        <f t="shared" si="39"/>
        <v>0.53678178408311983</v>
      </c>
      <c r="L283" s="475">
        <f t="shared" si="39"/>
        <v>0.53678178408311983</v>
      </c>
      <c r="M283" s="475">
        <f t="shared" si="39"/>
        <v>0.53678178408311983</v>
      </c>
      <c r="N283" s="475">
        <f t="shared" si="39"/>
        <v>0.53678178408311983</v>
      </c>
      <c r="O283" s="475">
        <f t="shared" si="39"/>
        <v>0.26008027391458188</v>
      </c>
      <c r="P283" s="475">
        <f t="shared" si="39"/>
        <v>0.15233473843264977</v>
      </c>
      <c r="Q283" s="475">
        <f t="shared" si="39"/>
        <v>0.53678178408311983</v>
      </c>
      <c r="R283" s="475">
        <f t="shared" si="39"/>
        <v>0</v>
      </c>
      <c r="S283" s="475">
        <f t="shared" si="39"/>
        <v>0</v>
      </c>
      <c r="T283" s="475">
        <f t="shared" si="39"/>
        <v>0</v>
      </c>
      <c r="U283" s="475">
        <f t="shared" si="39"/>
        <v>0</v>
      </c>
      <c r="V283" s="475">
        <f t="shared" si="39"/>
        <v>0</v>
      </c>
      <c r="W283" s="475">
        <f t="shared" si="39"/>
        <v>0</v>
      </c>
      <c r="X283" s="475">
        <f t="shared" si="39"/>
        <v>0</v>
      </c>
      <c r="Y283" s="475">
        <f t="shared" si="39"/>
        <v>0</v>
      </c>
      <c r="AQ283" s="88"/>
    </row>
    <row r="284" spans="5:43" x14ac:dyDescent="0.25">
      <c r="F284" s="14" t="s">
        <v>166</v>
      </c>
      <c r="G284" s="14" t="s">
        <v>169</v>
      </c>
      <c r="J284" s="275">
        <f t="shared" ref="J284:Y285" si="40">J280 * (1 - J282)</f>
        <v>0</v>
      </c>
      <c r="K284" s="275">
        <f t="shared" si="40"/>
        <v>0</v>
      </c>
      <c r="L284" s="275">
        <f t="shared" si="40"/>
        <v>0</v>
      </c>
      <c r="M284" s="275">
        <f t="shared" si="40"/>
        <v>0</v>
      </c>
      <c r="N284" s="275">
        <f t="shared" si="40"/>
        <v>13349.312672514174</v>
      </c>
      <c r="O284" s="275">
        <f t="shared" si="40"/>
        <v>0</v>
      </c>
      <c r="P284" s="275">
        <f t="shared" si="40"/>
        <v>0</v>
      </c>
      <c r="Q284" s="275">
        <f t="shared" si="40"/>
        <v>0</v>
      </c>
      <c r="R284" s="275">
        <f t="shared" si="40"/>
        <v>0</v>
      </c>
      <c r="S284" s="275">
        <f t="shared" si="40"/>
        <v>0</v>
      </c>
      <c r="T284" s="275">
        <f t="shared" si="40"/>
        <v>0</v>
      </c>
      <c r="U284" s="275">
        <f t="shared" si="40"/>
        <v>0</v>
      </c>
      <c r="V284" s="275">
        <f t="shared" si="40"/>
        <v>0</v>
      </c>
      <c r="W284" s="275">
        <f t="shared" si="40"/>
        <v>0</v>
      </c>
      <c r="X284" s="275">
        <f t="shared" si="40"/>
        <v>0</v>
      </c>
      <c r="Y284" s="275">
        <f t="shared" si="40"/>
        <v>0</v>
      </c>
      <c r="AQ284" s="88"/>
    </row>
    <row r="285" spans="5:43" x14ac:dyDescent="0.25">
      <c r="F285" s="15" t="s">
        <v>177</v>
      </c>
      <c r="G285" s="15" t="s">
        <v>169</v>
      </c>
      <c r="H285" s="93"/>
      <c r="I285" s="93"/>
      <c r="J285" s="268">
        <f t="shared" si="40"/>
        <v>0</v>
      </c>
      <c r="K285" s="268">
        <f t="shared" si="40"/>
        <v>0</v>
      </c>
      <c r="L285" s="268">
        <f t="shared" si="40"/>
        <v>0</v>
      </c>
      <c r="M285" s="268">
        <f t="shared" si="40"/>
        <v>0</v>
      </c>
      <c r="N285" s="268">
        <f t="shared" si="40"/>
        <v>69337.771672365649</v>
      </c>
      <c r="O285" s="268">
        <f t="shared" si="40"/>
        <v>20833.858067409947</v>
      </c>
      <c r="P285" s="268">
        <f t="shared" si="40"/>
        <v>20499.089020483229</v>
      </c>
      <c r="Q285" s="268">
        <f t="shared" si="40"/>
        <v>0</v>
      </c>
      <c r="R285" s="268">
        <f t="shared" si="40"/>
        <v>0</v>
      </c>
      <c r="S285" s="268">
        <f t="shared" si="40"/>
        <v>0</v>
      </c>
      <c r="T285" s="268">
        <f t="shared" si="40"/>
        <v>0</v>
      </c>
      <c r="U285" s="268">
        <f t="shared" si="40"/>
        <v>0</v>
      </c>
      <c r="V285" s="268">
        <f t="shared" si="40"/>
        <v>0</v>
      </c>
      <c r="W285" s="268">
        <f t="shared" si="40"/>
        <v>0</v>
      </c>
      <c r="X285" s="268">
        <f t="shared" si="40"/>
        <v>0</v>
      </c>
      <c r="Y285" s="268">
        <f t="shared" si="40"/>
        <v>0</v>
      </c>
      <c r="AQ285" s="88"/>
    </row>
    <row r="286" spans="5:43" x14ac:dyDescent="0.25">
      <c r="F286" s="14" t="s">
        <v>167</v>
      </c>
      <c r="G286" s="14" t="s">
        <v>169</v>
      </c>
      <c r="J286" s="256">
        <f t="shared" ref="J286:Y286" si="41">J279 + J284 + J285</f>
        <v>0</v>
      </c>
      <c r="K286" s="256">
        <f t="shared" si="41"/>
        <v>0</v>
      </c>
      <c r="L286" s="256">
        <f t="shared" si="41"/>
        <v>0</v>
      </c>
      <c r="M286" s="256">
        <f t="shared" si="41"/>
        <v>0</v>
      </c>
      <c r="N286" s="256">
        <f t="shared" si="41"/>
        <v>3397709.5466040988</v>
      </c>
      <c r="O286" s="256">
        <f t="shared" si="41"/>
        <v>137224.9011825301</v>
      </c>
      <c r="P286" s="256">
        <f t="shared" si="41"/>
        <v>2008505.8880279362</v>
      </c>
      <c r="Q286" s="256">
        <f t="shared" si="41"/>
        <v>0</v>
      </c>
      <c r="R286" s="256">
        <f t="shared" si="41"/>
        <v>0</v>
      </c>
      <c r="S286" s="256">
        <f t="shared" si="41"/>
        <v>0</v>
      </c>
      <c r="T286" s="256">
        <f t="shared" si="41"/>
        <v>0</v>
      </c>
      <c r="U286" s="256">
        <f t="shared" si="41"/>
        <v>0</v>
      </c>
      <c r="V286" s="256">
        <f t="shared" si="41"/>
        <v>0</v>
      </c>
      <c r="W286" s="256">
        <f t="shared" si="41"/>
        <v>0</v>
      </c>
      <c r="X286" s="256">
        <f t="shared" si="41"/>
        <v>0</v>
      </c>
      <c r="Y286" s="256">
        <f t="shared" si="41"/>
        <v>0</v>
      </c>
      <c r="AQ286" s="88"/>
    </row>
    <row r="287" spans="5:43" x14ac:dyDescent="0.25">
      <c r="E287" s="96"/>
      <c r="J287" s="252"/>
      <c r="K287" s="252"/>
      <c r="L287" s="252"/>
      <c r="M287" s="252"/>
      <c r="N287" s="252"/>
      <c r="O287" s="252"/>
      <c r="P287" s="252"/>
      <c r="Q287" s="252"/>
      <c r="R287" s="252"/>
      <c r="S287" s="252"/>
      <c r="T287" s="252"/>
      <c r="U287" s="252"/>
      <c r="V287" s="252"/>
      <c r="W287" s="252"/>
      <c r="X287" s="252"/>
      <c r="Y287" s="252"/>
      <c r="AQ287" s="88"/>
    </row>
    <row r="288" spans="5:43" x14ac:dyDescent="0.25">
      <c r="E288" s="96" t="s">
        <v>203</v>
      </c>
      <c r="I288" s="293" t="s">
        <v>359</v>
      </c>
      <c r="J288" s="252"/>
      <c r="K288" s="252"/>
      <c r="L288" s="252"/>
      <c r="M288" s="252"/>
      <c r="N288" s="252"/>
      <c r="O288" s="252"/>
      <c r="P288" s="252"/>
      <c r="Q288" s="252"/>
      <c r="R288" s="252"/>
      <c r="S288" s="252"/>
      <c r="T288" s="252"/>
      <c r="U288" s="252"/>
      <c r="V288" s="252"/>
      <c r="W288" s="252"/>
      <c r="X288" s="252"/>
      <c r="Y288" s="252"/>
      <c r="AA288" s="293" t="s">
        <v>694</v>
      </c>
      <c r="AQ288" s="88"/>
    </row>
    <row r="289" spans="5:43" x14ac:dyDescent="0.25">
      <c r="E289" s="96"/>
      <c r="J289" s="252"/>
      <c r="K289" s="252"/>
      <c r="L289" s="252"/>
      <c r="M289" s="252"/>
      <c r="N289" s="252"/>
      <c r="O289" s="252"/>
      <c r="P289" s="252"/>
      <c r="Q289" s="252"/>
      <c r="R289" s="252"/>
      <c r="S289" s="252"/>
      <c r="T289" s="252"/>
      <c r="U289" s="252"/>
      <c r="V289" s="252"/>
      <c r="W289" s="252"/>
      <c r="X289" s="252"/>
      <c r="Y289" s="252"/>
      <c r="AQ289" s="88"/>
    </row>
    <row r="290" spans="5:43" x14ac:dyDescent="0.25">
      <c r="F290" s="14" t="s">
        <v>145</v>
      </c>
      <c r="G290" s="14" t="s">
        <v>169</v>
      </c>
      <c r="J290" s="275">
        <f t="shared" ref="J290:Y290" si="42">J204</f>
        <v>0</v>
      </c>
      <c r="K290" s="275">
        <f t="shared" si="42"/>
        <v>0</v>
      </c>
      <c r="L290" s="275">
        <f t="shared" si="42"/>
        <v>0</v>
      </c>
      <c r="M290" s="275">
        <f t="shared" si="42"/>
        <v>0</v>
      </c>
      <c r="N290" s="275">
        <f t="shared" si="42"/>
        <v>45202.177111179793</v>
      </c>
      <c r="O290" s="275">
        <f t="shared" si="42"/>
        <v>794.95690355847444</v>
      </c>
      <c r="P290" s="275">
        <f t="shared" si="42"/>
        <v>23750.260260869494</v>
      </c>
      <c r="Q290" s="275">
        <f t="shared" si="42"/>
        <v>0</v>
      </c>
      <c r="R290" s="275">
        <f t="shared" si="42"/>
        <v>0</v>
      </c>
      <c r="S290" s="275">
        <f t="shared" si="42"/>
        <v>0</v>
      </c>
      <c r="T290" s="275">
        <f t="shared" si="42"/>
        <v>0</v>
      </c>
      <c r="U290" s="275">
        <f t="shared" si="42"/>
        <v>0</v>
      </c>
      <c r="V290" s="275">
        <f t="shared" si="42"/>
        <v>0</v>
      </c>
      <c r="W290" s="275">
        <f t="shared" si="42"/>
        <v>0</v>
      </c>
      <c r="X290" s="275">
        <f t="shared" si="42"/>
        <v>0</v>
      </c>
      <c r="Y290" s="275">
        <f t="shared" si="42"/>
        <v>0</v>
      </c>
      <c r="AQ290" s="88"/>
    </row>
    <row r="291" spans="5:43" x14ac:dyDescent="0.25">
      <c r="F291" s="14" t="s">
        <v>146</v>
      </c>
      <c r="G291" s="14" t="s">
        <v>169</v>
      </c>
      <c r="J291" s="275">
        <f t="shared" ref="J291:Y291" si="43">J213</f>
        <v>0</v>
      </c>
      <c r="K291" s="275">
        <f t="shared" si="43"/>
        <v>0</v>
      </c>
      <c r="L291" s="275">
        <f t="shared" si="43"/>
        <v>0</v>
      </c>
      <c r="M291" s="275">
        <f t="shared" si="43"/>
        <v>0</v>
      </c>
      <c r="N291" s="275">
        <f t="shared" si="43"/>
        <v>18.683035714285705</v>
      </c>
      <c r="O291" s="275">
        <f t="shared" si="43"/>
        <v>0</v>
      </c>
      <c r="P291" s="275">
        <f t="shared" si="43"/>
        <v>0</v>
      </c>
      <c r="Q291" s="275">
        <f t="shared" si="43"/>
        <v>0</v>
      </c>
      <c r="R291" s="275">
        <f t="shared" si="43"/>
        <v>0</v>
      </c>
      <c r="S291" s="275">
        <f t="shared" si="43"/>
        <v>0</v>
      </c>
      <c r="T291" s="275">
        <f t="shared" si="43"/>
        <v>0</v>
      </c>
      <c r="U291" s="275">
        <f t="shared" si="43"/>
        <v>0</v>
      </c>
      <c r="V291" s="275">
        <f t="shared" si="43"/>
        <v>0</v>
      </c>
      <c r="W291" s="275">
        <f t="shared" si="43"/>
        <v>0</v>
      </c>
      <c r="X291" s="275">
        <f t="shared" si="43"/>
        <v>0</v>
      </c>
      <c r="Y291" s="275">
        <f t="shared" si="43"/>
        <v>0</v>
      </c>
      <c r="AQ291" s="88"/>
    </row>
    <row r="292" spans="5:43" x14ac:dyDescent="0.25">
      <c r="F292" s="14" t="s">
        <v>147</v>
      </c>
      <c r="G292" s="14" t="s">
        <v>169</v>
      </c>
      <c r="J292" s="275">
        <f t="shared" ref="J292:Y292" si="44">J222</f>
        <v>0</v>
      </c>
      <c r="K292" s="275">
        <f t="shared" si="44"/>
        <v>0</v>
      </c>
      <c r="L292" s="275">
        <f t="shared" si="44"/>
        <v>0</v>
      </c>
      <c r="M292" s="275">
        <f t="shared" si="44"/>
        <v>0</v>
      </c>
      <c r="N292" s="275">
        <f t="shared" si="44"/>
        <v>88.005833223218758</v>
      </c>
      <c r="O292" s="275">
        <f t="shared" si="44"/>
        <v>154.1944444444444</v>
      </c>
      <c r="P292" s="275">
        <f t="shared" si="44"/>
        <v>31.000000000000007</v>
      </c>
      <c r="Q292" s="275">
        <f t="shared" si="44"/>
        <v>0</v>
      </c>
      <c r="R292" s="275">
        <f t="shared" si="44"/>
        <v>0</v>
      </c>
      <c r="S292" s="275">
        <f t="shared" si="44"/>
        <v>0</v>
      </c>
      <c r="T292" s="275">
        <f t="shared" si="44"/>
        <v>0</v>
      </c>
      <c r="U292" s="275">
        <f t="shared" si="44"/>
        <v>0</v>
      </c>
      <c r="V292" s="275">
        <f t="shared" si="44"/>
        <v>0</v>
      </c>
      <c r="W292" s="275">
        <f t="shared" si="44"/>
        <v>0</v>
      </c>
      <c r="X292" s="275">
        <f t="shared" si="44"/>
        <v>0</v>
      </c>
      <c r="Y292" s="275">
        <f t="shared" si="44"/>
        <v>0</v>
      </c>
      <c r="AQ292" s="88"/>
    </row>
    <row r="293" spans="5:43" x14ac:dyDescent="0.25">
      <c r="F293" s="14" t="s">
        <v>178</v>
      </c>
      <c r="G293" s="14" t="s">
        <v>94</v>
      </c>
      <c r="J293" s="475">
        <f t="shared" ref="J293:Y293" si="45">IF(J$42, J$48, J$34)</f>
        <v>0.35419813587175775</v>
      </c>
      <c r="K293" s="475">
        <f t="shared" si="45"/>
        <v>0.35419813587175775</v>
      </c>
      <c r="L293" s="475">
        <f t="shared" si="45"/>
        <v>0.35419813587175775</v>
      </c>
      <c r="M293" s="475">
        <f t="shared" si="45"/>
        <v>0.35419813587175775</v>
      </c>
      <c r="N293" s="475">
        <f t="shared" si="45"/>
        <v>0.35419813587175775</v>
      </c>
      <c r="O293" s="475">
        <f t="shared" si="45"/>
        <v>0</v>
      </c>
      <c r="P293" s="475">
        <f t="shared" si="45"/>
        <v>0</v>
      </c>
      <c r="Q293" s="475">
        <f t="shared" si="45"/>
        <v>0.35419813587175775</v>
      </c>
      <c r="R293" s="475">
        <f t="shared" si="45"/>
        <v>0</v>
      </c>
      <c r="S293" s="475">
        <f t="shared" si="45"/>
        <v>0</v>
      </c>
      <c r="T293" s="475">
        <f t="shared" si="45"/>
        <v>0</v>
      </c>
      <c r="U293" s="475">
        <f t="shared" si="45"/>
        <v>0</v>
      </c>
      <c r="V293" s="475">
        <f t="shared" si="45"/>
        <v>0</v>
      </c>
      <c r="W293" s="475">
        <f t="shared" si="45"/>
        <v>0</v>
      </c>
      <c r="X293" s="475">
        <f t="shared" si="45"/>
        <v>0</v>
      </c>
      <c r="Y293" s="475">
        <f t="shared" si="45"/>
        <v>0</v>
      </c>
      <c r="AQ293" s="88"/>
    </row>
    <row r="294" spans="5:43" x14ac:dyDescent="0.25">
      <c r="F294" s="14" t="s">
        <v>179</v>
      </c>
      <c r="G294" s="14" t="s">
        <v>94</v>
      </c>
      <c r="J294" s="475">
        <f t="shared" ref="J294:Y294" si="46">IF(J$42, J$48, J$35)</f>
        <v>0.53678178408311983</v>
      </c>
      <c r="K294" s="475">
        <f t="shared" si="46"/>
        <v>0.53678178408311983</v>
      </c>
      <c r="L294" s="475">
        <f t="shared" si="46"/>
        <v>0.53678178408311983</v>
      </c>
      <c r="M294" s="475">
        <f t="shared" si="46"/>
        <v>0.53678178408311983</v>
      </c>
      <c r="N294" s="475">
        <f t="shared" si="46"/>
        <v>0.53678178408311983</v>
      </c>
      <c r="O294" s="475">
        <f t="shared" si="46"/>
        <v>0.26008027391458188</v>
      </c>
      <c r="P294" s="475">
        <f t="shared" si="46"/>
        <v>0.15233473843264977</v>
      </c>
      <c r="Q294" s="475">
        <f t="shared" si="46"/>
        <v>0.53678178408311983</v>
      </c>
      <c r="R294" s="475">
        <f t="shared" si="46"/>
        <v>0</v>
      </c>
      <c r="S294" s="475">
        <f t="shared" si="46"/>
        <v>0</v>
      </c>
      <c r="T294" s="475">
        <f t="shared" si="46"/>
        <v>0</v>
      </c>
      <c r="U294" s="475">
        <f t="shared" si="46"/>
        <v>0</v>
      </c>
      <c r="V294" s="475">
        <f t="shared" si="46"/>
        <v>0</v>
      </c>
      <c r="W294" s="475">
        <f t="shared" si="46"/>
        <v>0</v>
      </c>
      <c r="X294" s="475">
        <f t="shared" si="46"/>
        <v>0</v>
      </c>
      <c r="Y294" s="475">
        <f t="shared" si="46"/>
        <v>0</v>
      </c>
      <c r="AQ294" s="88"/>
    </row>
    <row r="295" spans="5:43" x14ac:dyDescent="0.25">
      <c r="F295" s="14" t="s">
        <v>166</v>
      </c>
      <c r="G295" s="14" t="s">
        <v>169</v>
      </c>
      <c r="J295" s="275">
        <f t="shared" ref="J295:Y296" si="47">J291 * (1 - J293)</f>
        <v>0</v>
      </c>
      <c r="K295" s="275">
        <f t="shared" si="47"/>
        <v>0</v>
      </c>
      <c r="L295" s="275">
        <f t="shared" si="47"/>
        <v>0</v>
      </c>
      <c r="M295" s="275">
        <f t="shared" si="47"/>
        <v>0</v>
      </c>
      <c r="N295" s="275">
        <f t="shared" si="47"/>
        <v>12.065539291860235</v>
      </c>
      <c r="O295" s="275">
        <f t="shared" si="47"/>
        <v>0</v>
      </c>
      <c r="P295" s="275">
        <f t="shared" si="47"/>
        <v>0</v>
      </c>
      <c r="Q295" s="275">
        <f t="shared" si="47"/>
        <v>0</v>
      </c>
      <c r="R295" s="275">
        <f t="shared" si="47"/>
        <v>0</v>
      </c>
      <c r="S295" s="275">
        <f t="shared" si="47"/>
        <v>0</v>
      </c>
      <c r="T295" s="275">
        <f t="shared" si="47"/>
        <v>0</v>
      </c>
      <c r="U295" s="275">
        <f t="shared" si="47"/>
        <v>0</v>
      </c>
      <c r="V295" s="275">
        <f t="shared" si="47"/>
        <v>0</v>
      </c>
      <c r="W295" s="275">
        <f t="shared" si="47"/>
        <v>0</v>
      </c>
      <c r="X295" s="275">
        <f t="shared" si="47"/>
        <v>0</v>
      </c>
      <c r="Y295" s="275">
        <f t="shared" si="47"/>
        <v>0</v>
      </c>
      <c r="AQ295" s="88"/>
    </row>
    <row r="296" spans="5:43" x14ac:dyDescent="0.25">
      <c r="F296" s="15" t="s">
        <v>177</v>
      </c>
      <c r="G296" s="15" t="s">
        <v>169</v>
      </c>
      <c r="H296" s="93"/>
      <c r="I296" s="93"/>
      <c r="J296" s="268">
        <f t="shared" si="47"/>
        <v>0</v>
      </c>
      <c r="K296" s="268">
        <f t="shared" si="47"/>
        <v>0</v>
      </c>
      <c r="L296" s="268">
        <f t="shared" si="47"/>
        <v>0</v>
      </c>
      <c r="M296" s="268">
        <f t="shared" si="47"/>
        <v>0</v>
      </c>
      <c r="N296" s="268">
        <f t="shared" si="47"/>
        <v>40.765905055937893</v>
      </c>
      <c r="O296" s="268">
        <f t="shared" si="47"/>
        <v>114.09151109722652</v>
      </c>
      <c r="P296" s="268">
        <f t="shared" si="47"/>
        <v>26.277623108587864</v>
      </c>
      <c r="Q296" s="268">
        <f t="shared" si="47"/>
        <v>0</v>
      </c>
      <c r="R296" s="268">
        <f t="shared" si="47"/>
        <v>0</v>
      </c>
      <c r="S296" s="268">
        <f t="shared" si="47"/>
        <v>0</v>
      </c>
      <c r="T296" s="268">
        <f t="shared" si="47"/>
        <v>0</v>
      </c>
      <c r="U296" s="268">
        <f t="shared" si="47"/>
        <v>0</v>
      </c>
      <c r="V296" s="268">
        <f t="shared" si="47"/>
        <v>0</v>
      </c>
      <c r="W296" s="268">
        <f t="shared" si="47"/>
        <v>0</v>
      </c>
      <c r="X296" s="268">
        <f t="shared" si="47"/>
        <v>0</v>
      </c>
      <c r="Y296" s="268">
        <f t="shared" si="47"/>
        <v>0</v>
      </c>
      <c r="AQ296" s="88"/>
    </row>
    <row r="297" spans="5:43" x14ac:dyDescent="0.25">
      <c r="F297" s="14" t="s">
        <v>167</v>
      </c>
      <c r="G297" s="14" t="s">
        <v>169</v>
      </c>
      <c r="J297" s="256">
        <f t="shared" ref="J297:Y297" si="48">J290 + J295 + J296</f>
        <v>0</v>
      </c>
      <c r="K297" s="256">
        <f t="shared" si="48"/>
        <v>0</v>
      </c>
      <c r="L297" s="256">
        <f t="shared" si="48"/>
        <v>0</v>
      </c>
      <c r="M297" s="256">
        <f t="shared" si="48"/>
        <v>0</v>
      </c>
      <c r="N297" s="256">
        <f t="shared" si="48"/>
        <v>45255.008555527595</v>
      </c>
      <c r="O297" s="256">
        <f t="shared" si="48"/>
        <v>909.04841465570098</v>
      </c>
      <c r="P297" s="256">
        <f t="shared" si="48"/>
        <v>23776.537883978082</v>
      </c>
      <c r="Q297" s="256">
        <f t="shared" si="48"/>
        <v>0</v>
      </c>
      <c r="R297" s="256">
        <f t="shared" si="48"/>
        <v>0</v>
      </c>
      <c r="S297" s="256">
        <f t="shared" si="48"/>
        <v>0</v>
      </c>
      <c r="T297" s="256">
        <f t="shared" si="48"/>
        <v>0</v>
      </c>
      <c r="U297" s="256">
        <f t="shared" si="48"/>
        <v>0</v>
      </c>
      <c r="V297" s="256">
        <f t="shared" si="48"/>
        <v>0</v>
      </c>
      <c r="W297" s="256">
        <f t="shared" si="48"/>
        <v>0</v>
      </c>
      <c r="X297" s="256">
        <f t="shared" si="48"/>
        <v>0</v>
      </c>
      <c r="Y297" s="256">
        <f t="shared" si="48"/>
        <v>0</v>
      </c>
      <c r="AQ297" s="88"/>
    </row>
    <row r="298" spans="5:43" x14ac:dyDescent="0.25">
      <c r="E298" s="96"/>
      <c r="J298" s="252"/>
      <c r="K298" s="252"/>
      <c r="L298" s="252"/>
      <c r="M298" s="252"/>
      <c r="N298" s="252"/>
      <c r="O298" s="252"/>
      <c r="P298" s="252"/>
      <c r="Q298" s="252"/>
      <c r="R298" s="252"/>
      <c r="S298" s="252"/>
      <c r="T298" s="252"/>
      <c r="U298" s="252"/>
      <c r="V298" s="252"/>
      <c r="W298" s="252"/>
      <c r="X298" s="252"/>
      <c r="Y298" s="252"/>
      <c r="AQ298" s="88"/>
    </row>
    <row r="299" spans="5:43" x14ac:dyDescent="0.25">
      <c r="E299" s="96" t="s">
        <v>204</v>
      </c>
      <c r="I299" s="293" t="s">
        <v>359</v>
      </c>
      <c r="J299" s="252"/>
      <c r="K299" s="252"/>
      <c r="L299" s="252"/>
      <c r="M299" s="252"/>
      <c r="N299" s="252"/>
      <c r="O299" s="252"/>
      <c r="P299" s="252"/>
      <c r="Q299" s="252"/>
      <c r="R299" s="252"/>
      <c r="S299" s="252"/>
      <c r="T299" s="252"/>
      <c r="U299" s="252"/>
      <c r="V299" s="252"/>
      <c r="W299" s="252"/>
      <c r="X299" s="252"/>
      <c r="Y299" s="252"/>
      <c r="AA299" s="293" t="s">
        <v>694</v>
      </c>
      <c r="AQ299" s="88"/>
    </row>
    <row r="300" spans="5:43" x14ac:dyDescent="0.25">
      <c r="E300" s="96"/>
      <c r="J300" s="252"/>
      <c r="K300" s="252"/>
      <c r="L300" s="252"/>
      <c r="M300" s="252"/>
      <c r="N300" s="252"/>
      <c r="O300" s="252"/>
      <c r="P300" s="252"/>
      <c r="Q300" s="252"/>
      <c r="R300" s="252"/>
      <c r="S300" s="252"/>
      <c r="T300" s="252"/>
      <c r="U300" s="252"/>
      <c r="V300" s="252"/>
      <c r="W300" s="252"/>
      <c r="X300" s="252"/>
      <c r="Y300" s="252"/>
      <c r="AQ300" s="88"/>
    </row>
    <row r="301" spans="5:43" x14ac:dyDescent="0.25">
      <c r="F301" s="14" t="s">
        <v>145</v>
      </c>
      <c r="G301" s="14" t="s">
        <v>170</v>
      </c>
      <c r="J301" s="275">
        <f t="shared" ref="J301:Y301" si="49">J205</f>
        <v>0</v>
      </c>
      <c r="K301" s="275">
        <f t="shared" si="49"/>
        <v>0</v>
      </c>
      <c r="L301" s="275">
        <f t="shared" si="49"/>
        <v>0</v>
      </c>
      <c r="M301" s="275">
        <f t="shared" si="49"/>
        <v>0</v>
      </c>
      <c r="N301" s="275">
        <f t="shared" si="49"/>
        <v>419558.06968835293</v>
      </c>
      <c r="O301" s="275">
        <f t="shared" si="49"/>
        <v>23290.796583517404</v>
      </c>
      <c r="P301" s="275">
        <f t="shared" si="49"/>
        <v>307343.38014144002</v>
      </c>
      <c r="Q301" s="275">
        <f t="shared" si="49"/>
        <v>0</v>
      </c>
      <c r="R301" s="275">
        <f t="shared" si="49"/>
        <v>0</v>
      </c>
      <c r="S301" s="275">
        <f t="shared" si="49"/>
        <v>0</v>
      </c>
      <c r="T301" s="275">
        <f t="shared" si="49"/>
        <v>5486.7326098670592</v>
      </c>
      <c r="U301" s="275">
        <f t="shared" si="49"/>
        <v>0</v>
      </c>
      <c r="V301" s="275">
        <f t="shared" si="49"/>
        <v>0</v>
      </c>
      <c r="W301" s="275">
        <f t="shared" si="49"/>
        <v>0</v>
      </c>
      <c r="X301" s="275">
        <f t="shared" si="49"/>
        <v>37970.304935278305</v>
      </c>
      <c r="Y301" s="275">
        <f t="shared" si="49"/>
        <v>0</v>
      </c>
      <c r="AQ301" s="88"/>
    </row>
    <row r="302" spans="5:43" x14ac:dyDescent="0.25">
      <c r="F302" s="14" t="s">
        <v>146</v>
      </c>
      <c r="G302" s="14" t="s">
        <v>170</v>
      </c>
      <c r="J302" s="275">
        <f t="shared" ref="J302:Y302" si="50">J214</f>
        <v>0</v>
      </c>
      <c r="K302" s="275">
        <f t="shared" si="50"/>
        <v>0</v>
      </c>
      <c r="L302" s="275">
        <f t="shared" si="50"/>
        <v>0</v>
      </c>
      <c r="M302" s="275">
        <f t="shared" si="50"/>
        <v>0</v>
      </c>
      <c r="N302" s="275">
        <f t="shared" si="50"/>
        <v>1981.8244299554478</v>
      </c>
      <c r="O302" s="275">
        <f t="shared" si="50"/>
        <v>0</v>
      </c>
      <c r="P302" s="275">
        <f t="shared" si="50"/>
        <v>0</v>
      </c>
      <c r="Q302" s="275">
        <f t="shared" si="50"/>
        <v>0</v>
      </c>
      <c r="R302" s="275">
        <f t="shared" si="50"/>
        <v>0</v>
      </c>
      <c r="S302" s="275">
        <f t="shared" si="50"/>
        <v>0</v>
      </c>
      <c r="T302" s="275">
        <f t="shared" si="50"/>
        <v>0</v>
      </c>
      <c r="U302" s="275">
        <f t="shared" si="50"/>
        <v>0</v>
      </c>
      <c r="V302" s="275">
        <f t="shared" si="50"/>
        <v>0</v>
      </c>
      <c r="W302" s="275">
        <f t="shared" si="50"/>
        <v>0</v>
      </c>
      <c r="X302" s="275">
        <f t="shared" si="50"/>
        <v>0</v>
      </c>
      <c r="Y302" s="275">
        <f t="shared" si="50"/>
        <v>0</v>
      </c>
      <c r="AQ302" s="88"/>
    </row>
    <row r="303" spans="5:43" x14ac:dyDescent="0.25">
      <c r="F303" s="14" t="s">
        <v>147</v>
      </c>
      <c r="G303" s="14" t="s">
        <v>170</v>
      </c>
      <c r="J303" s="275">
        <f t="shared" ref="J303:Y303" si="51">J223</f>
        <v>0</v>
      </c>
      <c r="K303" s="275">
        <f t="shared" si="51"/>
        <v>0</v>
      </c>
      <c r="L303" s="275">
        <f t="shared" si="51"/>
        <v>0</v>
      </c>
      <c r="M303" s="275">
        <f t="shared" si="51"/>
        <v>0</v>
      </c>
      <c r="N303" s="275">
        <f t="shared" si="51"/>
        <v>12839.683921127466</v>
      </c>
      <c r="O303" s="275">
        <f t="shared" si="51"/>
        <v>2131.6053802330703</v>
      </c>
      <c r="P303" s="275">
        <f t="shared" si="51"/>
        <v>1515.3427578519002</v>
      </c>
      <c r="Q303" s="275">
        <f t="shared" si="51"/>
        <v>0</v>
      </c>
      <c r="R303" s="275">
        <f t="shared" si="51"/>
        <v>0</v>
      </c>
      <c r="S303" s="275">
        <f t="shared" si="51"/>
        <v>0</v>
      </c>
      <c r="T303" s="275">
        <f t="shared" si="51"/>
        <v>0</v>
      </c>
      <c r="U303" s="275">
        <f t="shared" si="51"/>
        <v>0</v>
      </c>
      <c r="V303" s="275">
        <f t="shared" si="51"/>
        <v>0</v>
      </c>
      <c r="W303" s="275">
        <f t="shared" si="51"/>
        <v>0</v>
      </c>
      <c r="X303" s="275">
        <f t="shared" si="51"/>
        <v>0</v>
      </c>
      <c r="Y303" s="275">
        <f t="shared" si="51"/>
        <v>0</v>
      </c>
      <c r="AQ303" s="88"/>
    </row>
    <row r="304" spans="5:43" x14ac:dyDescent="0.25">
      <c r="F304" s="14" t="s">
        <v>178</v>
      </c>
      <c r="G304" s="14" t="s">
        <v>94</v>
      </c>
      <c r="J304" s="475">
        <f t="shared" ref="J304:Y304" si="52">IF(J$43, J$49, J$34)</f>
        <v>0.35419813587175775</v>
      </c>
      <c r="K304" s="475">
        <f t="shared" si="52"/>
        <v>0.35419813587175775</v>
      </c>
      <c r="L304" s="475">
        <f t="shared" si="52"/>
        <v>0.35419813587175775</v>
      </c>
      <c r="M304" s="475">
        <f t="shared" si="52"/>
        <v>0.35419813587175775</v>
      </c>
      <c r="N304" s="475">
        <f t="shared" si="52"/>
        <v>0.35419813587175775</v>
      </c>
      <c r="O304" s="475">
        <f t="shared" si="52"/>
        <v>0</v>
      </c>
      <c r="P304" s="475">
        <f t="shared" si="52"/>
        <v>0</v>
      </c>
      <c r="Q304" s="475">
        <f t="shared" si="52"/>
        <v>0.35419813587175775</v>
      </c>
      <c r="R304" s="475">
        <f t="shared" si="52"/>
        <v>0</v>
      </c>
      <c r="S304" s="475">
        <f t="shared" si="52"/>
        <v>0</v>
      </c>
      <c r="T304" s="475">
        <f t="shared" si="52"/>
        <v>0</v>
      </c>
      <c r="U304" s="475">
        <f t="shared" si="52"/>
        <v>0</v>
      </c>
      <c r="V304" s="475">
        <f t="shared" si="52"/>
        <v>0</v>
      </c>
      <c r="W304" s="475">
        <f t="shared" si="52"/>
        <v>0</v>
      </c>
      <c r="X304" s="475">
        <f t="shared" si="52"/>
        <v>0</v>
      </c>
      <c r="Y304" s="475">
        <f t="shared" si="52"/>
        <v>0</v>
      </c>
      <c r="AQ304" s="88"/>
    </row>
    <row r="305" spans="2:43" x14ac:dyDescent="0.25">
      <c r="F305" s="14" t="s">
        <v>179</v>
      </c>
      <c r="G305" s="14" t="s">
        <v>94</v>
      </c>
      <c r="J305" s="475">
        <f t="shared" ref="J305:Y305" si="53">IF(J$43, J$49, J$35)</f>
        <v>0.53678178408311983</v>
      </c>
      <c r="K305" s="475">
        <f t="shared" si="53"/>
        <v>0.53678178408311983</v>
      </c>
      <c r="L305" s="475">
        <f t="shared" si="53"/>
        <v>0.53678178408311983</v>
      </c>
      <c r="M305" s="475">
        <f t="shared" si="53"/>
        <v>0.53678178408311983</v>
      </c>
      <c r="N305" s="475">
        <f t="shared" si="53"/>
        <v>0.53678178408311983</v>
      </c>
      <c r="O305" s="475">
        <f t="shared" si="53"/>
        <v>0.26008027391458188</v>
      </c>
      <c r="P305" s="475">
        <f t="shared" si="53"/>
        <v>0.15233473843264977</v>
      </c>
      <c r="Q305" s="475">
        <f t="shared" si="53"/>
        <v>0.53678178408311983</v>
      </c>
      <c r="R305" s="475">
        <f t="shared" si="53"/>
        <v>0</v>
      </c>
      <c r="S305" s="475">
        <f t="shared" si="53"/>
        <v>0</v>
      </c>
      <c r="T305" s="475">
        <f t="shared" si="53"/>
        <v>0</v>
      </c>
      <c r="U305" s="475">
        <f t="shared" si="53"/>
        <v>0</v>
      </c>
      <c r="V305" s="475">
        <f t="shared" si="53"/>
        <v>0</v>
      </c>
      <c r="W305" s="475">
        <f t="shared" si="53"/>
        <v>0</v>
      </c>
      <c r="X305" s="475">
        <f t="shared" si="53"/>
        <v>0</v>
      </c>
      <c r="Y305" s="475">
        <f t="shared" si="53"/>
        <v>0</v>
      </c>
      <c r="AQ305" s="88"/>
    </row>
    <row r="306" spans="2:43" x14ac:dyDescent="0.25">
      <c r="F306" s="14" t="s">
        <v>166</v>
      </c>
      <c r="G306" s="14" t="s">
        <v>170</v>
      </c>
      <c r="J306" s="275">
        <f t="shared" ref="J306:Y307" si="54">J302 * (1 - J304)</f>
        <v>0</v>
      </c>
      <c r="K306" s="275">
        <f t="shared" si="54"/>
        <v>0</v>
      </c>
      <c r="L306" s="275">
        <f t="shared" si="54"/>
        <v>0</v>
      </c>
      <c r="M306" s="275">
        <f t="shared" si="54"/>
        <v>0</v>
      </c>
      <c r="N306" s="275">
        <f t="shared" si="54"/>
        <v>1279.8659112401192</v>
      </c>
      <c r="O306" s="275">
        <f t="shared" si="54"/>
        <v>0</v>
      </c>
      <c r="P306" s="275">
        <f t="shared" si="54"/>
        <v>0</v>
      </c>
      <c r="Q306" s="275">
        <f t="shared" si="54"/>
        <v>0</v>
      </c>
      <c r="R306" s="275">
        <f t="shared" si="54"/>
        <v>0</v>
      </c>
      <c r="S306" s="275">
        <f t="shared" si="54"/>
        <v>0</v>
      </c>
      <c r="T306" s="275">
        <f t="shared" si="54"/>
        <v>0</v>
      </c>
      <c r="U306" s="275">
        <f t="shared" si="54"/>
        <v>0</v>
      </c>
      <c r="V306" s="275">
        <f t="shared" si="54"/>
        <v>0</v>
      </c>
      <c r="W306" s="275">
        <f t="shared" si="54"/>
        <v>0</v>
      </c>
      <c r="X306" s="275">
        <f t="shared" si="54"/>
        <v>0</v>
      </c>
      <c r="Y306" s="275">
        <f t="shared" si="54"/>
        <v>0</v>
      </c>
      <c r="AQ306" s="88"/>
    </row>
    <row r="307" spans="2:43" x14ac:dyDescent="0.25">
      <c r="F307" s="15" t="s">
        <v>177</v>
      </c>
      <c r="G307" s="15" t="s">
        <v>170</v>
      </c>
      <c r="H307" s="93"/>
      <c r="I307" s="93"/>
      <c r="J307" s="268">
        <f t="shared" si="54"/>
        <v>0</v>
      </c>
      <c r="K307" s="268">
        <f t="shared" si="54"/>
        <v>0</v>
      </c>
      <c r="L307" s="268">
        <f t="shared" si="54"/>
        <v>0</v>
      </c>
      <c r="M307" s="268">
        <f t="shared" si="54"/>
        <v>0</v>
      </c>
      <c r="N307" s="268">
        <f t="shared" si="54"/>
        <v>5947.5754788813174</v>
      </c>
      <c r="O307" s="268">
        <f t="shared" si="54"/>
        <v>1577.2168690642568</v>
      </c>
      <c r="P307" s="268">
        <f t="shared" si="54"/>
        <v>1284.5034151987209</v>
      </c>
      <c r="Q307" s="268">
        <f t="shared" si="54"/>
        <v>0</v>
      </c>
      <c r="R307" s="268">
        <f t="shared" si="54"/>
        <v>0</v>
      </c>
      <c r="S307" s="268">
        <f t="shared" si="54"/>
        <v>0</v>
      </c>
      <c r="T307" s="268">
        <f t="shared" si="54"/>
        <v>0</v>
      </c>
      <c r="U307" s="268">
        <f t="shared" si="54"/>
        <v>0</v>
      </c>
      <c r="V307" s="268">
        <f t="shared" si="54"/>
        <v>0</v>
      </c>
      <c r="W307" s="268">
        <f t="shared" si="54"/>
        <v>0</v>
      </c>
      <c r="X307" s="268">
        <f t="shared" si="54"/>
        <v>0</v>
      </c>
      <c r="Y307" s="268">
        <f t="shared" si="54"/>
        <v>0</v>
      </c>
      <c r="AQ307" s="88"/>
    </row>
    <row r="308" spans="2:43" x14ac:dyDescent="0.25">
      <c r="F308" s="14" t="s">
        <v>167</v>
      </c>
      <c r="G308" s="14" t="s">
        <v>170</v>
      </c>
      <c r="J308" s="256">
        <f t="shared" ref="J308:Y308" si="55">J301 + J306 + J307</f>
        <v>0</v>
      </c>
      <c r="K308" s="256">
        <f t="shared" si="55"/>
        <v>0</v>
      </c>
      <c r="L308" s="256">
        <f t="shared" si="55"/>
        <v>0</v>
      </c>
      <c r="M308" s="256">
        <f t="shared" si="55"/>
        <v>0</v>
      </c>
      <c r="N308" s="256">
        <f t="shared" si="55"/>
        <v>426785.51107847434</v>
      </c>
      <c r="O308" s="256">
        <f t="shared" si="55"/>
        <v>24868.013452581661</v>
      </c>
      <c r="P308" s="256">
        <f t="shared" si="55"/>
        <v>308627.88355663873</v>
      </c>
      <c r="Q308" s="256">
        <f t="shared" si="55"/>
        <v>0</v>
      </c>
      <c r="R308" s="256">
        <f t="shared" si="55"/>
        <v>0</v>
      </c>
      <c r="S308" s="256">
        <f t="shared" si="55"/>
        <v>0</v>
      </c>
      <c r="T308" s="256">
        <f t="shared" si="55"/>
        <v>5486.7326098670592</v>
      </c>
      <c r="U308" s="256">
        <f t="shared" si="55"/>
        <v>0</v>
      </c>
      <c r="V308" s="256">
        <f t="shared" si="55"/>
        <v>0</v>
      </c>
      <c r="W308" s="256">
        <f t="shared" si="55"/>
        <v>0</v>
      </c>
      <c r="X308" s="256">
        <f t="shared" si="55"/>
        <v>37970.304935278305</v>
      </c>
      <c r="Y308" s="256">
        <f t="shared" si="55"/>
        <v>0</v>
      </c>
      <c r="AQ308" s="88"/>
    </row>
    <row r="309" spans="2:43" x14ac:dyDescent="0.25">
      <c r="D309" s="96"/>
      <c r="AQ309" s="88"/>
    </row>
    <row r="310" spans="2:43" x14ac:dyDescent="0.25">
      <c r="B310" s="95" t="s">
        <v>1076</v>
      </c>
      <c r="C310" s="95"/>
      <c r="D310" s="95"/>
      <c r="E310" s="95"/>
      <c r="F310" s="95"/>
      <c r="G310" s="95"/>
      <c r="H310" s="95"/>
      <c r="I310" s="95"/>
      <c r="J310" s="95"/>
      <c r="K310" s="95"/>
      <c r="L310" s="95"/>
      <c r="M310" s="95"/>
      <c r="N310" s="95"/>
      <c r="O310" s="95"/>
      <c r="P310" s="95"/>
      <c r="Q310" s="95"/>
      <c r="R310" s="95"/>
      <c r="S310" s="95"/>
      <c r="T310" s="95"/>
      <c r="U310" s="95"/>
      <c r="V310" s="95"/>
      <c r="W310" s="95"/>
      <c r="X310" s="95"/>
      <c r="Y310" s="95"/>
      <c r="Z310" s="95"/>
      <c r="AA310" s="95"/>
      <c r="AC310" s="95"/>
      <c r="AD310" s="95"/>
      <c r="AE310" s="95"/>
      <c r="AF310" s="95"/>
      <c r="AG310" s="95"/>
      <c r="AH310" s="95"/>
      <c r="AI310" s="95"/>
      <c r="AJ310" s="95"/>
      <c r="AK310" s="95"/>
      <c r="AL310" s="95"/>
      <c r="AM310" s="95"/>
      <c r="AN310" s="95"/>
      <c r="AO310" s="95"/>
      <c r="AQ310" s="95"/>
    </row>
    <row r="311" spans="2:43" x14ac:dyDescent="0.25">
      <c r="C311" s="96"/>
      <c r="AQ311" s="88"/>
    </row>
    <row r="312" spans="2:43" x14ac:dyDescent="0.25">
      <c r="C312" s="82" t="s">
        <v>1077</v>
      </c>
      <c r="AQ312" s="88"/>
    </row>
    <row r="313" spans="2:43" x14ac:dyDescent="0.25">
      <c r="C313" s="96"/>
      <c r="AQ313" s="88"/>
    </row>
    <row r="314" spans="2:43" x14ac:dyDescent="0.25">
      <c r="C314" s="96"/>
      <c r="E314" s="96" t="s">
        <v>178</v>
      </c>
      <c r="AQ314" s="88"/>
    </row>
    <row r="315" spans="2:43" x14ac:dyDescent="0.25">
      <c r="C315" s="96"/>
      <c r="F315" s="40" t="s">
        <v>199</v>
      </c>
      <c r="G315" s="91" t="s">
        <v>94</v>
      </c>
      <c r="H315" s="91"/>
      <c r="I315" s="91"/>
      <c r="J315" s="180">
        <f>IF(J$39, J$45, J$34)</f>
        <v>0.35419813587175775</v>
      </c>
      <c r="K315" s="180">
        <f t="shared" ref="K315:Y315" si="56">IF(K$39, K$45, K$34)</f>
        <v>0.35419813587175775</v>
      </c>
      <c r="L315" s="180">
        <f t="shared" si="56"/>
        <v>0.35419813587175775</v>
      </c>
      <c r="M315" s="180">
        <f t="shared" si="56"/>
        <v>0.35419813587175775</v>
      </c>
      <c r="N315" s="180">
        <f t="shared" si="56"/>
        <v>0.35419813587175775</v>
      </c>
      <c r="O315" s="180">
        <f t="shared" si="56"/>
        <v>0</v>
      </c>
      <c r="P315" s="180">
        <f t="shared" si="56"/>
        <v>0</v>
      </c>
      <c r="Q315" s="180">
        <f t="shared" si="56"/>
        <v>0.35419813587175775</v>
      </c>
      <c r="R315" s="180">
        <f t="shared" si="56"/>
        <v>0</v>
      </c>
      <c r="S315" s="180">
        <f t="shared" si="56"/>
        <v>0</v>
      </c>
      <c r="T315" s="180">
        <f t="shared" si="56"/>
        <v>0</v>
      </c>
      <c r="U315" s="180">
        <f t="shared" si="56"/>
        <v>0</v>
      </c>
      <c r="V315" s="180">
        <f t="shared" si="56"/>
        <v>0</v>
      </c>
      <c r="W315" s="180">
        <f t="shared" si="56"/>
        <v>0</v>
      </c>
      <c r="X315" s="180">
        <f t="shared" si="56"/>
        <v>0</v>
      </c>
      <c r="Y315" s="180">
        <f t="shared" si="56"/>
        <v>0</v>
      </c>
      <c r="AQ315" s="88"/>
    </row>
    <row r="316" spans="2:43" x14ac:dyDescent="0.25">
      <c r="C316" s="96"/>
      <c r="F316" s="109" t="s">
        <v>200</v>
      </c>
      <c r="G316" s="293" t="s">
        <v>94</v>
      </c>
      <c r="J316" s="474">
        <f t="shared" ref="J316:Y317" si="57">IF(J$39, J$45, J$34)</f>
        <v>0.35419813587175775</v>
      </c>
      <c r="K316" s="474">
        <f t="shared" si="57"/>
        <v>0.35419813587175775</v>
      </c>
      <c r="L316" s="474">
        <f t="shared" si="57"/>
        <v>0.35419813587175775</v>
      </c>
      <c r="M316" s="474">
        <f t="shared" si="57"/>
        <v>0.35419813587175775</v>
      </c>
      <c r="N316" s="474">
        <f t="shared" si="57"/>
        <v>0.35419813587175775</v>
      </c>
      <c r="O316" s="474">
        <f t="shared" si="57"/>
        <v>0</v>
      </c>
      <c r="P316" s="474">
        <f t="shared" si="57"/>
        <v>0</v>
      </c>
      <c r="Q316" s="474">
        <f t="shared" si="57"/>
        <v>0.35419813587175775</v>
      </c>
      <c r="R316" s="474">
        <f t="shared" si="57"/>
        <v>0</v>
      </c>
      <c r="S316" s="474">
        <f t="shared" si="57"/>
        <v>0</v>
      </c>
      <c r="T316" s="474">
        <f t="shared" si="57"/>
        <v>0</v>
      </c>
      <c r="U316" s="474">
        <f t="shared" si="57"/>
        <v>0</v>
      </c>
      <c r="V316" s="474">
        <f t="shared" si="57"/>
        <v>0</v>
      </c>
      <c r="W316" s="474">
        <f t="shared" si="57"/>
        <v>0</v>
      </c>
      <c r="X316" s="474">
        <f t="shared" si="57"/>
        <v>0</v>
      </c>
      <c r="Y316" s="474">
        <f t="shared" si="57"/>
        <v>0</v>
      </c>
      <c r="AQ316" s="88"/>
    </row>
    <row r="317" spans="2:43" x14ac:dyDescent="0.25">
      <c r="C317" s="96"/>
      <c r="F317" s="36" t="s">
        <v>201</v>
      </c>
      <c r="G317" s="93" t="s">
        <v>94</v>
      </c>
      <c r="H317" s="93"/>
      <c r="I317" s="93"/>
      <c r="J317" s="181">
        <f t="shared" si="57"/>
        <v>0.35419813587175775</v>
      </c>
      <c r="K317" s="181">
        <f t="shared" si="57"/>
        <v>0.35419813587175775</v>
      </c>
      <c r="L317" s="181">
        <f t="shared" si="57"/>
        <v>0.35419813587175775</v>
      </c>
      <c r="M317" s="181">
        <f t="shared" si="57"/>
        <v>0.35419813587175775</v>
      </c>
      <c r="N317" s="181">
        <f t="shared" si="57"/>
        <v>0.35419813587175775</v>
      </c>
      <c r="O317" s="181">
        <f t="shared" si="57"/>
        <v>0</v>
      </c>
      <c r="P317" s="181">
        <f t="shared" si="57"/>
        <v>0</v>
      </c>
      <c r="Q317" s="181">
        <f t="shared" si="57"/>
        <v>0.35419813587175775</v>
      </c>
      <c r="R317" s="181">
        <f t="shared" si="57"/>
        <v>0</v>
      </c>
      <c r="S317" s="181">
        <f t="shared" si="57"/>
        <v>0</v>
      </c>
      <c r="T317" s="181">
        <f t="shared" si="57"/>
        <v>0</v>
      </c>
      <c r="U317" s="181">
        <f t="shared" si="57"/>
        <v>0</v>
      </c>
      <c r="V317" s="181">
        <f t="shared" si="57"/>
        <v>0</v>
      </c>
      <c r="W317" s="181">
        <f t="shared" si="57"/>
        <v>0</v>
      </c>
      <c r="X317" s="181">
        <f t="shared" si="57"/>
        <v>0</v>
      </c>
      <c r="Y317" s="181">
        <f t="shared" si="57"/>
        <v>0</v>
      </c>
      <c r="AQ317" s="88"/>
    </row>
    <row r="318" spans="2:43" x14ac:dyDescent="0.25">
      <c r="C318" s="96"/>
      <c r="F318" s="109" t="s">
        <v>74</v>
      </c>
      <c r="G318" s="293" t="s">
        <v>94</v>
      </c>
      <c r="J318" s="474">
        <f t="shared" ref="J318:Y321" si="58">IF(J$39, J46, J$34)</f>
        <v>0.35419813587175775</v>
      </c>
      <c r="K318" s="474">
        <f t="shared" si="58"/>
        <v>0.35419813587175775</v>
      </c>
      <c r="L318" s="474">
        <f t="shared" si="58"/>
        <v>0.35419813587175775</v>
      </c>
      <c r="M318" s="474">
        <f t="shared" si="58"/>
        <v>0.35419813587175775</v>
      </c>
      <c r="N318" s="474">
        <f t="shared" si="58"/>
        <v>0.35419813587175775</v>
      </c>
      <c r="O318" s="474">
        <f t="shared" si="58"/>
        <v>0</v>
      </c>
      <c r="P318" s="474">
        <f t="shared" si="58"/>
        <v>0</v>
      </c>
      <c r="Q318" s="474">
        <f t="shared" si="58"/>
        <v>0.35419813587175775</v>
      </c>
      <c r="R318" s="474">
        <f t="shared" si="58"/>
        <v>1</v>
      </c>
      <c r="S318" s="474">
        <f t="shared" si="58"/>
        <v>1</v>
      </c>
      <c r="T318" s="474">
        <f t="shared" si="58"/>
        <v>1</v>
      </c>
      <c r="U318" s="474">
        <f t="shared" si="58"/>
        <v>1</v>
      </c>
      <c r="V318" s="474">
        <f t="shared" si="58"/>
        <v>1</v>
      </c>
      <c r="W318" s="474">
        <f t="shared" si="58"/>
        <v>1</v>
      </c>
      <c r="X318" s="474">
        <f t="shared" si="58"/>
        <v>1</v>
      </c>
      <c r="Y318" s="474">
        <f t="shared" si="58"/>
        <v>1</v>
      </c>
      <c r="AQ318" s="88"/>
    </row>
    <row r="319" spans="2:43" x14ac:dyDescent="0.25">
      <c r="C319" s="96"/>
      <c r="F319" s="109" t="s">
        <v>202</v>
      </c>
      <c r="G319" s="293" t="s">
        <v>94</v>
      </c>
      <c r="J319" s="474">
        <f t="shared" si="58"/>
        <v>0.35419813587175775</v>
      </c>
      <c r="K319" s="474">
        <f t="shared" si="58"/>
        <v>0.35419813587175775</v>
      </c>
      <c r="L319" s="474">
        <f t="shared" si="58"/>
        <v>0.35419813587175775</v>
      </c>
      <c r="M319" s="474">
        <f t="shared" si="58"/>
        <v>0.35419813587175775</v>
      </c>
      <c r="N319" s="474">
        <f t="shared" si="58"/>
        <v>0.35419813587175775</v>
      </c>
      <c r="O319" s="474">
        <f t="shared" si="58"/>
        <v>0</v>
      </c>
      <c r="P319" s="474">
        <f t="shared" si="58"/>
        <v>0</v>
      </c>
      <c r="Q319" s="474">
        <f t="shared" si="58"/>
        <v>0.35419813587175775</v>
      </c>
      <c r="R319" s="474">
        <f t="shared" si="58"/>
        <v>0</v>
      </c>
      <c r="S319" s="474">
        <f t="shared" si="58"/>
        <v>0</v>
      </c>
      <c r="T319" s="474">
        <f t="shared" si="58"/>
        <v>0</v>
      </c>
      <c r="U319" s="474">
        <f t="shared" si="58"/>
        <v>0</v>
      </c>
      <c r="V319" s="474">
        <f t="shared" si="58"/>
        <v>0</v>
      </c>
      <c r="W319" s="474">
        <f t="shared" si="58"/>
        <v>0</v>
      </c>
      <c r="X319" s="474">
        <f t="shared" si="58"/>
        <v>0</v>
      </c>
      <c r="Y319" s="474">
        <f t="shared" si="58"/>
        <v>0</v>
      </c>
      <c r="AQ319" s="88"/>
    </row>
    <row r="320" spans="2:43" x14ac:dyDescent="0.25">
      <c r="C320" s="96"/>
      <c r="F320" s="109" t="s">
        <v>203</v>
      </c>
      <c r="G320" s="293" t="s">
        <v>94</v>
      </c>
      <c r="J320" s="474">
        <f t="shared" si="58"/>
        <v>0.35419813587175775</v>
      </c>
      <c r="K320" s="474">
        <f t="shared" si="58"/>
        <v>0.35419813587175775</v>
      </c>
      <c r="L320" s="474">
        <f t="shared" si="58"/>
        <v>0.35419813587175775</v>
      </c>
      <c r="M320" s="474">
        <f t="shared" si="58"/>
        <v>0.35419813587175775</v>
      </c>
      <c r="N320" s="474">
        <f t="shared" si="58"/>
        <v>0.35419813587175775</v>
      </c>
      <c r="O320" s="474">
        <f t="shared" si="58"/>
        <v>0</v>
      </c>
      <c r="P320" s="474">
        <f t="shared" si="58"/>
        <v>0</v>
      </c>
      <c r="Q320" s="474">
        <f t="shared" si="58"/>
        <v>0.35419813587175775</v>
      </c>
      <c r="R320" s="474">
        <f t="shared" si="58"/>
        <v>0</v>
      </c>
      <c r="S320" s="474">
        <f t="shared" si="58"/>
        <v>0</v>
      </c>
      <c r="T320" s="474">
        <f t="shared" si="58"/>
        <v>0</v>
      </c>
      <c r="U320" s="474">
        <f t="shared" si="58"/>
        <v>0</v>
      </c>
      <c r="V320" s="474">
        <f t="shared" si="58"/>
        <v>0</v>
      </c>
      <c r="W320" s="474">
        <f t="shared" si="58"/>
        <v>0</v>
      </c>
      <c r="X320" s="474">
        <f t="shared" si="58"/>
        <v>0</v>
      </c>
      <c r="Y320" s="474">
        <f t="shared" si="58"/>
        <v>0</v>
      </c>
      <c r="AQ320" s="88"/>
    </row>
    <row r="321" spans="3:43" x14ac:dyDescent="0.25">
      <c r="C321" s="96"/>
      <c r="F321" s="36" t="s">
        <v>204</v>
      </c>
      <c r="G321" s="93" t="s">
        <v>94</v>
      </c>
      <c r="H321" s="93"/>
      <c r="I321" s="93"/>
      <c r="J321" s="181">
        <f t="shared" si="58"/>
        <v>0.35419813587175775</v>
      </c>
      <c r="K321" s="181">
        <f t="shared" si="58"/>
        <v>0.35419813587175775</v>
      </c>
      <c r="L321" s="181">
        <f t="shared" si="58"/>
        <v>0.35419813587175775</v>
      </c>
      <c r="M321" s="181">
        <f t="shared" si="58"/>
        <v>0.35419813587175775</v>
      </c>
      <c r="N321" s="181">
        <f t="shared" si="58"/>
        <v>0.35419813587175775</v>
      </c>
      <c r="O321" s="181">
        <f t="shared" si="58"/>
        <v>0</v>
      </c>
      <c r="P321" s="181">
        <f t="shared" si="58"/>
        <v>0</v>
      </c>
      <c r="Q321" s="181">
        <f t="shared" si="58"/>
        <v>0.35419813587175775</v>
      </c>
      <c r="R321" s="181">
        <f t="shared" si="58"/>
        <v>0</v>
      </c>
      <c r="S321" s="181">
        <f t="shared" si="58"/>
        <v>0</v>
      </c>
      <c r="T321" s="181">
        <f t="shared" si="58"/>
        <v>0</v>
      </c>
      <c r="U321" s="181">
        <f t="shared" si="58"/>
        <v>0</v>
      </c>
      <c r="V321" s="181">
        <f t="shared" si="58"/>
        <v>0</v>
      </c>
      <c r="W321" s="181">
        <f t="shared" si="58"/>
        <v>0</v>
      </c>
      <c r="X321" s="181">
        <f t="shared" si="58"/>
        <v>0</v>
      </c>
      <c r="Y321" s="181">
        <f t="shared" si="58"/>
        <v>0</v>
      </c>
      <c r="AQ321" s="88"/>
    </row>
    <row r="322" spans="3:43" x14ac:dyDescent="0.25">
      <c r="C322" s="96"/>
      <c r="AQ322" s="88"/>
    </row>
    <row r="323" spans="3:43" x14ac:dyDescent="0.25">
      <c r="C323" s="96"/>
      <c r="E323" s="96" t="s">
        <v>179</v>
      </c>
      <c r="AQ323" s="88"/>
    </row>
    <row r="324" spans="3:43" x14ac:dyDescent="0.25">
      <c r="C324" s="96"/>
      <c r="F324" s="40" t="s">
        <v>199</v>
      </c>
      <c r="G324" s="91" t="s">
        <v>94</v>
      </c>
      <c r="H324" s="91"/>
      <c r="I324" s="91"/>
      <c r="J324" s="180">
        <f>IF(J$39, J$45, J$35)</f>
        <v>0.53678178408311983</v>
      </c>
      <c r="K324" s="180">
        <f t="shared" ref="K324:Y326" si="59">IF(K$39, K$45, K$35)</f>
        <v>0.53678178408311983</v>
      </c>
      <c r="L324" s="180">
        <f t="shared" si="59"/>
        <v>0.53678178408311983</v>
      </c>
      <c r="M324" s="180">
        <f t="shared" si="59"/>
        <v>0.53678178408311983</v>
      </c>
      <c r="N324" s="180">
        <f t="shared" si="59"/>
        <v>0.53678178408311983</v>
      </c>
      <c r="O324" s="180">
        <f t="shared" si="59"/>
        <v>0.26008027391458188</v>
      </c>
      <c r="P324" s="180">
        <f t="shared" si="59"/>
        <v>0.15233473843264977</v>
      </c>
      <c r="Q324" s="180">
        <f t="shared" si="59"/>
        <v>0.53678178408311983</v>
      </c>
      <c r="R324" s="180">
        <f t="shared" si="59"/>
        <v>0</v>
      </c>
      <c r="S324" s="180">
        <f t="shared" si="59"/>
        <v>0</v>
      </c>
      <c r="T324" s="180">
        <f t="shared" si="59"/>
        <v>0</v>
      </c>
      <c r="U324" s="180">
        <f t="shared" si="59"/>
        <v>0</v>
      </c>
      <c r="V324" s="180">
        <f t="shared" si="59"/>
        <v>0</v>
      </c>
      <c r="W324" s="180">
        <f t="shared" si="59"/>
        <v>0</v>
      </c>
      <c r="X324" s="180">
        <f t="shared" si="59"/>
        <v>0</v>
      </c>
      <c r="Y324" s="180">
        <f t="shared" si="59"/>
        <v>0</v>
      </c>
      <c r="AQ324" s="88"/>
    </row>
    <row r="325" spans="3:43" x14ac:dyDescent="0.25">
      <c r="C325" s="96"/>
      <c r="F325" s="109" t="s">
        <v>200</v>
      </c>
      <c r="G325" s="293" t="s">
        <v>94</v>
      </c>
      <c r="J325" s="474">
        <f t="shared" ref="J325:J326" si="60">IF(J$39, J$45, J$35)</f>
        <v>0.53678178408311983</v>
      </c>
      <c r="K325" s="474">
        <f t="shared" si="59"/>
        <v>0.53678178408311983</v>
      </c>
      <c r="L325" s="474">
        <f t="shared" si="59"/>
        <v>0.53678178408311983</v>
      </c>
      <c r="M325" s="474">
        <f t="shared" si="59"/>
        <v>0.53678178408311983</v>
      </c>
      <c r="N325" s="474">
        <f t="shared" si="59"/>
        <v>0.53678178408311983</v>
      </c>
      <c r="O325" s="474">
        <f t="shared" si="59"/>
        <v>0.26008027391458188</v>
      </c>
      <c r="P325" s="474">
        <f t="shared" si="59"/>
        <v>0.15233473843264977</v>
      </c>
      <c r="Q325" s="474">
        <f t="shared" si="59"/>
        <v>0.53678178408311983</v>
      </c>
      <c r="R325" s="474">
        <f t="shared" si="59"/>
        <v>0</v>
      </c>
      <c r="S325" s="474">
        <f t="shared" si="59"/>
        <v>0</v>
      </c>
      <c r="T325" s="474">
        <f t="shared" si="59"/>
        <v>0</v>
      </c>
      <c r="U325" s="474">
        <f t="shared" si="59"/>
        <v>0</v>
      </c>
      <c r="V325" s="474">
        <f t="shared" si="59"/>
        <v>0</v>
      </c>
      <c r="W325" s="474">
        <f t="shared" si="59"/>
        <v>0</v>
      </c>
      <c r="X325" s="474">
        <f t="shared" si="59"/>
        <v>0</v>
      </c>
      <c r="Y325" s="474">
        <f t="shared" si="59"/>
        <v>0</v>
      </c>
      <c r="AQ325" s="88"/>
    </row>
    <row r="326" spans="3:43" x14ac:dyDescent="0.25">
      <c r="C326" s="96"/>
      <c r="F326" s="36" t="s">
        <v>201</v>
      </c>
      <c r="G326" s="93" t="s">
        <v>94</v>
      </c>
      <c r="H326" s="93"/>
      <c r="I326" s="93"/>
      <c r="J326" s="181">
        <f t="shared" si="60"/>
        <v>0.53678178408311983</v>
      </c>
      <c r="K326" s="181">
        <f t="shared" si="59"/>
        <v>0.53678178408311983</v>
      </c>
      <c r="L326" s="181">
        <f t="shared" si="59"/>
        <v>0.53678178408311983</v>
      </c>
      <c r="M326" s="181">
        <f t="shared" si="59"/>
        <v>0.53678178408311983</v>
      </c>
      <c r="N326" s="181">
        <f t="shared" si="59"/>
        <v>0.53678178408311983</v>
      </c>
      <c r="O326" s="181">
        <f t="shared" si="59"/>
        <v>0.26008027391458188</v>
      </c>
      <c r="P326" s="181">
        <f t="shared" si="59"/>
        <v>0.15233473843264977</v>
      </c>
      <c r="Q326" s="181">
        <f t="shared" si="59"/>
        <v>0.53678178408311983</v>
      </c>
      <c r="R326" s="181">
        <f t="shared" si="59"/>
        <v>0</v>
      </c>
      <c r="S326" s="181">
        <f t="shared" si="59"/>
        <v>0</v>
      </c>
      <c r="T326" s="181">
        <f t="shared" si="59"/>
        <v>0</v>
      </c>
      <c r="U326" s="181">
        <f t="shared" si="59"/>
        <v>0</v>
      </c>
      <c r="V326" s="181">
        <f t="shared" si="59"/>
        <v>0</v>
      </c>
      <c r="W326" s="181">
        <f t="shared" si="59"/>
        <v>0</v>
      </c>
      <c r="X326" s="181">
        <f t="shared" si="59"/>
        <v>0</v>
      </c>
      <c r="Y326" s="181">
        <f t="shared" si="59"/>
        <v>0</v>
      </c>
      <c r="AQ326" s="88"/>
    </row>
    <row r="327" spans="3:43" x14ac:dyDescent="0.25">
      <c r="C327" s="96"/>
      <c r="F327" s="109" t="s">
        <v>74</v>
      </c>
      <c r="G327" s="293" t="s">
        <v>94</v>
      </c>
      <c r="J327" s="474">
        <f t="shared" ref="J327:Y330" si="61">IF(J$39, J46, J$35)</f>
        <v>0.53678178408311983</v>
      </c>
      <c r="K327" s="474">
        <f t="shared" si="61"/>
        <v>0.53678178408311983</v>
      </c>
      <c r="L327" s="474">
        <f t="shared" si="61"/>
        <v>0.53678178408311983</v>
      </c>
      <c r="M327" s="474">
        <f t="shared" si="61"/>
        <v>0.53678178408311983</v>
      </c>
      <c r="N327" s="474">
        <f t="shared" si="61"/>
        <v>0.53678178408311983</v>
      </c>
      <c r="O327" s="474">
        <f t="shared" si="61"/>
        <v>0.26008027391458188</v>
      </c>
      <c r="P327" s="474">
        <f t="shared" si="61"/>
        <v>0.15233473843264977</v>
      </c>
      <c r="Q327" s="474">
        <f t="shared" si="61"/>
        <v>0.53678178408311983</v>
      </c>
      <c r="R327" s="474">
        <f t="shared" si="61"/>
        <v>1</v>
      </c>
      <c r="S327" s="474">
        <f t="shared" si="61"/>
        <v>1</v>
      </c>
      <c r="T327" s="474">
        <f t="shared" si="61"/>
        <v>1</v>
      </c>
      <c r="U327" s="474">
        <f t="shared" si="61"/>
        <v>1</v>
      </c>
      <c r="V327" s="474">
        <f t="shared" si="61"/>
        <v>1</v>
      </c>
      <c r="W327" s="474">
        <f t="shared" si="61"/>
        <v>1</v>
      </c>
      <c r="X327" s="474">
        <f t="shared" si="61"/>
        <v>1</v>
      </c>
      <c r="Y327" s="474">
        <f t="shared" si="61"/>
        <v>1</v>
      </c>
      <c r="AQ327" s="88"/>
    </row>
    <row r="328" spans="3:43" x14ac:dyDescent="0.25">
      <c r="C328" s="96"/>
      <c r="F328" s="109" t="s">
        <v>202</v>
      </c>
      <c r="G328" s="293" t="s">
        <v>94</v>
      </c>
      <c r="J328" s="474">
        <f t="shared" si="61"/>
        <v>0.53678178408311983</v>
      </c>
      <c r="K328" s="474">
        <f t="shared" si="61"/>
        <v>0.53678178408311983</v>
      </c>
      <c r="L328" s="474">
        <f t="shared" si="61"/>
        <v>0.53678178408311983</v>
      </c>
      <c r="M328" s="474">
        <f t="shared" si="61"/>
        <v>0.53678178408311983</v>
      </c>
      <c r="N328" s="474">
        <f t="shared" si="61"/>
        <v>0.53678178408311983</v>
      </c>
      <c r="O328" s="474">
        <f t="shared" si="61"/>
        <v>0.26008027391458188</v>
      </c>
      <c r="P328" s="474">
        <f t="shared" si="61"/>
        <v>0.15233473843264977</v>
      </c>
      <c r="Q328" s="474">
        <f t="shared" si="61"/>
        <v>0.53678178408311983</v>
      </c>
      <c r="R328" s="474">
        <f t="shared" si="61"/>
        <v>0</v>
      </c>
      <c r="S328" s="474">
        <f t="shared" si="61"/>
        <v>0</v>
      </c>
      <c r="T328" s="474">
        <f t="shared" si="61"/>
        <v>0</v>
      </c>
      <c r="U328" s="474">
        <f t="shared" si="61"/>
        <v>0</v>
      </c>
      <c r="V328" s="474">
        <f t="shared" si="61"/>
        <v>0</v>
      </c>
      <c r="W328" s="474">
        <f t="shared" si="61"/>
        <v>0</v>
      </c>
      <c r="X328" s="474">
        <f t="shared" si="61"/>
        <v>0</v>
      </c>
      <c r="Y328" s="474">
        <f t="shared" si="61"/>
        <v>0</v>
      </c>
      <c r="AQ328" s="88"/>
    </row>
    <row r="329" spans="3:43" x14ac:dyDescent="0.25">
      <c r="C329" s="96"/>
      <c r="F329" s="109" t="s">
        <v>203</v>
      </c>
      <c r="G329" s="293" t="s">
        <v>94</v>
      </c>
      <c r="J329" s="474">
        <f t="shared" si="61"/>
        <v>0.53678178408311983</v>
      </c>
      <c r="K329" s="474">
        <f t="shared" si="61"/>
        <v>0.53678178408311983</v>
      </c>
      <c r="L329" s="474">
        <f t="shared" si="61"/>
        <v>0.53678178408311983</v>
      </c>
      <c r="M329" s="474">
        <f t="shared" si="61"/>
        <v>0.53678178408311983</v>
      </c>
      <c r="N329" s="474">
        <f t="shared" si="61"/>
        <v>0.53678178408311983</v>
      </c>
      <c r="O329" s="474">
        <f t="shared" si="61"/>
        <v>0.26008027391458188</v>
      </c>
      <c r="P329" s="474">
        <f t="shared" si="61"/>
        <v>0.15233473843264977</v>
      </c>
      <c r="Q329" s="474">
        <f t="shared" si="61"/>
        <v>0.53678178408311983</v>
      </c>
      <c r="R329" s="474">
        <f t="shared" si="61"/>
        <v>0</v>
      </c>
      <c r="S329" s="474">
        <f t="shared" si="61"/>
        <v>0</v>
      </c>
      <c r="T329" s="474">
        <f t="shared" si="61"/>
        <v>0</v>
      </c>
      <c r="U329" s="474">
        <f t="shared" si="61"/>
        <v>0</v>
      </c>
      <c r="V329" s="474">
        <f t="shared" si="61"/>
        <v>0</v>
      </c>
      <c r="W329" s="474">
        <f t="shared" si="61"/>
        <v>0</v>
      </c>
      <c r="X329" s="474">
        <f t="shared" si="61"/>
        <v>0</v>
      </c>
      <c r="Y329" s="474">
        <f t="shared" si="61"/>
        <v>0</v>
      </c>
      <c r="AQ329" s="88"/>
    </row>
    <row r="330" spans="3:43" x14ac:dyDescent="0.25">
      <c r="C330" s="96"/>
      <c r="F330" s="36" t="s">
        <v>204</v>
      </c>
      <c r="G330" s="93" t="s">
        <v>94</v>
      </c>
      <c r="H330" s="93"/>
      <c r="I330" s="93"/>
      <c r="J330" s="181">
        <f t="shared" si="61"/>
        <v>0.53678178408311983</v>
      </c>
      <c r="K330" s="181">
        <f t="shared" si="61"/>
        <v>0.53678178408311983</v>
      </c>
      <c r="L330" s="181">
        <f t="shared" si="61"/>
        <v>0.53678178408311983</v>
      </c>
      <c r="M330" s="181">
        <f t="shared" si="61"/>
        <v>0.53678178408311983</v>
      </c>
      <c r="N330" s="181">
        <f t="shared" si="61"/>
        <v>0.53678178408311983</v>
      </c>
      <c r="O330" s="181">
        <f t="shared" si="61"/>
        <v>0.26008027391458188</v>
      </c>
      <c r="P330" s="181">
        <f t="shared" si="61"/>
        <v>0.15233473843264977</v>
      </c>
      <c r="Q330" s="181">
        <f t="shared" si="61"/>
        <v>0.53678178408311983</v>
      </c>
      <c r="R330" s="181">
        <f t="shared" si="61"/>
        <v>0</v>
      </c>
      <c r="S330" s="181">
        <f t="shared" si="61"/>
        <v>0</v>
      </c>
      <c r="T330" s="181">
        <f t="shared" si="61"/>
        <v>0</v>
      </c>
      <c r="U330" s="181">
        <f t="shared" si="61"/>
        <v>0</v>
      </c>
      <c r="V330" s="181">
        <f t="shared" si="61"/>
        <v>0</v>
      </c>
      <c r="W330" s="181">
        <f t="shared" si="61"/>
        <v>0</v>
      </c>
      <c r="X330" s="181">
        <f t="shared" si="61"/>
        <v>0</v>
      </c>
      <c r="Y330" s="181">
        <f t="shared" si="61"/>
        <v>0</v>
      </c>
      <c r="AQ330" s="88"/>
    </row>
    <row r="331" spans="3:43" x14ac:dyDescent="0.25">
      <c r="C331" s="96"/>
      <c r="AQ331" s="88"/>
    </row>
    <row r="332" spans="3:43" x14ac:dyDescent="0.25">
      <c r="C332" s="7" t="str">
        <f ca="1">INDEX('Version control'!$H$35:$H$61,MATCH($A$1,'Version control'!$F$35:$F$61,0),1)&amp;"-D: No residual volume discounting"</f>
        <v>Section 507-D: No residual volume discounting</v>
      </c>
      <c r="D332" s="7"/>
      <c r="E332" s="7"/>
      <c r="F332" s="7"/>
      <c r="G332" s="7"/>
      <c r="H332" s="7"/>
      <c r="I332" s="7"/>
      <c r="J332" s="7"/>
      <c r="K332" s="7"/>
      <c r="L332" s="7"/>
      <c r="M332" s="7"/>
      <c r="N332" s="7"/>
      <c r="O332" s="7"/>
      <c r="P332" s="7"/>
      <c r="Q332" s="7"/>
      <c r="R332" s="7"/>
      <c r="S332" s="7"/>
      <c r="T332" s="7"/>
      <c r="U332" s="7"/>
      <c r="V332" s="7"/>
      <c r="W332" s="7"/>
      <c r="X332" s="7"/>
      <c r="Y332" s="7"/>
      <c r="Z332" s="7"/>
      <c r="AA332" s="7"/>
      <c r="AQ332" s="88"/>
    </row>
    <row r="333" spans="3:43" x14ac:dyDescent="0.25">
      <c r="C333" s="96"/>
      <c r="AQ333" s="88"/>
    </row>
    <row r="334" spans="3:43" x14ac:dyDescent="0.25">
      <c r="E334" s="96" t="s">
        <v>1078</v>
      </c>
      <c r="G334" s="108"/>
      <c r="I334" s="293" t="s">
        <v>359</v>
      </c>
      <c r="AQ334" s="88"/>
    </row>
    <row r="335" spans="3:43" x14ac:dyDescent="0.25">
      <c r="E335" s="96"/>
      <c r="F335" s="40" t="s">
        <v>199</v>
      </c>
      <c r="G335" s="40" t="s">
        <v>120</v>
      </c>
      <c r="H335" s="91"/>
      <c r="I335" s="91"/>
      <c r="J335" s="238"/>
      <c r="K335" s="267">
        <f t="shared" ref="K335:P341" si="62">(1 - K315) * K105</f>
        <v>0</v>
      </c>
      <c r="L335" s="267">
        <f t="shared" si="62"/>
        <v>1.9616472199721673E-2</v>
      </c>
      <c r="M335" s="267">
        <f t="shared" si="62"/>
        <v>18.901782857781278</v>
      </c>
      <c r="N335" s="267">
        <f t="shared" si="62"/>
        <v>0.20088990719733368</v>
      </c>
      <c r="O335" s="267">
        <f t="shared" si="62"/>
        <v>0</v>
      </c>
      <c r="P335" s="267">
        <f t="shared" si="62"/>
        <v>0</v>
      </c>
      <c r="Q335" s="238"/>
      <c r="R335" s="267">
        <f t="shared" ref="R335:Y341" si="63">(1 - R315) * R105</f>
        <v>26.613504917281357</v>
      </c>
      <c r="S335" s="267">
        <f t="shared" si="63"/>
        <v>0</v>
      </c>
      <c r="T335" s="267">
        <f t="shared" si="63"/>
        <v>0</v>
      </c>
      <c r="U335" s="267">
        <f t="shared" si="63"/>
        <v>0</v>
      </c>
      <c r="V335" s="267">
        <f t="shared" si="63"/>
        <v>0</v>
      </c>
      <c r="W335" s="267">
        <f t="shared" si="63"/>
        <v>0</v>
      </c>
      <c r="X335" s="267">
        <f t="shared" si="63"/>
        <v>0</v>
      </c>
      <c r="Y335" s="267">
        <f t="shared" si="63"/>
        <v>0</v>
      </c>
      <c r="AQ335" s="88"/>
    </row>
    <row r="336" spans="3:43" x14ac:dyDescent="0.25">
      <c r="E336" s="96"/>
      <c r="F336" s="109" t="s">
        <v>200</v>
      </c>
      <c r="G336" s="109" t="s">
        <v>120</v>
      </c>
      <c r="J336" s="239"/>
      <c r="K336" s="264">
        <f t="shared" si="62"/>
        <v>0</v>
      </c>
      <c r="L336" s="264">
        <f t="shared" si="62"/>
        <v>0.12457507102257259</v>
      </c>
      <c r="M336" s="264">
        <f t="shared" si="62"/>
        <v>115.71406140346392</v>
      </c>
      <c r="N336" s="264">
        <f t="shared" si="62"/>
        <v>1.1770598543305808</v>
      </c>
      <c r="O336" s="264">
        <f t="shared" si="62"/>
        <v>0</v>
      </c>
      <c r="P336" s="264">
        <f t="shared" si="62"/>
        <v>0</v>
      </c>
      <c r="Q336" s="239"/>
      <c r="R336" s="264">
        <f t="shared" si="63"/>
        <v>222.99704050037963</v>
      </c>
      <c r="S336" s="264">
        <f t="shared" si="63"/>
        <v>0</v>
      </c>
      <c r="T336" s="264">
        <f t="shared" si="63"/>
        <v>0</v>
      </c>
      <c r="U336" s="264">
        <f t="shared" si="63"/>
        <v>0</v>
      </c>
      <c r="V336" s="264">
        <f t="shared" si="63"/>
        <v>0</v>
      </c>
      <c r="W336" s="264">
        <f t="shared" si="63"/>
        <v>0</v>
      </c>
      <c r="X336" s="264">
        <f t="shared" si="63"/>
        <v>0</v>
      </c>
      <c r="Y336" s="264">
        <f t="shared" si="63"/>
        <v>0</v>
      </c>
      <c r="AQ336" s="88"/>
    </row>
    <row r="337" spans="5:43" x14ac:dyDescent="0.25">
      <c r="E337" s="96"/>
      <c r="F337" s="109" t="s">
        <v>201</v>
      </c>
      <c r="G337" s="109" t="s">
        <v>120</v>
      </c>
      <c r="J337" s="239"/>
      <c r="K337" s="264">
        <f t="shared" si="62"/>
        <v>0</v>
      </c>
      <c r="L337" s="264">
        <f t="shared" si="62"/>
        <v>5.6046815903757895E-2</v>
      </c>
      <c r="M337" s="264">
        <f t="shared" si="62"/>
        <v>60.723402450136717</v>
      </c>
      <c r="N337" s="264">
        <f t="shared" si="62"/>
        <v>0.6979088624554568</v>
      </c>
      <c r="O337" s="264">
        <f t="shared" si="62"/>
        <v>0</v>
      </c>
      <c r="P337" s="264">
        <f t="shared" si="62"/>
        <v>0</v>
      </c>
      <c r="Q337" s="239"/>
      <c r="R337" s="264">
        <f t="shared" si="63"/>
        <v>20.758512136782162</v>
      </c>
      <c r="S337" s="264">
        <f t="shared" si="63"/>
        <v>0</v>
      </c>
      <c r="T337" s="264">
        <f t="shared" si="63"/>
        <v>0</v>
      </c>
      <c r="U337" s="264">
        <f t="shared" si="63"/>
        <v>0</v>
      </c>
      <c r="V337" s="264">
        <f t="shared" si="63"/>
        <v>0</v>
      </c>
      <c r="W337" s="264">
        <f t="shared" si="63"/>
        <v>0</v>
      </c>
      <c r="X337" s="264">
        <f t="shared" si="63"/>
        <v>0</v>
      </c>
      <c r="Y337" s="264">
        <f t="shared" si="63"/>
        <v>0</v>
      </c>
      <c r="AQ337" s="88"/>
    </row>
    <row r="338" spans="5:43" x14ac:dyDescent="0.25">
      <c r="E338" s="96"/>
      <c r="F338" s="109" t="s">
        <v>74</v>
      </c>
      <c r="G338" s="109" t="s">
        <v>74</v>
      </c>
      <c r="J338" s="239"/>
      <c r="K338" s="264">
        <f t="shared" si="62"/>
        <v>0</v>
      </c>
      <c r="L338" s="264">
        <f t="shared" si="62"/>
        <v>1.0091056310326368E-2</v>
      </c>
      <c r="M338" s="264">
        <f t="shared" si="62"/>
        <v>2.583207456512969</v>
      </c>
      <c r="N338" s="264">
        <f t="shared" si="62"/>
        <v>5.0312024382038655E-2</v>
      </c>
      <c r="O338" s="264">
        <f t="shared" si="62"/>
        <v>0</v>
      </c>
      <c r="P338" s="264">
        <f t="shared" si="62"/>
        <v>0</v>
      </c>
      <c r="Q338" s="239"/>
      <c r="R338" s="264">
        <f t="shared" si="63"/>
        <v>0</v>
      </c>
      <c r="S338" s="264">
        <f t="shared" si="63"/>
        <v>0</v>
      </c>
      <c r="T338" s="264">
        <f t="shared" si="63"/>
        <v>0</v>
      </c>
      <c r="U338" s="264">
        <f t="shared" si="63"/>
        <v>0</v>
      </c>
      <c r="V338" s="264">
        <f t="shared" si="63"/>
        <v>0</v>
      </c>
      <c r="W338" s="264">
        <f t="shared" si="63"/>
        <v>0</v>
      </c>
      <c r="X338" s="264">
        <f t="shared" si="63"/>
        <v>0</v>
      </c>
      <c r="Y338" s="264">
        <f t="shared" si="63"/>
        <v>0</v>
      </c>
      <c r="AQ338" s="88"/>
    </row>
    <row r="339" spans="5:43" x14ac:dyDescent="0.25">
      <c r="E339" s="96"/>
      <c r="F339" s="109" t="s">
        <v>202</v>
      </c>
      <c r="G339" s="109" t="s">
        <v>169</v>
      </c>
      <c r="J339" s="239"/>
      <c r="K339" s="264">
        <f t="shared" si="62"/>
        <v>0</v>
      </c>
      <c r="L339" s="264">
        <f t="shared" si="62"/>
        <v>0</v>
      </c>
      <c r="M339" s="264">
        <f t="shared" si="62"/>
        <v>0</v>
      </c>
      <c r="N339" s="264">
        <f t="shared" si="62"/>
        <v>2.5225570864547873</v>
      </c>
      <c r="O339" s="264">
        <f t="shared" si="62"/>
        <v>0</v>
      </c>
      <c r="P339" s="264">
        <f t="shared" si="62"/>
        <v>0</v>
      </c>
      <c r="Q339" s="239"/>
      <c r="R339" s="264">
        <f t="shared" si="63"/>
        <v>0</v>
      </c>
      <c r="S339" s="264">
        <f t="shared" si="63"/>
        <v>0</v>
      </c>
      <c r="T339" s="264">
        <f t="shared" si="63"/>
        <v>0</v>
      </c>
      <c r="U339" s="264">
        <f t="shared" si="63"/>
        <v>0</v>
      </c>
      <c r="V339" s="264">
        <f t="shared" si="63"/>
        <v>0</v>
      </c>
      <c r="W339" s="264">
        <f t="shared" si="63"/>
        <v>0</v>
      </c>
      <c r="X339" s="264">
        <f t="shared" si="63"/>
        <v>0</v>
      </c>
      <c r="Y339" s="264">
        <f t="shared" si="63"/>
        <v>0</v>
      </c>
      <c r="AQ339" s="88"/>
    </row>
    <row r="340" spans="5:43" x14ac:dyDescent="0.25">
      <c r="E340" s="96"/>
      <c r="F340" s="109" t="s">
        <v>203</v>
      </c>
      <c r="G340" s="109" t="s">
        <v>169</v>
      </c>
      <c r="J340" s="239"/>
      <c r="K340" s="264">
        <f t="shared" si="62"/>
        <v>0</v>
      </c>
      <c r="L340" s="264">
        <f t="shared" si="62"/>
        <v>0</v>
      </c>
      <c r="M340" s="264">
        <f t="shared" si="62"/>
        <v>0</v>
      </c>
      <c r="N340" s="264">
        <f t="shared" si="62"/>
        <v>2.2799684440119173E-3</v>
      </c>
      <c r="O340" s="264">
        <f t="shared" si="62"/>
        <v>0</v>
      </c>
      <c r="P340" s="264">
        <f t="shared" si="62"/>
        <v>0</v>
      </c>
      <c r="Q340" s="239"/>
      <c r="R340" s="264">
        <f t="shared" si="63"/>
        <v>0</v>
      </c>
      <c r="S340" s="264">
        <f t="shared" si="63"/>
        <v>0</v>
      </c>
      <c r="T340" s="264">
        <f t="shared" si="63"/>
        <v>0</v>
      </c>
      <c r="U340" s="264">
        <f t="shared" si="63"/>
        <v>0</v>
      </c>
      <c r="V340" s="264">
        <f t="shared" si="63"/>
        <v>0</v>
      </c>
      <c r="W340" s="264">
        <f t="shared" si="63"/>
        <v>0</v>
      </c>
      <c r="X340" s="264">
        <f t="shared" si="63"/>
        <v>0</v>
      </c>
      <c r="Y340" s="264">
        <f t="shared" si="63"/>
        <v>0</v>
      </c>
      <c r="AQ340" s="88"/>
    </row>
    <row r="341" spans="5:43" x14ac:dyDescent="0.25">
      <c r="E341" s="96"/>
      <c r="F341" s="36" t="s">
        <v>204</v>
      </c>
      <c r="G341" s="36" t="s">
        <v>170</v>
      </c>
      <c r="H341" s="93"/>
      <c r="I341" s="93"/>
      <c r="J341" s="240"/>
      <c r="K341" s="268">
        <f t="shared" si="62"/>
        <v>0</v>
      </c>
      <c r="L341" s="268">
        <f t="shared" si="62"/>
        <v>0</v>
      </c>
      <c r="M341" s="268">
        <f t="shared" si="62"/>
        <v>0</v>
      </c>
      <c r="N341" s="268">
        <f t="shared" si="62"/>
        <v>0.24185026625064607</v>
      </c>
      <c r="O341" s="268">
        <f t="shared" si="62"/>
        <v>0</v>
      </c>
      <c r="P341" s="268">
        <f t="shared" si="62"/>
        <v>0</v>
      </c>
      <c r="Q341" s="240"/>
      <c r="R341" s="268">
        <f t="shared" si="63"/>
        <v>0</v>
      </c>
      <c r="S341" s="268">
        <f t="shared" si="63"/>
        <v>0</v>
      </c>
      <c r="T341" s="268">
        <f t="shared" si="63"/>
        <v>0</v>
      </c>
      <c r="U341" s="268">
        <f t="shared" si="63"/>
        <v>0</v>
      </c>
      <c r="V341" s="268">
        <f t="shared" si="63"/>
        <v>0</v>
      </c>
      <c r="W341" s="268">
        <f t="shared" si="63"/>
        <v>0</v>
      </c>
      <c r="X341" s="268">
        <f t="shared" si="63"/>
        <v>0</v>
      </c>
      <c r="Y341" s="268">
        <f t="shared" si="63"/>
        <v>0</v>
      </c>
      <c r="AQ341" s="88"/>
    </row>
    <row r="342" spans="5:43" x14ac:dyDescent="0.25">
      <c r="AQ342" s="88"/>
    </row>
    <row r="343" spans="5:43" x14ac:dyDescent="0.25">
      <c r="E343" s="96" t="s">
        <v>1079</v>
      </c>
      <c r="G343" s="108"/>
      <c r="I343" s="293" t="s">
        <v>359</v>
      </c>
      <c r="AQ343" s="88"/>
    </row>
    <row r="344" spans="5:43" x14ac:dyDescent="0.25">
      <c r="E344" s="96"/>
      <c r="F344" s="40" t="s">
        <v>199</v>
      </c>
      <c r="G344" s="40" t="s">
        <v>120</v>
      </c>
      <c r="H344" s="91"/>
      <c r="I344" s="91"/>
      <c r="J344" s="238"/>
      <c r="K344" s="267">
        <f t="shared" ref="K344:P350" si="64">(1 - K324) * K152</f>
        <v>83.274808273920328</v>
      </c>
      <c r="L344" s="267">
        <f t="shared" si="64"/>
        <v>3.937382880873707E-2</v>
      </c>
      <c r="M344" s="267">
        <f t="shared" si="64"/>
        <v>23.621723108425826</v>
      </c>
      <c r="N344" s="267">
        <f t="shared" si="64"/>
        <v>1.1917258503447252</v>
      </c>
      <c r="O344" s="267">
        <f t="shared" si="64"/>
        <v>0</v>
      </c>
      <c r="P344" s="267">
        <f t="shared" si="64"/>
        <v>1.6499374224965839</v>
      </c>
      <c r="Q344" s="238"/>
      <c r="R344" s="267">
        <f t="shared" ref="R344:Y350" si="65">(1 - R324) * R152</f>
        <v>5.4054629554655884</v>
      </c>
      <c r="S344" s="267">
        <f t="shared" si="65"/>
        <v>3.2511697241080468</v>
      </c>
      <c r="T344" s="267">
        <f t="shared" si="65"/>
        <v>10.272978968253968</v>
      </c>
      <c r="U344" s="267">
        <f t="shared" si="65"/>
        <v>0</v>
      </c>
      <c r="V344" s="267">
        <f t="shared" si="65"/>
        <v>0</v>
      </c>
      <c r="W344" s="267">
        <f t="shared" si="65"/>
        <v>0</v>
      </c>
      <c r="X344" s="267">
        <f t="shared" si="65"/>
        <v>25.409700000000001</v>
      </c>
      <c r="Y344" s="267">
        <f t="shared" si="65"/>
        <v>0</v>
      </c>
      <c r="AQ344" s="88"/>
    </row>
    <row r="345" spans="5:43" x14ac:dyDescent="0.25">
      <c r="E345" s="96"/>
      <c r="F345" s="109" t="s">
        <v>200</v>
      </c>
      <c r="G345" s="109" t="s">
        <v>120</v>
      </c>
      <c r="J345" s="239"/>
      <c r="K345" s="264">
        <f t="shared" si="64"/>
        <v>391.12452142864322</v>
      </c>
      <c r="L345" s="264">
        <f t="shared" si="64"/>
        <v>0.27158818319831413</v>
      </c>
      <c r="M345" s="264">
        <f t="shared" si="64"/>
        <v>144.10985912641235</v>
      </c>
      <c r="N345" s="264">
        <f t="shared" si="64"/>
        <v>6.4075615669625225</v>
      </c>
      <c r="O345" s="264">
        <f t="shared" si="64"/>
        <v>0</v>
      </c>
      <c r="P345" s="264">
        <f t="shared" si="64"/>
        <v>6.8486777000469905</v>
      </c>
      <c r="Q345" s="239"/>
      <c r="R345" s="264">
        <f t="shared" si="65"/>
        <v>46.327257006571251</v>
      </c>
      <c r="S345" s="264">
        <f t="shared" si="65"/>
        <v>12.776181565765997</v>
      </c>
      <c r="T345" s="264">
        <f t="shared" si="65"/>
        <v>44.359057142857147</v>
      </c>
      <c r="U345" s="264">
        <f t="shared" si="65"/>
        <v>0</v>
      </c>
      <c r="V345" s="264">
        <f t="shared" si="65"/>
        <v>0</v>
      </c>
      <c r="W345" s="264">
        <f t="shared" si="65"/>
        <v>0</v>
      </c>
      <c r="X345" s="264">
        <f t="shared" si="65"/>
        <v>1.0569</v>
      </c>
      <c r="Y345" s="264">
        <f t="shared" si="65"/>
        <v>0</v>
      </c>
      <c r="AQ345" s="88"/>
    </row>
    <row r="346" spans="5:43" x14ac:dyDescent="0.25">
      <c r="E346" s="96"/>
      <c r="F346" s="109" t="s">
        <v>201</v>
      </c>
      <c r="G346" s="109" t="s">
        <v>120</v>
      </c>
      <c r="J346" s="239"/>
      <c r="K346" s="264">
        <f t="shared" si="64"/>
        <v>351.05177828291886</v>
      </c>
      <c r="L346" s="264">
        <f t="shared" si="64"/>
        <v>0.10614701895509089</v>
      </c>
      <c r="M346" s="264">
        <f t="shared" si="64"/>
        <v>73.022067912960026</v>
      </c>
      <c r="N346" s="264">
        <f t="shared" si="64"/>
        <v>3.5312098487884138</v>
      </c>
      <c r="O346" s="264">
        <f t="shared" si="64"/>
        <v>0</v>
      </c>
      <c r="P346" s="264">
        <f t="shared" si="64"/>
        <v>4.8836940694232744</v>
      </c>
      <c r="Q346" s="239"/>
      <c r="R346" s="264">
        <f t="shared" si="65"/>
        <v>4.5925501092132963</v>
      </c>
      <c r="S346" s="264">
        <f t="shared" si="65"/>
        <v>4.3867903210204036</v>
      </c>
      <c r="T346" s="264">
        <f t="shared" si="65"/>
        <v>30.278270238095242</v>
      </c>
      <c r="U346" s="264">
        <f t="shared" si="65"/>
        <v>0</v>
      </c>
      <c r="V346" s="264">
        <f t="shared" si="65"/>
        <v>0</v>
      </c>
      <c r="W346" s="264">
        <f t="shared" si="65"/>
        <v>0</v>
      </c>
      <c r="X346" s="264">
        <f t="shared" si="65"/>
        <v>0</v>
      </c>
      <c r="Y346" s="264">
        <f t="shared" si="65"/>
        <v>0</v>
      </c>
      <c r="AQ346" s="88"/>
    </row>
    <row r="347" spans="5:43" x14ac:dyDescent="0.25">
      <c r="E347" s="96"/>
      <c r="F347" s="109" t="s">
        <v>74</v>
      </c>
      <c r="G347" s="109" t="s">
        <v>74</v>
      </c>
      <c r="J347" s="239"/>
      <c r="K347" s="264">
        <f t="shared" si="64"/>
        <v>246.43209086778026</v>
      </c>
      <c r="L347" s="264">
        <f t="shared" si="64"/>
        <v>2.6186111979086192E-2</v>
      </c>
      <c r="M347" s="264">
        <f t="shared" si="64"/>
        <v>4.4229868358515008</v>
      </c>
      <c r="N347" s="264">
        <f t="shared" si="64"/>
        <v>0.16245691373644336</v>
      </c>
      <c r="O347" s="264">
        <f t="shared" si="64"/>
        <v>0</v>
      </c>
      <c r="P347" s="264">
        <f t="shared" si="64"/>
        <v>0.50547568857488945</v>
      </c>
      <c r="Q347" s="239"/>
      <c r="R347" s="264">
        <f t="shared" si="65"/>
        <v>0</v>
      </c>
      <c r="S347" s="264">
        <f t="shared" si="65"/>
        <v>0</v>
      </c>
      <c r="T347" s="264">
        <f t="shared" si="65"/>
        <v>0</v>
      </c>
      <c r="U347" s="264">
        <f t="shared" si="65"/>
        <v>0</v>
      </c>
      <c r="V347" s="264">
        <f t="shared" si="65"/>
        <v>0</v>
      </c>
      <c r="W347" s="264">
        <f t="shared" si="65"/>
        <v>0</v>
      </c>
      <c r="X347" s="264">
        <f t="shared" si="65"/>
        <v>0</v>
      </c>
      <c r="Y347" s="264">
        <f t="shared" si="65"/>
        <v>0</v>
      </c>
      <c r="AQ347" s="88"/>
    </row>
    <row r="348" spans="5:43" x14ac:dyDescent="0.25">
      <c r="E348" s="96"/>
      <c r="F348" s="109" t="s">
        <v>202</v>
      </c>
      <c r="G348" s="109" t="s">
        <v>169</v>
      </c>
      <c r="J348" s="239"/>
      <c r="K348" s="264">
        <f t="shared" si="64"/>
        <v>0</v>
      </c>
      <c r="L348" s="264">
        <f t="shared" si="64"/>
        <v>0</v>
      </c>
      <c r="M348" s="264">
        <f t="shared" si="64"/>
        <v>0</v>
      </c>
      <c r="N348" s="264">
        <f t="shared" si="64"/>
        <v>13.102433929144624</v>
      </c>
      <c r="O348" s="264">
        <f t="shared" si="64"/>
        <v>0</v>
      </c>
      <c r="P348" s="264">
        <f t="shared" si="64"/>
        <v>12.727987041528232</v>
      </c>
      <c r="Q348" s="239"/>
      <c r="R348" s="264">
        <f t="shared" si="65"/>
        <v>0</v>
      </c>
      <c r="S348" s="264">
        <f t="shared" si="65"/>
        <v>0</v>
      </c>
      <c r="T348" s="264">
        <f t="shared" si="65"/>
        <v>0</v>
      </c>
      <c r="U348" s="264">
        <f t="shared" si="65"/>
        <v>0</v>
      </c>
      <c r="V348" s="264">
        <f t="shared" si="65"/>
        <v>0</v>
      </c>
      <c r="W348" s="264">
        <f t="shared" si="65"/>
        <v>0</v>
      </c>
      <c r="X348" s="264">
        <f t="shared" si="65"/>
        <v>0</v>
      </c>
      <c r="Y348" s="264">
        <f t="shared" si="65"/>
        <v>0</v>
      </c>
      <c r="AQ348" s="88"/>
    </row>
    <row r="349" spans="5:43" x14ac:dyDescent="0.25">
      <c r="E349" s="96"/>
      <c r="F349" s="109" t="s">
        <v>203</v>
      </c>
      <c r="G349" s="109" t="s">
        <v>169</v>
      </c>
      <c r="J349" s="239"/>
      <c r="K349" s="264">
        <f t="shared" si="64"/>
        <v>0</v>
      </c>
      <c r="L349" s="264">
        <f t="shared" si="64"/>
        <v>0</v>
      </c>
      <c r="M349" s="264">
        <f t="shared" si="64"/>
        <v>0</v>
      </c>
      <c r="N349" s="264">
        <f t="shared" si="64"/>
        <v>7.703342127593724E-3</v>
      </c>
      <c r="O349" s="264">
        <f t="shared" si="64"/>
        <v>0</v>
      </c>
      <c r="P349" s="264">
        <f t="shared" si="64"/>
        <v>1.6315907798344929E-2</v>
      </c>
      <c r="Q349" s="239"/>
      <c r="R349" s="264">
        <f t="shared" si="65"/>
        <v>0</v>
      </c>
      <c r="S349" s="264">
        <f t="shared" si="65"/>
        <v>0</v>
      </c>
      <c r="T349" s="264">
        <f t="shared" si="65"/>
        <v>0</v>
      </c>
      <c r="U349" s="264">
        <f t="shared" si="65"/>
        <v>0</v>
      </c>
      <c r="V349" s="264">
        <f t="shared" si="65"/>
        <v>0</v>
      </c>
      <c r="W349" s="264">
        <f t="shared" si="65"/>
        <v>0</v>
      </c>
      <c r="X349" s="264">
        <f t="shared" si="65"/>
        <v>0</v>
      </c>
      <c r="Y349" s="264">
        <f t="shared" si="65"/>
        <v>0</v>
      </c>
      <c r="AQ349" s="88"/>
    </row>
    <row r="350" spans="5:43" x14ac:dyDescent="0.25">
      <c r="E350" s="96"/>
      <c r="F350" s="36" t="s">
        <v>204</v>
      </c>
      <c r="G350" s="36" t="s">
        <v>170</v>
      </c>
      <c r="H350" s="93"/>
      <c r="I350" s="93"/>
      <c r="J350" s="240"/>
      <c r="K350" s="268">
        <f t="shared" si="64"/>
        <v>0</v>
      </c>
      <c r="L350" s="268">
        <f t="shared" si="64"/>
        <v>0</v>
      </c>
      <c r="M350" s="268">
        <f t="shared" si="64"/>
        <v>0</v>
      </c>
      <c r="N350" s="268">
        <f t="shared" si="64"/>
        <v>1.1238854793151793</v>
      </c>
      <c r="O350" s="268">
        <f t="shared" si="64"/>
        <v>0</v>
      </c>
      <c r="P350" s="268">
        <f t="shared" si="64"/>
        <v>0.7975546038710104</v>
      </c>
      <c r="Q350" s="240"/>
      <c r="R350" s="268">
        <f t="shared" si="65"/>
        <v>0</v>
      </c>
      <c r="S350" s="268">
        <f t="shared" si="65"/>
        <v>0</v>
      </c>
      <c r="T350" s="268">
        <f t="shared" si="65"/>
        <v>0</v>
      </c>
      <c r="U350" s="268">
        <f t="shared" si="65"/>
        <v>0</v>
      </c>
      <c r="V350" s="268">
        <f t="shared" si="65"/>
        <v>0</v>
      </c>
      <c r="W350" s="268">
        <f t="shared" si="65"/>
        <v>0</v>
      </c>
      <c r="X350" s="268">
        <f t="shared" si="65"/>
        <v>0</v>
      </c>
      <c r="Y350" s="268">
        <f t="shared" si="65"/>
        <v>0</v>
      </c>
      <c r="AQ350" s="88"/>
    </row>
    <row r="351" spans="5:43" x14ac:dyDescent="0.25">
      <c r="AQ351" s="88"/>
    </row>
    <row r="352" spans="5:43" x14ac:dyDescent="0.25">
      <c r="E352" s="96" t="s">
        <v>1080</v>
      </c>
      <c r="G352" s="108"/>
      <c r="I352" s="293" t="s">
        <v>359</v>
      </c>
      <c r="AQ352" s="88"/>
    </row>
    <row r="353" spans="3:43" x14ac:dyDescent="0.25">
      <c r="E353" s="96"/>
      <c r="F353" s="40" t="s">
        <v>199</v>
      </c>
      <c r="G353" s="40" t="s">
        <v>120</v>
      </c>
      <c r="H353" s="91"/>
      <c r="I353" s="91"/>
      <c r="J353" s="238"/>
      <c r="K353" s="267">
        <f t="shared" ref="K353:P359" si="66">K58+K335+K344</f>
        <v>435.37279303514384</v>
      </c>
      <c r="L353" s="267">
        <f t="shared" si="66"/>
        <v>17.733819669284152</v>
      </c>
      <c r="M353" s="267">
        <f t="shared" si="66"/>
        <v>594.16318180266921</v>
      </c>
      <c r="N353" s="267">
        <f t="shared" si="66"/>
        <v>98.834459594343414</v>
      </c>
      <c r="O353" s="267">
        <f t="shared" si="66"/>
        <v>0</v>
      </c>
      <c r="P353" s="267">
        <f t="shared" si="66"/>
        <v>284.16291966849406</v>
      </c>
      <c r="Q353" s="238"/>
      <c r="R353" s="267">
        <f t="shared" ref="R353:Y359" si="67">R58+R335+R344</f>
        <v>706.86922004560074</v>
      </c>
      <c r="S353" s="267">
        <f t="shared" si="67"/>
        <v>29.01977587792658</v>
      </c>
      <c r="T353" s="267">
        <f t="shared" si="67"/>
        <v>3481.3327942733295</v>
      </c>
      <c r="U353" s="267">
        <f t="shared" si="67"/>
        <v>0</v>
      </c>
      <c r="V353" s="267">
        <f t="shared" si="67"/>
        <v>0</v>
      </c>
      <c r="W353" s="267">
        <f t="shared" si="67"/>
        <v>0</v>
      </c>
      <c r="X353" s="267">
        <f t="shared" si="67"/>
        <v>86115.829832224859</v>
      </c>
      <c r="Y353" s="267">
        <f t="shared" si="67"/>
        <v>0</v>
      </c>
      <c r="AQ353" s="88"/>
    </row>
    <row r="354" spans="3:43" x14ac:dyDescent="0.25">
      <c r="E354" s="96"/>
      <c r="F354" s="109" t="s">
        <v>200</v>
      </c>
      <c r="G354" s="109" t="s">
        <v>120</v>
      </c>
      <c r="J354" s="239"/>
      <c r="K354" s="264">
        <f t="shared" si="66"/>
        <v>43540.865318654403</v>
      </c>
      <c r="L354" s="264">
        <f t="shared" si="66"/>
        <v>111.55134382269362</v>
      </c>
      <c r="M354" s="264">
        <f t="shared" si="66"/>
        <v>8224.4305478900278</v>
      </c>
      <c r="N354" s="264">
        <f t="shared" si="66"/>
        <v>563.61871319504337</v>
      </c>
      <c r="O354" s="264">
        <f t="shared" si="66"/>
        <v>0</v>
      </c>
      <c r="P354" s="264">
        <f t="shared" si="66"/>
        <v>4361.7267835514176</v>
      </c>
      <c r="Q354" s="239"/>
      <c r="R354" s="264">
        <f t="shared" si="67"/>
        <v>5559.3658561006987</v>
      </c>
      <c r="S354" s="264">
        <f t="shared" si="67"/>
        <v>212.7237809687463</v>
      </c>
      <c r="T354" s="264">
        <f t="shared" si="67"/>
        <v>32597.519770789342</v>
      </c>
      <c r="U354" s="264">
        <f t="shared" si="67"/>
        <v>0</v>
      </c>
      <c r="V354" s="264">
        <f t="shared" si="67"/>
        <v>0</v>
      </c>
      <c r="W354" s="264">
        <f t="shared" si="67"/>
        <v>0</v>
      </c>
      <c r="X354" s="264">
        <f t="shared" si="67"/>
        <v>532779.51789718622</v>
      </c>
      <c r="Y354" s="264">
        <f t="shared" si="67"/>
        <v>0</v>
      </c>
      <c r="AQ354" s="88"/>
    </row>
    <row r="355" spans="3:43" x14ac:dyDescent="0.25">
      <c r="E355" s="96"/>
      <c r="F355" s="109" t="s">
        <v>201</v>
      </c>
      <c r="G355" s="109" t="s">
        <v>120</v>
      </c>
      <c r="J355" s="239"/>
      <c r="K355" s="264">
        <f t="shared" si="66"/>
        <v>106470.4323701735</v>
      </c>
      <c r="L355" s="264">
        <f t="shared" si="66"/>
        <v>49.54941373752159</v>
      </c>
      <c r="M355" s="264">
        <f t="shared" si="66"/>
        <v>23085.290394924617</v>
      </c>
      <c r="N355" s="264">
        <f t="shared" si="66"/>
        <v>295.7801728981205</v>
      </c>
      <c r="O355" s="264">
        <f t="shared" si="66"/>
        <v>0</v>
      </c>
      <c r="P355" s="264">
        <f t="shared" si="66"/>
        <v>3615.5359355757823</v>
      </c>
      <c r="Q355" s="239"/>
      <c r="R355" s="264">
        <f t="shared" si="67"/>
        <v>731.31989617895306</v>
      </c>
      <c r="S355" s="264">
        <f t="shared" si="67"/>
        <v>33.176553672411458</v>
      </c>
      <c r="T355" s="264">
        <f t="shared" si="67"/>
        <v>8546.3926012214506</v>
      </c>
      <c r="U355" s="264">
        <f t="shared" si="67"/>
        <v>0</v>
      </c>
      <c r="V355" s="264">
        <f t="shared" si="67"/>
        <v>0</v>
      </c>
      <c r="W355" s="264">
        <f t="shared" si="67"/>
        <v>0</v>
      </c>
      <c r="X355" s="264">
        <f t="shared" si="67"/>
        <v>260951.76676867288</v>
      </c>
      <c r="Y355" s="264">
        <f t="shared" si="67"/>
        <v>0</v>
      </c>
      <c r="AQ355" s="88"/>
    </row>
    <row r="356" spans="3:43" x14ac:dyDescent="0.25">
      <c r="E356" s="96"/>
      <c r="F356" s="109" t="s">
        <v>74</v>
      </c>
      <c r="G356" s="109" t="s">
        <v>74</v>
      </c>
      <c r="J356" s="239"/>
      <c r="K356" s="264">
        <f t="shared" si="66"/>
        <v>34009.139902491879</v>
      </c>
      <c r="L356" s="264">
        <f t="shared" si="66"/>
        <v>8.4757949807835899</v>
      </c>
      <c r="M356" s="264">
        <f t="shared" si="66"/>
        <v>4763.1029684859122</v>
      </c>
      <c r="N356" s="264">
        <f t="shared" si="66"/>
        <v>12.846543756610266</v>
      </c>
      <c r="O356" s="264">
        <f t="shared" si="66"/>
        <v>0</v>
      </c>
      <c r="P356" s="264">
        <f t="shared" si="66"/>
        <v>85.610126891316582</v>
      </c>
      <c r="Q356" s="239"/>
      <c r="R356" s="264">
        <f t="shared" si="67"/>
        <v>1884.9999999999998</v>
      </c>
      <c r="S356" s="264">
        <f t="shared" si="67"/>
        <v>38.935483870967744</v>
      </c>
      <c r="T356" s="264">
        <f t="shared" si="67"/>
        <v>836.76967715751107</v>
      </c>
      <c r="U356" s="264">
        <f t="shared" si="67"/>
        <v>0</v>
      </c>
      <c r="V356" s="264">
        <f t="shared" si="67"/>
        <v>1</v>
      </c>
      <c r="W356" s="264">
        <f t="shared" si="67"/>
        <v>0</v>
      </c>
      <c r="X356" s="264">
        <f t="shared" si="67"/>
        <v>232.35483870967744</v>
      </c>
      <c r="Y356" s="264">
        <f t="shared" si="67"/>
        <v>0</v>
      </c>
      <c r="AQ356" s="88"/>
    </row>
    <row r="357" spans="3:43" x14ac:dyDescent="0.25">
      <c r="E357" s="96"/>
      <c r="F357" s="109" t="s">
        <v>202</v>
      </c>
      <c r="G357" s="109" t="s">
        <v>169</v>
      </c>
      <c r="J357" s="239"/>
      <c r="K357" s="264">
        <f t="shared" si="66"/>
        <v>0</v>
      </c>
      <c r="L357" s="264">
        <f t="shared" si="66"/>
        <v>0</v>
      </c>
      <c r="M357" s="264">
        <f t="shared" si="66"/>
        <v>0</v>
      </c>
      <c r="N357" s="264">
        <f t="shared" si="66"/>
        <v>642.049257872917</v>
      </c>
      <c r="O357" s="264">
        <f t="shared" si="66"/>
        <v>0</v>
      </c>
      <c r="P357" s="264">
        <f t="shared" si="66"/>
        <v>8742.4345778191509</v>
      </c>
      <c r="Q357" s="239"/>
      <c r="R357" s="264">
        <f t="shared" si="67"/>
        <v>0</v>
      </c>
      <c r="S357" s="264">
        <f t="shared" si="67"/>
        <v>0</v>
      </c>
      <c r="T357" s="264">
        <f t="shared" si="67"/>
        <v>0</v>
      </c>
      <c r="U357" s="264">
        <f t="shared" si="67"/>
        <v>0</v>
      </c>
      <c r="V357" s="264">
        <f t="shared" si="67"/>
        <v>0</v>
      </c>
      <c r="W357" s="264">
        <f t="shared" si="67"/>
        <v>0</v>
      </c>
      <c r="X357" s="264">
        <f t="shared" si="67"/>
        <v>0</v>
      </c>
      <c r="Y357" s="264">
        <f t="shared" si="67"/>
        <v>0</v>
      </c>
      <c r="AQ357" s="88"/>
    </row>
    <row r="358" spans="3:43" x14ac:dyDescent="0.25">
      <c r="E358" s="96"/>
      <c r="F358" s="109" t="s">
        <v>203</v>
      </c>
      <c r="G358" s="109" t="s">
        <v>169</v>
      </c>
      <c r="J358" s="239"/>
      <c r="K358" s="264">
        <f t="shared" si="66"/>
        <v>0</v>
      </c>
      <c r="L358" s="264">
        <f t="shared" si="66"/>
        <v>0</v>
      </c>
      <c r="M358" s="264">
        <f t="shared" si="66"/>
        <v>0</v>
      </c>
      <c r="N358" s="264">
        <f t="shared" si="66"/>
        <v>8.5516269885839673</v>
      </c>
      <c r="O358" s="264">
        <f t="shared" si="66"/>
        <v>0</v>
      </c>
      <c r="P358" s="264">
        <f t="shared" si="66"/>
        <v>14.762971455818592</v>
      </c>
      <c r="Q358" s="239"/>
      <c r="R358" s="264">
        <f t="shared" si="67"/>
        <v>0</v>
      </c>
      <c r="S358" s="264">
        <f t="shared" si="67"/>
        <v>0</v>
      </c>
      <c r="T358" s="264">
        <f t="shared" si="67"/>
        <v>0</v>
      </c>
      <c r="U358" s="264">
        <f t="shared" si="67"/>
        <v>0</v>
      </c>
      <c r="V358" s="264">
        <f t="shared" si="67"/>
        <v>0</v>
      </c>
      <c r="W358" s="264">
        <f t="shared" si="67"/>
        <v>0</v>
      </c>
      <c r="X358" s="264">
        <f t="shared" si="67"/>
        <v>0</v>
      </c>
      <c r="Y358" s="264">
        <f t="shared" si="67"/>
        <v>0</v>
      </c>
      <c r="AQ358" s="88"/>
    </row>
    <row r="359" spans="3:43" x14ac:dyDescent="0.25">
      <c r="E359" s="96"/>
      <c r="F359" s="36" t="s">
        <v>204</v>
      </c>
      <c r="G359" s="36" t="s">
        <v>170</v>
      </c>
      <c r="H359" s="93"/>
      <c r="I359" s="93"/>
      <c r="J359" s="240"/>
      <c r="K359" s="268">
        <f t="shared" si="66"/>
        <v>0</v>
      </c>
      <c r="L359" s="268">
        <f t="shared" si="66"/>
        <v>0</v>
      </c>
      <c r="M359" s="268">
        <f t="shared" si="66"/>
        <v>0</v>
      </c>
      <c r="N359" s="268">
        <f t="shared" si="66"/>
        <v>80.647658930328404</v>
      </c>
      <c r="O359" s="268">
        <f t="shared" si="66"/>
        <v>0</v>
      </c>
      <c r="P359" s="268">
        <f t="shared" si="66"/>
        <v>434.49770631320587</v>
      </c>
      <c r="Q359" s="240"/>
      <c r="R359" s="268">
        <f t="shared" si="67"/>
        <v>0</v>
      </c>
      <c r="S359" s="268">
        <f t="shared" si="67"/>
        <v>0</v>
      </c>
      <c r="T359" s="268">
        <f t="shared" si="67"/>
        <v>5486.7326098670592</v>
      </c>
      <c r="U359" s="268">
        <f t="shared" si="67"/>
        <v>0</v>
      </c>
      <c r="V359" s="268">
        <f t="shared" si="67"/>
        <v>0</v>
      </c>
      <c r="W359" s="268">
        <f t="shared" si="67"/>
        <v>0</v>
      </c>
      <c r="X359" s="268">
        <f t="shared" si="67"/>
        <v>37970.304935278305</v>
      </c>
      <c r="Y359" s="268">
        <f t="shared" si="67"/>
        <v>0</v>
      </c>
      <c r="AQ359" s="88"/>
    </row>
    <row r="360" spans="3:43" x14ac:dyDescent="0.25">
      <c r="AQ360" s="88"/>
    </row>
    <row r="361" spans="3:43" x14ac:dyDescent="0.25">
      <c r="C361" s="7" t="str">
        <f ca="1">INDEX('Version control'!$H$35:$H$61,MATCH($A$1,'Version control'!$F$35:$F$61,0),1)&amp;"-E: Residual band 1 volume discounting"</f>
        <v>Section 507-E: Residual band 1 volume discounting</v>
      </c>
      <c r="D361" s="7"/>
      <c r="E361" s="7"/>
      <c r="F361" s="7"/>
      <c r="G361" s="7"/>
      <c r="H361" s="7"/>
      <c r="I361" s="7"/>
      <c r="J361" s="7"/>
      <c r="K361" s="7"/>
      <c r="L361" s="7"/>
      <c r="M361" s="7"/>
      <c r="N361" s="7"/>
      <c r="O361" s="7"/>
      <c r="P361" s="7"/>
      <c r="Q361" s="7"/>
      <c r="R361" s="7"/>
      <c r="S361" s="7"/>
      <c r="T361" s="7"/>
      <c r="U361" s="7"/>
      <c r="V361" s="7"/>
      <c r="W361" s="7"/>
      <c r="X361" s="7"/>
      <c r="Y361" s="7"/>
      <c r="Z361" s="7"/>
      <c r="AA361" s="7"/>
      <c r="AQ361" s="88"/>
    </row>
    <row r="362" spans="3:43" x14ac:dyDescent="0.25">
      <c r="C362" s="96"/>
      <c r="AQ362" s="88"/>
    </row>
    <row r="363" spans="3:43" x14ac:dyDescent="0.25">
      <c r="E363" s="96" t="s">
        <v>1081</v>
      </c>
      <c r="G363" s="108"/>
      <c r="I363" s="293" t="s">
        <v>359</v>
      </c>
      <c r="AQ363" s="88"/>
    </row>
    <row r="364" spans="3:43" x14ac:dyDescent="0.25">
      <c r="E364" s="96"/>
      <c r="F364" s="40" t="s">
        <v>199</v>
      </c>
      <c r="G364" s="40" t="s">
        <v>120</v>
      </c>
      <c r="H364" s="91"/>
      <c r="I364" s="91"/>
      <c r="J364" s="267">
        <f t="shared" ref="J364:J370" si="68">(1 - J315) * J114</f>
        <v>8025.5227369792601</v>
      </c>
      <c r="K364" s="238"/>
      <c r="L364" s="267">
        <f t="shared" ref="L364:L370" si="69">(1 - L315) * L114</f>
        <v>24.457977401204378</v>
      </c>
      <c r="M364" s="238"/>
      <c r="N364" s="267">
        <f t="shared" ref="N364:Q370" si="70">(1 - N315) * N114</f>
        <v>200.27939410582394</v>
      </c>
      <c r="O364" s="267">
        <f t="shared" si="70"/>
        <v>0</v>
      </c>
      <c r="P364" s="267">
        <f t="shared" si="70"/>
        <v>0</v>
      </c>
      <c r="Q364" s="267">
        <f t="shared" si="70"/>
        <v>5.4153857217289847</v>
      </c>
      <c r="R364" s="238"/>
      <c r="S364" s="238"/>
      <c r="T364" s="238"/>
      <c r="U364" s="238"/>
      <c r="V364" s="238"/>
      <c r="W364" s="238"/>
      <c r="X364" s="238"/>
      <c r="Y364" s="238"/>
      <c r="AQ364" s="88"/>
    </row>
    <row r="365" spans="3:43" x14ac:dyDescent="0.25">
      <c r="E365" s="96"/>
      <c r="F365" s="109" t="s">
        <v>200</v>
      </c>
      <c r="G365" s="109" t="s">
        <v>120</v>
      </c>
      <c r="J365" s="264">
        <f t="shared" si="68"/>
        <v>33044.539856264339</v>
      </c>
      <c r="K365" s="239"/>
      <c r="L365" s="264">
        <f t="shared" si="69"/>
        <v>155.32121376374397</v>
      </c>
      <c r="M365" s="239"/>
      <c r="N365" s="264">
        <f t="shared" si="70"/>
        <v>1173.4827186716275</v>
      </c>
      <c r="O365" s="264">
        <f t="shared" si="70"/>
        <v>0</v>
      </c>
      <c r="P365" s="264">
        <f t="shared" si="70"/>
        <v>0</v>
      </c>
      <c r="Q365" s="264">
        <f t="shared" si="70"/>
        <v>34.041744001637035</v>
      </c>
      <c r="R365" s="239"/>
      <c r="S365" s="239"/>
      <c r="T365" s="239"/>
      <c r="U365" s="239"/>
      <c r="V365" s="239"/>
      <c r="W365" s="239"/>
      <c r="X365" s="239"/>
      <c r="Y365" s="239"/>
      <c r="AQ365" s="88"/>
    </row>
    <row r="366" spans="3:43" x14ac:dyDescent="0.25">
      <c r="E366" s="96"/>
      <c r="F366" s="109" t="s">
        <v>201</v>
      </c>
      <c r="G366" s="109" t="s">
        <v>120</v>
      </c>
      <c r="J366" s="264">
        <f t="shared" si="68"/>
        <v>16082.089903250329</v>
      </c>
      <c r="K366" s="239"/>
      <c r="L366" s="264">
        <f t="shared" si="69"/>
        <v>69.879626817049299</v>
      </c>
      <c r="M366" s="239"/>
      <c r="N366" s="264">
        <f t="shared" si="70"/>
        <v>695.78788732457986</v>
      </c>
      <c r="O366" s="264">
        <f t="shared" si="70"/>
        <v>0</v>
      </c>
      <c r="P366" s="264">
        <f t="shared" si="70"/>
        <v>0</v>
      </c>
      <c r="Q366" s="264">
        <f t="shared" si="70"/>
        <v>29.612009156805282</v>
      </c>
      <c r="R366" s="239"/>
      <c r="S366" s="239"/>
      <c r="T366" s="239"/>
      <c r="U366" s="239"/>
      <c r="V366" s="239"/>
      <c r="W366" s="239"/>
      <c r="X366" s="239"/>
      <c r="Y366" s="239"/>
      <c r="AQ366" s="88"/>
    </row>
    <row r="367" spans="3:43" x14ac:dyDescent="0.25">
      <c r="E367" s="96"/>
      <c r="F367" s="109" t="s">
        <v>74</v>
      </c>
      <c r="G367" s="109" t="s">
        <v>74</v>
      </c>
      <c r="J367" s="264">
        <f t="shared" si="68"/>
        <v>19647.617477451869</v>
      </c>
      <c r="K367" s="239"/>
      <c r="L367" s="264">
        <f t="shared" si="69"/>
        <v>110.58365437157518</v>
      </c>
      <c r="M367" s="239"/>
      <c r="N367" s="264">
        <f t="shared" si="70"/>
        <v>41.552322244469082</v>
      </c>
      <c r="O367" s="264">
        <f t="shared" si="70"/>
        <v>0</v>
      </c>
      <c r="P367" s="264">
        <f t="shared" si="70"/>
        <v>0</v>
      </c>
      <c r="Q367" s="264">
        <f t="shared" si="70"/>
        <v>78.787827423645552</v>
      </c>
      <c r="R367" s="239"/>
      <c r="S367" s="239"/>
      <c r="T367" s="239"/>
      <c r="U367" s="239"/>
      <c r="V367" s="239"/>
      <c r="W367" s="239"/>
      <c r="X367" s="239"/>
      <c r="Y367" s="239"/>
      <c r="AQ367" s="88"/>
    </row>
    <row r="368" spans="3:43" x14ac:dyDescent="0.25">
      <c r="E368" s="96"/>
      <c r="F368" s="109" t="s">
        <v>202</v>
      </c>
      <c r="G368" s="109" t="s">
        <v>169</v>
      </c>
      <c r="J368" s="264">
        <f t="shared" si="68"/>
        <v>0</v>
      </c>
      <c r="K368" s="239"/>
      <c r="L368" s="264">
        <f t="shared" si="69"/>
        <v>0</v>
      </c>
      <c r="M368" s="239"/>
      <c r="N368" s="264">
        <f t="shared" si="70"/>
        <v>2514.89092668177</v>
      </c>
      <c r="O368" s="264">
        <f t="shared" si="70"/>
        <v>0</v>
      </c>
      <c r="P368" s="264">
        <f t="shared" si="70"/>
        <v>0</v>
      </c>
      <c r="Q368" s="264">
        <f t="shared" si="70"/>
        <v>0</v>
      </c>
      <c r="R368" s="239"/>
      <c r="S368" s="239"/>
      <c r="T368" s="239"/>
      <c r="U368" s="239"/>
      <c r="V368" s="239"/>
      <c r="W368" s="239"/>
      <c r="X368" s="239"/>
      <c r="Y368" s="239"/>
      <c r="AQ368" s="88"/>
    </row>
    <row r="369" spans="5:43" x14ac:dyDescent="0.25">
      <c r="E369" s="96"/>
      <c r="F369" s="109" t="s">
        <v>203</v>
      </c>
      <c r="G369" s="109" t="s">
        <v>169</v>
      </c>
      <c r="J369" s="264">
        <f t="shared" si="68"/>
        <v>0</v>
      </c>
      <c r="K369" s="239"/>
      <c r="L369" s="264">
        <f t="shared" si="69"/>
        <v>0</v>
      </c>
      <c r="M369" s="239"/>
      <c r="N369" s="264">
        <f t="shared" si="70"/>
        <v>2.2730395215851122</v>
      </c>
      <c r="O369" s="264">
        <f t="shared" si="70"/>
        <v>0</v>
      </c>
      <c r="P369" s="264">
        <f t="shared" si="70"/>
        <v>0</v>
      </c>
      <c r="Q369" s="264">
        <f t="shared" si="70"/>
        <v>0</v>
      </c>
      <c r="R369" s="239"/>
      <c r="S369" s="239"/>
      <c r="T369" s="239"/>
      <c r="U369" s="239"/>
      <c r="V369" s="239"/>
      <c r="W369" s="239"/>
      <c r="X369" s="239"/>
      <c r="Y369" s="239"/>
      <c r="AQ369" s="88"/>
    </row>
    <row r="370" spans="5:43" x14ac:dyDescent="0.25">
      <c r="E370" s="96"/>
      <c r="F370" s="36" t="s">
        <v>204</v>
      </c>
      <c r="G370" s="36" t="s">
        <v>170</v>
      </c>
      <c r="H370" s="93"/>
      <c r="I370" s="93"/>
      <c r="J370" s="268">
        <f t="shared" si="68"/>
        <v>0</v>
      </c>
      <c r="K370" s="240"/>
      <c r="L370" s="268">
        <f t="shared" si="69"/>
        <v>0</v>
      </c>
      <c r="M370" s="240"/>
      <c r="N370" s="268">
        <f t="shared" si="70"/>
        <v>241.11527286152523</v>
      </c>
      <c r="O370" s="268">
        <f t="shared" si="70"/>
        <v>0</v>
      </c>
      <c r="P370" s="268">
        <f t="shared" si="70"/>
        <v>0</v>
      </c>
      <c r="Q370" s="268">
        <f t="shared" si="70"/>
        <v>0</v>
      </c>
      <c r="R370" s="240"/>
      <c r="S370" s="240"/>
      <c r="T370" s="240"/>
      <c r="U370" s="240"/>
      <c r="V370" s="240"/>
      <c r="W370" s="240"/>
      <c r="X370" s="240"/>
      <c r="Y370" s="240"/>
      <c r="AQ370" s="88"/>
    </row>
    <row r="371" spans="5:43" x14ac:dyDescent="0.25">
      <c r="AQ371" s="88"/>
    </row>
    <row r="372" spans="5:43" x14ac:dyDescent="0.25">
      <c r="E372" s="96" t="s">
        <v>1082</v>
      </c>
      <c r="G372" s="108"/>
      <c r="I372" s="293" t="s">
        <v>359</v>
      </c>
      <c r="AQ372" s="88"/>
    </row>
    <row r="373" spans="5:43" x14ac:dyDescent="0.25">
      <c r="E373" s="96"/>
      <c r="F373" s="40" t="s">
        <v>199</v>
      </c>
      <c r="G373" s="40" t="s">
        <v>120</v>
      </c>
      <c r="H373" s="91"/>
      <c r="I373" s="91"/>
      <c r="J373" s="267">
        <f t="shared" ref="J373:J379" si="71">(1 - J324) * J161</f>
        <v>20692.232638380225</v>
      </c>
      <c r="K373" s="238"/>
      <c r="L373" s="267">
        <f t="shared" ref="L373:L379" si="72">(1 - L324) * L161</f>
        <v>49.091610632040393</v>
      </c>
      <c r="M373" s="238"/>
      <c r="N373" s="267">
        <f t="shared" ref="N373:Q379" si="73">(1 - N324) * N161</f>
        <v>1188.1041440914025</v>
      </c>
      <c r="O373" s="267">
        <f t="shared" si="73"/>
        <v>7.5537740431463813</v>
      </c>
      <c r="P373" s="267">
        <f t="shared" si="73"/>
        <v>182.74518247989701</v>
      </c>
      <c r="Q373" s="267">
        <f t="shared" si="73"/>
        <v>43.446464407403013</v>
      </c>
      <c r="R373" s="238"/>
      <c r="S373" s="238"/>
      <c r="T373" s="238"/>
      <c r="U373" s="238"/>
      <c r="V373" s="238"/>
      <c r="W373" s="238"/>
      <c r="X373" s="238"/>
      <c r="Y373" s="238"/>
      <c r="AQ373" s="88"/>
    </row>
    <row r="374" spans="5:43" x14ac:dyDescent="0.25">
      <c r="E374" s="96"/>
      <c r="F374" s="109" t="s">
        <v>200</v>
      </c>
      <c r="G374" s="109" t="s">
        <v>120</v>
      </c>
      <c r="J374" s="264">
        <f t="shared" si="71"/>
        <v>87356.694405202725</v>
      </c>
      <c r="K374" s="239"/>
      <c r="L374" s="264">
        <f t="shared" si="72"/>
        <v>338.61836009396058</v>
      </c>
      <c r="M374" s="239"/>
      <c r="N374" s="264">
        <f t="shared" si="73"/>
        <v>6388.0887110293334</v>
      </c>
      <c r="O374" s="264">
        <f t="shared" si="73"/>
        <v>42.890198815378952</v>
      </c>
      <c r="P374" s="264">
        <f t="shared" si="73"/>
        <v>758.55171170510243</v>
      </c>
      <c r="Q374" s="264">
        <f t="shared" si="73"/>
        <v>266.85518013293785</v>
      </c>
      <c r="R374" s="239"/>
      <c r="S374" s="239"/>
      <c r="T374" s="239"/>
      <c r="U374" s="239"/>
      <c r="V374" s="239"/>
      <c r="W374" s="239"/>
      <c r="X374" s="239"/>
      <c r="Y374" s="239"/>
      <c r="AQ374" s="88"/>
    </row>
    <row r="375" spans="5:43" x14ac:dyDescent="0.25">
      <c r="E375" s="96"/>
      <c r="F375" s="109" t="s">
        <v>201</v>
      </c>
      <c r="G375" s="109" t="s">
        <v>120</v>
      </c>
      <c r="J375" s="264">
        <f t="shared" si="71"/>
        <v>40126.550375150277</v>
      </c>
      <c r="K375" s="239"/>
      <c r="L375" s="264">
        <f t="shared" si="72"/>
        <v>132.34496826833427</v>
      </c>
      <c r="M375" s="239"/>
      <c r="N375" s="264">
        <f t="shared" si="73"/>
        <v>3520.4783497717117</v>
      </c>
      <c r="O375" s="264">
        <f t="shared" si="73"/>
        <v>23.978331665170082</v>
      </c>
      <c r="P375" s="264">
        <f t="shared" si="73"/>
        <v>540.91237141728311</v>
      </c>
      <c r="Q375" s="264">
        <f t="shared" si="73"/>
        <v>216.61212123616784</v>
      </c>
      <c r="R375" s="239"/>
      <c r="S375" s="239"/>
      <c r="T375" s="239"/>
      <c r="U375" s="239"/>
      <c r="V375" s="239"/>
      <c r="W375" s="239"/>
      <c r="X375" s="239"/>
      <c r="Y375" s="239"/>
      <c r="AQ375" s="88"/>
    </row>
    <row r="376" spans="5:43" x14ac:dyDescent="0.25">
      <c r="E376" s="96"/>
      <c r="F376" s="109" t="s">
        <v>74</v>
      </c>
      <c r="G376" s="109" t="s">
        <v>74</v>
      </c>
      <c r="J376" s="264">
        <f t="shared" si="71"/>
        <v>53337.687999323745</v>
      </c>
      <c r="K376" s="239"/>
      <c r="L376" s="264">
        <f t="shared" si="72"/>
        <v>286.96261990604023</v>
      </c>
      <c r="M376" s="239"/>
      <c r="N376" s="264">
        <f t="shared" si="73"/>
        <v>134.17194226095418</v>
      </c>
      <c r="O376" s="264">
        <f t="shared" si="73"/>
        <v>0.64742976032474087</v>
      </c>
      <c r="P376" s="264">
        <f t="shared" si="73"/>
        <v>3.2627242714936222</v>
      </c>
      <c r="Q376" s="264">
        <f t="shared" si="73"/>
        <v>232.53554439027386</v>
      </c>
      <c r="R376" s="239"/>
      <c r="S376" s="239"/>
      <c r="T376" s="239"/>
      <c r="U376" s="239"/>
      <c r="V376" s="239"/>
      <c r="W376" s="239"/>
      <c r="X376" s="239"/>
      <c r="Y376" s="239"/>
      <c r="AQ376" s="88"/>
    </row>
    <row r="377" spans="5:43" x14ac:dyDescent="0.25">
      <c r="E377" s="96"/>
      <c r="F377" s="109" t="s">
        <v>202</v>
      </c>
      <c r="G377" s="109" t="s">
        <v>169</v>
      </c>
      <c r="J377" s="264">
        <f t="shared" si="71"/>
        <v>0</v>
      </c>
      <c r="K377" s="239"/>
      <c r="L377" s="264">
        <f t="shared" si="72"/>
        <v>0</v>
      </c>
      <c r="M377" s="239"/>
      <c r="N377" s="264">
        <f t="shared" si="73"/>
        <v>13062.615067381066</v>
      </c>
      <c r="O377" s="264">
        <f t="shared" si="73"/>
        <v>87.707356560601795</v>
      </c>
      <c r="P377" s="264">
        <f t="shared" si="73"/>
        <v>1409.7372923309501</v>
      </c>
      <c r="Q377" s="264">
        <f t="shared" si="73"/>
        <v>0</v>
      </c>
      <c r="R377" s="239"/>
      <c r="S377" s="239"/>
      <c r="T377" s="239"/>
      <c r="U377" s="239"/>
      <c r="V377" s="239"/>
      <c r="W377" s="239"/>
      <c r="X377" s="239"/>
      <c r="Y377" s="239"/>
      <c r="AQ377" s="88"/>
    </row>
    <row r="378" spans="5:43" x14ac:dyDescent="0.25">
      <c r="E378" s="96"/>
      <c r="F378" s="109" t="s">
        <v>203</v>
      </c>
      <c r="G378" s="109" t="s">
        <v>169</v>
      </c>
      <c r="J378" s="264">
        <f t="shared" si="71"/>
        <v>0</v>
      </c>
      <c r="K378" s="239"/>
      <c r="L378" s="264">
        <f t="shared" si="72"/>
        <v>0</v>
      </c>
      <c r="M378" s="239"/>
      <c r="N378" s="264">
        <f t="shared" si="73"/>
        <v>7.6799313386552077</v>
      </c>
      <c r="O378" s="264">
        <f t="shared" si="73"/>
        <v>0.4803078149022989</v>
      </c>
      <c r="P378" s="264">
        <f t="shared" si="73"/>
        <v>1.8071312931505388</v>
      </c>
      <c r="Q378" s="264">
        <f t="shared" si="73"/>
        <v>0</v>
      </c>
      <c r="R378" s="239"/>
      <c r="S378" s="239"/>
      <c r="T378" s="239"/>
      <c r="U378" s="239"/>
      <c r="V378" s="239"/>
      <c r="W378" s="239"/>
      <c r="X378" s="239"/>
      <c r="Y378" s="239"/>
      <c r="AQ378" s="88"/>
    </row>
    <row r="379" spans="5:43" x14ac:dyDescent="0.25">
      <c r="E379" s="96"/>
      <c r="F379" s="36" t="s">
        <v>204</v>
      </c>
      <c r="G379" s="36" t="s">
        <v>170</v>
      </c>
      <c r="H379" s="93"/>
      <c r="I379" s="93"/>
      <c r="J379" s="268">
        <f t="shared" si="71"/>
        <v>0</v>
      </c>
      <c r="K379" s="240"/>
      <c r="L379" s="268">
        <f t="shared" si="72"/>
        <v>0</v>
      </c>
      <c r="M379" s="240"/>
      <c r="N379" s="268">
        <f t="shared" si="73"/>
        <v>1120.4699428750851</v>
      </c>
      <c r="O379" s="268">
        <f t="shared" si="73"/>
        <v>6.6398418315428378</v>
      </c>
      <c r="P379" s="268">
        <f t="shared" si="73"/>
        <v>88.336236050426052</v>
      </c>
      <c r="Q379" s="268">
        <f t="shared" si="73"/>
        <v>0</v>
      </c>
      <c r="R379" s="240"/>
      <c r="S379" s="240"/>
      <c r="T379" s="240"/>
      <c r="U379" s="240"/>
      <c r="V379" s="240"/>
      <c r="W379" s="240"/>
      <c r="X379" s="240"/>
      <c r="Y379" s="240"/>
      <c r="AQ379" s="88"/>
    </row>
    <row r="380" spans="5:43" x14ac:dyDescent="0.25">
      <c r="AQ380" s="88"/>
    </row>
    <row r="381" spans="5:43" x14ac:dyDescent="0.25">
      <c r="E381" s="96" t="s">
        <v>1083</v>
      </c>
      <c r="G381" s="108"/>
      <c r="I381" s="293" t="s">
        <v>359</v>
      </c>
      <c r="AQ381" s="88"/>
    </row>
    <row r="382" spans="5:43" x14ac:dyDescent="0.25">
      <c r="E382" s="96"/>
      <c r="F382" s="40" t="s">
        <v>199</v>
      </c>
      <c r="G382" s="40" t="s">
        <v>120</v>
      </c>
      <c r="H382" s="91"/>
      <c r="I382" s="91"/>
      <c r="J382" s="267">
        <f t="shared" ref="J382:J388" si="74">J67+J364+J373</f>
        <v>1548246.7463325649</v>
      </c>
      <c r="K382" s="238"/>
      <c r="L382" s="267">
        <f t="shared" ref="L382:L388" si="75">L67+L364+L373</f>
        <v>22110.670883755516</v>
      </c>
      <c r="M382" s="238"/>
      <c r="N382" s="267">
        <f t="shared" ref="N382:Q388" si="76">N67+N364+N373</f>
        <v>98534.09740932149</v>
      </c>
      <c r="O382" s="267">
        <f t="shared" si="76"/>
        <v>146.4518577239503</v>
      </c>
      <c r="P382" s="267">
        <f t="shared" si="76"/>
        <v>29044.618361672641</v>
      </c>
      <c r="Q382" s="267">
        <f t="shared" si="76"/>
        <v>11566.823241177972</v>
      </c>
      <c r="R382" s="238"/>
      <c r="S382" s="238"/>
      <c r="T382" s="238"/>
      <c r="U382" s="238"/>
      <c r="V382" s="238"/>
      <c r="W382" s="238"/>
      <c r="X382" s="238"/>
      <c r="Y382" s="238"/>
      <c r="AQ382" s="88"/>
    </row>
    <row r="383" spans="5:43" x14ac:dyDescent="0.25">
      <c r="E383" s="96"/>
      <c r="F383" s="109" t="s">
        <v>200</v>
      </c>
      <c r="G383" s="109" t="s">
        <v>120</v>
      </c>
      <c r="J383" s="264">
        <f t="shared" si="74"/>
        <v>6825324.1723649437</v>
      </c>
      <c r="K383" s="239"/>
      <c r="L383" s="264">
        <f t="shared" si="75"/>
        <v>139083.12455529749</v>
      </c>
      <c r="M383" s="239"/>
      <c r="N383" s="264">
        <f t="shared" si="76"/>
        <v>561905.85161913838</v>
      </c>
      <c r="O383" s="264">
        <f t="shared" si="76"/>
        <v>802.19760485238828</v>
      </c>
      <c r="P383" s="264">
        <f t="shared" si="76"/>
        <v>161830.5168075379</v>
      </c>
      <c r="Q383" s="264">
        <f t="shared" si="76"/>
        <v>73426.845575958097</v>
      </c>
      <c r="R383" s="239"/>
      <c r="S383" s="239"/>
      <c r="T383" s="239"/>
      <c r="U383" s="239"/>
      <c r="V383" s="239"/>
      <c r="W383" s="239"/>
      <c r="X383" s="239"/>
      <c r="Y383" s="239"/>
      <c r="AQ383" s="88"/>
    </row>
    <row r="384" spans="5:43" x14ac:dyDescent="0.25">
      <c r="E384" s="96"/>
      <c r="F384" s="109" t="s">
        <v>201</v>
      </c>
      <c r="G384" s="109" t="s">
        <v>120</v>
      </c>
      <c r="J384" s="264">
        <f t="shared" si="74"/>
        <v>3770396.0827899273</v>
      </c>
      <c r="K384" s="239"/>
      <c r="L384" s="264">
        <f t="shared" si="75"/>
        <v>61778.612846219286</v>
      </c>
      <c r="M384" s="239"/>
      <c r="N384" s="264">
        <f t="shared" si="76"/>
        <v>294881.28419692785</v>
      </c>
      <c r="O384" s="264">
        <f t="shared" si="76"/>
        <v>521.00696258987796</v>
      </c>
      <c r="P384" s="264">
        <f t="shared" si="76"/>
        <v>110914.57647911321</v>
      </c>
      <c r="Q384" s="264">
        <f t="shared" si="76"/>
        <v>110236.46164591011</v>
      </c>
      <c r="R384" s="239"/>
      <c r="S384" s="239"/>
      <c r="T384" s="239"/>
      <c r="U384" s="239"/>
      <c r="V384" s="239"/>
      <c r="W384" s="239"/>
      <c r="X384" s="239"/>
      <c r="Y384" s="239"/>
      <c r="AQ384" s="88"/>
    </row>
    <row r="385" spans="3:43" x14ac:dyDescent="0.25">
      <c r="E385" s="96"/>
      <c r="F385" s="109" t="s">
        <v>74</v>
      </c>
      <c r="G385" s="109" t="s">
        <v>74</v>
      </c>
      <c r="J385" s="264">
        <f t="shared" si="74"/>
        <v>2974344.8025927823</v>
      </c>
      <c r="K385" s="239"/>
      <c r="L385" s="264">
        <f t="shared" si="75"/>
        <v>92882.682828770194</v>
      </c>
      <c r="M385" s="239"/>
      <c r="N385" s="264">
        <f t="shared" si="76"/>
        <v>10609.863794169047</v>
      </c>
      <c r="O385" s="264">
        <f t="shared" si="76"/>
        <v>5.7051220680170491</v>
      </c>
      <c r="P385" s="264">
        <f t="shared" si="76"/>
        <v>546.13806531578371</v>
      </c>
      <c r="Q385" s="264">
        <f t="shared" si="76"/>
        <v>4315.823371813919</v>
      </c>
      <c r="R385" s="239"/>
      <c r="S385" s="239"/>
      <c r="T385" s="239"/>
      <c r="U385" s="239"/>
      <c r="V385" s="239"/>
      <c r="W385" s="239"/>
      <c r="X385" s="239"/>
      <c r="Y385" s="239"/>
      <c r="AQ385" s="88"/>
    </row>
    <row r="386" spans="3:43" x14ac:dyDescent="0.25">
      <c r="E386" s="96"/>
      <c r="F386" s="109" t="s">
        <v>202</v>
      </c>
      <c r="G386" s="109" t="s">
        <v>169</v>
      </c>
      <c r="J386" s="264">
        <f t="shared" si="74"/>
        <v>0</v>
      </c>
      <c r="K386" s="239"/>
      <c r="L386" s="264">
        <f t="shared" si="75"/>
        <v>0</v>
      </c>
      <c r="M386" s="239"/>
      <c r="N386" s="264">
        <f t="shared" si="76"/>
        <v>640098.04248935636</v>
      </c>
      <c r="O386" s="264">
        <f t="shared" si="76"/>
        <v>577.69584961494263</v>
      </c>
      <c r="P386" s="264">
        <f t="shared" si="76"/>
        <v>137610.63331683088</v>
      </c>
      <c r="Q386" s="264">
        <f t="shared" si="76"/>
        <v>0</v>
      </c>
      <c r="R386" s="239"/>
      <c r="S386" s="239"/>
      <c r="T386" s="239"/>
      <c r="U386" s="239"/>
      <c r="V386" s="239"/>
      <c r="W386" s="239"/>
      <c r="X386" s="239"/>
      <c r="Y386" s="239"/>
      <c r="AQ386" s="88"/>
    </row>
    <row r="387" spans="3:43" x14ac:dyDescent="0.25">
      <c r="E387" s="96"/>
      <c r="F387" s="109" t="s">
        <v>203</v>
      </c>
      <c r="G387" s="109" t="s">
        <v>169</v>
      </c>
      <c r="J387" s="264">
        <f t="shared" si="74"/>
        <v>0</v>
      </c>
      <c r="K387" s="239"/>
      <c r="L387" s="264">
        <f t="shared" si="75"/>
        <v>0</v>
      </c>
      <c r="M387" s="239"/>
      <c r="N387" s="264">
        <f t="shared" si="76"/>
        <v>8525.638225369943</v>
      </c>
      <c r="O387" s="264">
        <f t="shared" si="76"/>
        <v>3.8269548144699144</v>
      </c>
      <c r="P387" s="264">
        <f t="shared" si="76"/>
        <v>1635.1298393831448</v>
      </c>
      <c r="Q387" s="264">
        <f t="shared" si="76"/>
        <v>0</v>
      </c>
      <c r="R387" s="239"/>
      <c r="S387" s="239"/>
      <c r="T387" s="239"/>
      <c r="U387" s="239"/>
      <c r="V387" s="239"/>
      <c r="W387" s="239"/>
      <c r="X387" s="239"/>
      <c r="Y387" s="239"/>
      <c r="AQ387" s="88"/>
    </row>
    <row r="388" spans="3:43" x14ac:dyDescent="0.25">
      <c r="E388" s="96"/>
      <c r="F388" s="36" t="s">
        <v>204</v>
      </c>
      <c r="G388" s="36" t="s">
        <v>170</v>
      </c>
      <c r="H388" s="93"/>
      <c r="I388" s="93"/>
      <c r="J388" s="268">
        <f t="shared" si="74"/>
        <v>0</v>
      </c>
      <c r="K388" s="240"/>
      <c r="L388" s="268">
        <f t="shared" si="75"/>
        <v>0</v>
      </c>
      <c r="M388" s="240"/>
      <c r="N388" s="268">
        <f t="shared" si="76"/>
        <v>80402.567216844691</v>
      </c>
      <c r="O388" s="268">
        <f t="shared" si="76"/>
        <v>104.69053383114345</v>
      </c>
      <c r="P388" s="268">
        <f t="shared" si="76"/>
        <v>21207.851827550981</v>
      </c>
      <c r="Q388" s="268">
        <f t="shared" si="76"/>
        <v>0</v>
      </c>
      <c r="R388" s="240"/>
      <c r="S388" s="240"/>
      <c r="T388" s="240"/>
      <c r="U388" s="240"/>
      <c r="V388" s="240"/>
      <c r="W388" s="240"/>
      <c r="X388" s="240"/>
      <c r="Y388" s="240"/>
      <c r="AQ388" s="88"/>
    </row>
    <row r="389" spans="3:43" x14ac:dyDescent="0.25">
      <c r="AQ389" s="88"/>
    </row>
    <row r="390" spans="3:43" x14ac:dyDescent="0.25">
      <c r="C390" s="7" t="str">
        <f ca="1">INDEX('Version control'!$H$35:$H$61,MATCH($A$1,'Version control'!$F$35:$F$61,0),1)&amp;"-F: Residual band 2 volume discounting"</f>
        <v>Section 507-F: Residual band 2 volume discounting</v>
      </c>
      <c r="D390" s="7"/>
      <c r="E390" s="7"/>
      <c r="F390" s="7"/>
      <c r="G390" s="7"/>
      <c r="H390" s="7"/>
      <c r="I390" s="7"/>
      <c r="J390" s="7"/>
      <c r="K390" s="7"/>
      <c r="L390" s="7"/>
      <c r="M390" s="7"/>
      <c r="N390" s="7"/>
      <c r="O390" s="7"/>
      <c r="P390" s="7"/>
      <c r="Q390" s="7"/>
      <c r="R390" s="7"/>
      <c r="S390" s="7"/>
      <c r="T390" s="7"/>
      <c r="U390" s="7"/>
      <c r="V390" s="7"/>
      <c r="W390" s="7"/>
      <c r="X390" s="7"/>
      <c r="Y390" s="7"/>
      <c r="Z390" s="7"/>
      <c r="AA390" s="7"/>
      <c r="AQ390" s="88"/>
    </row>
    <row r="391" spans="3:43" x14ac:dyDescent="0.25">
      <c r="C391" s="96"/>
      <c r="AQ391" s="88"/>
    </row>
    <row r="392" spans="3:43" x14ac:dyDescent="0.25">
      <c r="E392" s="96" t="s">
        <v>1084</v>
      </c>
      <c r="G392" s="108"/>
      <c r="I392" s="293" t="s">
        <v>359</v>
      </c>
      <c r="AQ392" s="88"/>
    </row>
    <row r="393" spans="3:43" x14ac:dyDescent="0.25">
      <c r="E393" s="96"/>
      <c r="F393" s="40" t="s">
        <v>199</v>
      </c>
      <c r="G393" s="40" t="s">
        <v>120</v>
      </c>
      <c r="H393" s="91"/>
      <c r="I393" s="91"/>
      <c r="J393" s="238"/>
      <c r="K393" s="238"/>
      <c r="L393" s="267">
        <f t="shared" ref="L393:L399" si="77">(1 - L315) * L123</f>
        <v>60.370917783087151</v>
      </c>
      <c r="M393" s="238"/>
      <c r="N393" s="267">
        <f t="shared" ref="N393:P399" si="78">(1 - N315) * N123</f>
        <v>190.24295022531462</v>
      </c>
      <c r="O393" s="267">
        <f t="shared" si="78"/>
        <v>0</v>
      </c>
      <c r="P393" s="267">
        <f t="shared" si="78"/>
        <v>0</v>
      </c>
      <c r="Q393" s="238"/>
      <c r="R393" s="238"/>
      <c r="S393" s="238"/>
      <c r="T393" s="238"/>
      <c r="U393" s="238"/>
      <c r="V393" s="238"/>
      <c r="W393" s="238"/>
      <c r="X393" s="238"/>
      <c r="Y393" s="238"/>
      <c r="AQ393" s="88"/>
    </row>
    <row r="394" spans="3:43" x14ac:dyDescent="0.25">
      <c r="E394" s="96"/>
      <c r="F394" s="109" t="s">
        <v>200</v>
      </c>
      <c r="G394" s="109" t="s">
        <v>120</v>
      </c>
      <c r="J394" s="239"/>
      <c r="K394" s="239"/>
      <c r="L394" s="264">
        <f t="shared" si="77"/>
        <v>383.38755786234992</v>
      </c>
      <c r="M394" s="239"/>
      <c r="N394" s="264">
        <f t="shared" si="78"/>
        <v>1114.6769014118038</v>
      </c>
      <c r="O394" s="264">
        <f t="shared" si="78"/>
        <v>0</v>
      </c>
      <c r="P394" s="264">
        <f t="shared" si="78"/>
        <v>0</v>
      </c>
      <c r="Q394" s="239"/>
      <c r="R394" s="239"/>
      <c r="S394" s="239"/>
      <c r="T394" s="239"/>
      <c r="U394" s="239"/>
      <c r="V394" s="239"/>
      <c r="W394" s="239"/>
      <c r="X394" s="239"/>
      <c r="Y394" s="239"/>
      <c r="AQ394" s="88"/>
    </row>
    <row r="395" spans="3:43" x14ac:dyDescent="0.25">
      <c r="E395" s="96"/>
      <c r="F395" s="109" t="s">
        <v>201</v>
      </c>
      <c r="G395" s="109" t="s">
        <v>120</v>
      </c>
      <c r="J395" s="239"/>
      <c r="K395" s="239"/>
      <c r="L395" s="264">
        <f t="shared" si="77"/>
        <v>172.48757475248769</v>
      </c>
      <c r="M395" s="239"/>
      <c r="N395" s="264">
        <f t="shared" si="78"/>
        <v>660.92041573545839</v>
      </c>
      <c r="O395" s="264">
        <f t="shared" si="78"/>
        <v>0</v>
      </c>
      <c r="P395" s="264">
        <f t="shared" si="78"/>
        <v>0</v>
      </c>
      <c r="Q395" s="239"/>
      <c r="R395" s="239"/>
      <c r="S395" s="239"/>
      <c r="T395" s="239"/>
      <c r="U395" s="239"/>
      <c r="V395" s="239"/>
      <c r="W395" s="239"/>
      <c r="X395" s="239"/>
      <c r="Y395" s="239"/>
      <c r="AQ395" s="88"/>
    </row>
    <row r="396" spans="3:43" x14ac:dyDescent="0.25">
      <c r="E396" s="96"/>
      <c r="F396" s="109" t="s">
        <v>74</v>
      </c>
      <c r="G396" s="109" t="s">
        <v>74</v>
      </c>
      <c r="J396" s="239"/>
      <c r="K396" s="239"/>
      <c r="L396" s="264">
        <f t="shared" si="77"/>
        <v>83.096023879678043</v>
      </c>
      <c r="M396" s="239"/>
      <c r="N396" s="264">
        <f t="shared" si="78"/>
        <v>21.479176989809368</v>
      </c>
      <c r="O396" s="264">
        <f t="shared" si="78"/>
        <v>0</v>
      </c>
      <c r="P396" s="264">
        <f t="shared" si="78"/>
        <v>0</v>
      </c>
      <c r="Q396" s="239"/>
      <c r="R396" s="239"/>
      <c r="S396" s="239"/>
      <c r="T396" s="239"/>
      <c r="U396" s="239"/>
      <c r="V396" s="239"/>
      <c r="W396" s="239"/>
      <c r="X396" s="239"/>
      <c r="Y396" s="239"/>
      <c r="AQ396" s="88"/>
    </row>
    <row r="397" spans="3:43" x14ac:dyDescent="0.25">
      <c r="E397" s="96"/>
      <c r="F397" s="109" t="s">
        <v>202</v>
      </c>
      <c r="G397" s="109" t="s">
        <v>169</v>
      </c>
      <c r="J397" s="239"/>
      <c r="K397" s="239"/>
      <c r="L397" s="264">
        <f t="shared" si="77"/>
        <v>0</v>
      </c>
      <c r="M397" s="239"/>
      <c r="N397" s="264">
        <f t="shared" si="78"/>
        <v>2388.8641740848107</v>
      </c>
      <c r="O397" s="264">
        <f t="shared" si="78"/>
        <v>0</v>
      </c>
      <c r="P397" s="264">
        <f t="shared" si="78"/>
        <v>0</v>
      </c>
      <c r="Q397" s="239"/>
      <c r="R397" s="239"/>
      <c r="S397" s="239"/>
      <c r="T397" s="239"/>
      <c r="U397" s="239"/>
      <c r="V397" s="239"/>
      <c r="W397" s="239"/>
      <c r="X397" s="239"/>
      <c r="Y397" s="239"/>
      <c r="AQ397" s="88"/>
    </row>
    <row r="398" spans="3:43" x14ac:dyDescent="0.25">
      <c r="E398" s="96"/>
      <c r="F398" s="109" t="s">
        <v>203</v>
      </c>
      <c r="G398" s="109" t="s">
        <v>169</v>
      </c>
      <c r="J398" s="239"/>
      <c r="K398" s="239"/>
      <c r="L398" s="264">
        <f t="shared" si="77"/>
        <v>0</v>
      </c>
      <c r="M398" s="239"/>
      <c r="N398" s="264">
        <f t="shared" si="78"/>
        <v>2.159132478384679</v>
      </c>
      <c r="O398" s="264">
        <f t="shared" si="78"/>
        <v>0</v>
      </c>
      <c r="P398" s="264">
        <f t="shared" si="78"/>
        <v>0</v>
      </c>
      <c r="Q398" s="239"/>
      <c r="R398" s="239"/>
      <c r="S398" s="239"/>
      <c r="T398" s="239"/>
      <c r="U398" s="239"/>
      <c r="V398" s="239"/>
      <c r="W398" s="239"/>
      <c r="X398" s="239"/>
      <c r="Y398" s="239"/>
      <c r="AQ398" s="88"/>
    </row>
    <row r="399" spans="3:43" x14ac:dyDescent="0.25">
      <c r="E399" s="96"/>
      <c r="F399" s="36" t="s">
        <v>204</v>
      </c>
      <c r="G399" s="36" t="s">
        <v>170</v>
      </c>
      <c r="H399" s="93"/>
      <c r="I399" s="93"/>
      <c r="J399" s="240"/>
      <c r="K399" s="240"/>
      <c r="L399" s="268">
        <f t="shared" si="77"/>
        <v>0</v>
      </c>
      <c r="M399" s="240"/>
      <c r="N399" s="268">
        <f t="shared" si="78"/>
        <v>229.03245268118388</v>
      </c>
      <c r="O399" s="268">
        <f t="shared" si="78"/>
        <v>0</v>
      </c>
      <c r="P399" s="268">
        <f t="shared" si="78"/>
        <v>0</v>
      </c>
      <c r="Q399" s="240"/>
      <c r="R399" s="240"/>
      <c r="S399" s="240"/>
      <c r="T399" s="240"/>
      <c r="U399" s="240"/>
      <c r="V399" s="240"/>
      <c r="W399" s="240"/>
      <c r="X399" s="240"/>
      <c r="Y399" s="240"/>
      <c r="AQ399" s="88"/>
    </row>
    <row r="400" spans="3:43" x14ac:dyDescent="0.25">
      <c r="AQ400" s="88"/>
    </row>
    <row r="401" spans="5:43" x14ac:dyDescent="0.25">
      <c r="E401" s="96" t="s">
        <v>1085</v>
      </c>
      <c r="G401" s="108"/>
      <c r="I401" s="293" t="s">
        <v>359</v>
      </c>
      <c r="AQ401" s="88"/>
    </row>
    <row r="402" spans="5:43" x14ac:dyDescent="0.25">
      <c r="E402" s="96"/>
      <c r="F402" s="40" t="s">
        <v>199</v>
      </c>
      <c r="G402" s="40" t="s">
        <v>120</v>
      </c>
      <c r="H402" s="91"/>
      <c r="I402" s="91"/>
      <c r="J402" s="238"/>
      <c r="K402" s="238"/>
      <c r="L402" s="267">
        <f t="shared" ref="L402:L408" si="79">(1 - L324) * L170</f>
        <v>121.17541613070165</v>
      </c>
      <c r="M402" s="238"/>
      <c r="N402" s="267">
        <f t="shared" ref="N402:P408" si="80">(1 - N324) * N170</f>
        <v>1128.565614830258</v>
      </c>
      <c r="O402" s="267">
        <f t="shared" si="80"/>
        <v>95.794236609229202</v>
      </c>
      <c r="P402" s="267">
        <f t="shared" si="80"/>
        <v>633.8538665619127</v>
      </c>
      <c r="Q402" s="238"/>
      <c r="R402" s="238"/>
      <c r="S402" s="238"/>
      <c r="T402" s="238"/>
      <c r="U402" s="238"/>
      <c r="V402" s="238"/>
      <c r="W402" s="238"/>
      <c r="X402" s="238"/>
      <c r="Y402" s="238"/>
      <c r="AQ402" s="88"/>
    </row>
    <row r="403" spans="5:43" x14ac:dyDescent="0.25">
      <c r="E403" s="96"/>
      <c r="F403" s="109" t="s">
        <v>200</v>
      </c>
      <c r="G403" s="109" t="s">
        <v>120</v>
      </c>
      <c r="J403" s="239"/>
      <c r="K403" s="239"/>
      <c r="L403" s="264">
        <f t="shared" si="79"/>
        <v>835.82958810280195</v>
      </c>
      <c r="M403" s="239"/>
      <c r="N403" s="264">
        <f t="shared" si="80"/>
        <v>6067.9674417484594</v>
      </c>
      <c r="O403" s="264">
        <f t="shared" si="80"/>
        <v>543.91802429741733</v>
      </c>
      <c r="P403" s="264">
        <f t="shared" si="80"/>
        <v>2631.045748657853</v>
      </c>
      <c r="Q403" s="239"/>
      <c r="R403" s="239"/>
      <c r="S403" s="239"/>
      <c r="T403" s="239"/>
      <c r="U403" s="239"/>
      <c r="V403" s="239"/>
      <c r="W403" s="239"/>
      <c r="X403" s="239"/>
      <c r="Y403" s="239"/>
      <c r="AQ403" s="88"/>
    </row>
    <row r="404" spans="5:43" x14ac:dyDescent="0.25">
      <c r="E404" s="96"/>
      <c r="F404" s="109" t="s">
        <v>201</v>
      </c>
      <c r="G404" s="109" t="s">
        <v>120</v>
      </c>
      <c r="J404" s="239"/>
      <c r="K404" s="239"/>
      <c r="L404" s="264">
        <f t="shared" si="79"/>
        <v>326.67407722518573</v>
      </c>
      <c r="M404" s="239"/>
      <c r="N404" s="264">
        <f t="shared" si="80"/>
        <v>3344.0593849162337</v>
      </c>
      <c r="O404" s="264">
        <f t="shared" si="80"/>
        <v>304.08454951230044</v>
      </c>
      <c r="P404" s="264">
        <f t="shared" si="80"/>
        <v>1876.1610754457774</v>
      </c>
      <c r="Q404" s="239"/>
      <c r="R404" s="239"/>
      <c r="S404" s="239"/>
      <c r="T404" s="239"/>
      <c r="U404" s="239"/>
      <c r="V404" s="239"/>
      <c r="W404" s="239"/>
      <c r="X404" s="239"/>
      <c r="Y404" s="239"/>
      <c r="AQ404" s="88"/>
    </row>
    <row r="405" spans="5:43" x14ac:dyDescent="0.25">
      <c r="E405" s="96"/>
      <c r="F405" s="109" t="s">
        <v>74</v>
      </c>
      <c r="G405" s="109" t="s">
        <v>74</v>
      </c>
      <c r="J405" s="239"/>
      <c r="K405" s="239"/>
      <c r="L405" s="264">
        <f t="shared" si="79"/>
        <v>215.63270676662148</v>
      </c>
      <c r="M405" s="239"/>
      <c r="N405" s="264">
        <f t="shared" si="80"/>
        <v>69.356000801450321</v>
      </c>
      <c r="O405" s="264">
        <f t="shared" si="80"/>
        <v>4.9204661784680299</v>
      </c>
      <c r="P405" s="264">
        <f t="shared" si="80"/>
        <v>3.8787603388441374</v>
      </c>
      <c r="Q405" s="239"/>
      <c r="R405" s="239"/>
      <c r="S405" s="239"/>
      <c r="T405" s="239"/>
      <c r="U405" s="239"/>
      <c r="V405" s="239"/>
      <c r="W405" s="239"/>
      <c r="X405" s="239"/>
      <c r="Y405" s="239"/>
      <c r="AQ405" s="88"/>
    </row>
    <row r="406" spans="5:43" x14ac:dyDescent="0.25">
      <c r="E406" s="96"/>
      <c r="F406" s="109" t="s">
        <v>202</v>
      </c>
      <c r="G406" s="109" t="s">
        <v>169</v>
      </c>
      <c r="J406" s="239"/>
      <c r="K406" s="239"/>
      <c r="L406" s="264">
        <f t="shared" si="79"/>
        <v>0</v>
      </c>
      <c r="M406" s="239"/>
      <c r="N406" s="264">
        <f t="shared" si="80"/>
        <v>12408.018504205958</v>
      </c>
      <c r="O406" s="264">
        <f t="shared" si="80"/>
        <v>1112.2730463932019</v>
      </c>
      <c r="P406" s="264">
        <f t="shared" si="80"/>
        <v>4889.6907784630212</v>
      </c>
      <c r="Q406" s="239"/>
      <c r="R406" s="239"/>
      <c r="S406" s="239"/>
      <c r="T406" s="239"/>
      <c r="U406" s="239"/>
      <c r="V406" s="239"/>
      <c r="W406" s="239"/>
      <c r="X406" s="239"/>
      <c r="Y406" s="239"/>
      <c r="AQ406" s="88"/>
    </row>
    <row r="407" spans="5:43" x14ac:dyDescent="0.25">
      <c r="E407" s="96"/>
      <c r="F407" s="109" t="s">
        <v>203</v>
      </c>
      <c r="G407" s="109" t="s">
        <v>169</v>
      </c>
      <c r="J407" s="239"/>
      <c r="K407" s="239"/>
      <c r="L407" s="264">
        <f t="shared" si="79"/>
        <v>0</v>
      </c>
      <c r="M407" s="239"/>
      <c r="N407" s="264">
        <f t="shared" si="80"/>
        <v>7.2950729750142118</v>
      </c>
      <c r="O407" s="264">
        <f t="shared" si="80"/>
        <v>6.0910903878252354</v>
      </c>
      <c r="P407" s="264">
        <f t="shared" si="80"/>
        <v>6.2680566568396694</v>
      </c>
      <c r="Q407" s="239"/>
      <c r="R407" s="239"/>
      <c r="S407" s="239"/>
      <c r="T407" s="239"/>
      <c r="U407" s="239"/>
      <c r="V407" s="239"/>
      <c r="W407" s="239"/>
      <c r="X407" s="239"/>
      <c r="Y407" s="239"/>
      <c r="AQ407" s="88"/>
    </row>
    <row r="408" spans="5:43" x14ac:dyDescent="0.25">
      <c r="E408" s="96"/>
      <c r="F408" s="36" t="s">
        <v>204</v>
      </c>
      <c r="G408" s="36" t="s">
        <v>170</v>
      </c>
      <c r="H408" s="93"/>
      <c r="I408" s="93"/>
      <c r="J408" s="240"/>
      <c r="K408" s="240"/>
      <c r="L408" s="268">
        <f t="shared" si="79"/>
        <v>0</v>
      </c>
      <c r="M408" s="240"/>
      <c r="N408" s="268">
        <f t="shared" si="80"/>
        <v>1064.3207131868762</v>
      </c>
      <c r="O408" s="268">
        <f t="shared" si="80"/>
        <v>84.204078097328718</v>
      </c>
      <c r="P408" s="268">
        <f t="shared" si="80"/>
        <v>306.39529873378655</v>
      </c>
      <c r="Q408" s="240"/>
      <c r="R408" s="240"/>
      <c r="S408" s="240"/>
      <c r="T408" s="240"/>
      <c r="U408" s="240"/>
      <c r="V408" s="240"/>
      <c r="W408" s="240"/>
      <c r="X408" s="240"/>
      <c r="Y408" s="240"/>
      <c r="AQ408" s="88"/>
    </row>
    <row r="409" spans="5:43" x14ac:dyDescent="0.25">
      <c r="AQ409" s="88"/>
    </row>
    <row r="410" spans="5:43" x14ac:dyDescent="0.25">
      <c r="E410" s="96" t="s">
        <v>1086</v>
      </c>
      <c r="G410" s="108"/>
      <c r="I410" s="293" t="s">
        <v>359</v>
      </c>
      <c r="AQ410" s="88"/>
    </row>
    <row r="411" spans="5:43" x14ac:dyDescent="0.25">
      <c r="E411" s="96"/>
      <c r="F411" s="40" t="s">
        <v>199</v>
      </c>
      <c r="G411" s="40" t="s">
        <v>120</v>
      </c>
      <c r="H411" s="91"/>
      <c r="I411" s="91"/>
      <c r="J411" s="238"/>
      <c r="K411" s="238"/>
      <c r="L411" s="267">
        <f t="shared" ref="L411:L417" si="81">L76+L393+L402</f>
        <v>54576.937093186287</v>
      </c>
      <c r="M411" s="238"/>
      <c r="N411" s="267">
        <f t="shared" ref="N411:P417" si="82">N76+N393+N402</f>
        <v>93596.335622191487</v>
      </c>
      <c r="O411" s="267">
        <f t="shared" si="82"/>
        <v>1857.249611986759</v>
      </c>
      <c r="P411" s="267">
        <f t="shared" si="82"/>
        <v>100741.60862427407</v>
      </c>
      <c r="Q411" s="238"/>
      <c r="R411" s="238"/>
      <c r="S411" s="238"/>
      <c r="T411" s="238"/>
      <c r="U411" s="238"/>
      <c r="V411" s="238"/>
      <c r="W411" s="238"/>
      <c r="X411" s="238"/>
      <c r="Y411" s="238"/>
      <c r="AQ411" s="88"/>
    </row>
    <row r="412" spans="5:43" x14ac:dyDescent="0.25">
      <c r="E412" s="96"/>
      <c r="F412" s="109" t="s">
        <v>200</v>
      </c>
      <c r="G412" s="109" t="s">
        <v>120</v>
      </c>
      <c r="J412" s="239"/>
      <c r="K412" s="239"/>
      <c r="L412" s="264">
        <f t="shared" si="81"/>
        <v>343306.22437852377</v>
      </c>
      <c r="M412" s="239"/>
      <c r="N412" s="264">
        <f t="shared" si="82"/>
        <v>533747.50526961102</v>
      </c>
      <c r="O412" s="264">
        <f t="shared" si="82"/>
        <v>10173.180548908495</v>
      </c>
      <c r="P412" s="264">
        <f t="shared" si="82"/>
        <v>561311.09676423098</v>
      </c>
      <c r="Q412" s="239"/>
      <c r="R412" s="239"/>
      <c r="S412" s="239"/>
      <c r="T412" s="239"/>
      <c r="U412" s="239"/>
      <c r="V412" s="239"/>
      <c r="W412" s="239"/>
      <c r="X412" s="239"/>
      <c r="Y412" s="239"/>
      <c r="AQ412" s="88"/>
    </row>
    <row r="413" spans="5:43" x14ac:dyDescent="0.25">
      <c r="E413" s="96"/>
      <c r="F413" s="109" t="s">
        <v>201</v>
      </c>
      <c r="G413" s="109" t="s">
        <v>120</v>
      </c>
      <c r="J413" s="239"/>
      <c r="K413" s="239"/>
      <c r="L413" s="264">
        <f t="shared" si="81"/>
        <v>152491.41397557341</v>
      </c>
      <c r="M413" s="239"/>
      <c r="N413" s="264">
        <f t="shared" si="82"/>
        <v>280104.13014436862</v>
      </c>
      <c r="O413" s="264">
        <f t="shared" si="82"/>
        <v>6607.2222923684067</v>
      </c>
      <c r="P413" s="264">
        <f t="shared" si="82"/>
        <v>384708.54446243303</v>
      </c>
      <c r="Q413" s="239"/>
      <c r="R413" s="239"/>
      <c r="S413" s="239"/>
      <c r="T413" s="239"/>
      <c r="U413" s="239"/>
      <c r="V413" s="239"/>
      <c r="W413" s="239"/>
      <c r="X413" s="239"/>
      <c r="Y413" s="239"/>
      <c r="AQ413" s="88"/>
    </row>
    <row r="414" spans="5:43" x14ac:dyDescent="0.25">
      <c r="E414" s="96"/>
      <c r="F414" s="109" t="s">
        <v>74</v>
      </c>
      <c r="G414" s="109" t="s">
        <v>74</v>
      </c>
      <c r="J414" s="239"/>
      <c r="K414" s="239"/>
      <c r="L414" s="264">
        <f t="shared" si="81"/>
        <v>69794.959067042349</v>
      </c>
      <c r="M414" s="239"/>
      <c r="N414" s="264">
        <f t="shared" si="82"/>
        <v>5484.4381724793084</v>
      </c>
      <c r="O414" s="264">
        <f t="shared" si="82"/>
        <v>43.358927716929571</v>
      </c>
      <c r="P414" s="264">
        <f t="shared" si="82"/>
        <v>649.2545771605113</v>
      </c>
      <c r="Q414" s="239"/>
      <c r="R414" s="239"/>
      <c r="S414" s="239"/>
      <c r="T414" s="239"/>
      <c r="U414" s="239"/>
      <c r="V414" s="239"/>
      <c r="W414" s="239"/>
      <c r="X414" s="239"/>
      <c r="Y414" s="239"/>
      <c r="AQ414" s="88"/>
    </row>
    <row r="415" spans="5:43" x14ac:dyDescent="0.25">
      <c r="E415" s="96"/>
      <c r="F415" s="109" t="s">
        <v>202</v>
      </c>
      <c r="G415" s="109" t="s">
        <v>169</v>
      </c>
      <c r="J415" s="239"/>
      <c r="K415" s="239"/>
      <c r="L415" s="264">
        <f t="shared" si="81"/>
        <v>0</v>
      </c>
      <c r="M415" s="239"/>
      <c r="N415" s="264">
        <f t="shared" si="82"/>
        <v>608021.31232871988</v>
      </c>
      <c r="O415" s="264">
        <f t="shared" si="82"/>
        <v>7326.1303012358449</v>
      </c>
      <c r="P415" s="264">
        <f t="shared" si="82"/>
        <v>477304.13915289985</v>
      </c>
      <c r="Q415" s="239"/>
      <c r="R415" s="239"/>
      <c r="S415" s="239"/>
      <c r="T415" s="239"/>
      <c r="U415" s="239"/>
      <c r="V415" s="239"/>
      <c r="W415" s="239"/>
      <c r="X415" s="239"/>
      <c r="Y415" s="239"/>
      <c r="AQ415" s="88"/>
    </row>
    <row r="416" spans="5:43" x14ac:dyDescent="0.25">
      <c r="E416" s="96"/>
      <c r="F416" s="109" t="s">
        <v>203</v>
      </c>
      <c r="G416" s="109" t="s">
        <v>169</v>
      </c>
      <c r="J416" s="239"/>
      <c r="K416" s="239"/>
      <c r="L416" s="264">
        <f t="shared" si="81"/>
        <v>0</v>
      </c>
      <c r="M416" s="239"/>
      <c r="N416" s="264">
        <f t="shared" si="82"/>
        <v>8098.3996171422887</v>
      </c>
      <c r="O416" s="264">
        <f t="shared" si="82"/>
        <v>48.532059986991541</v>
      </c>
      <c r="P416" s="264">
        <f t="shared" si="82"/>
        <v>5671.4675427232078</v>
      </c>
      <c r="Q416" s="239"/>
      <c r="R416" s="239"/>
      <c r="S416" s="239"/>
      <c r="T416" s="239"/>
      <c r="U416" s="239"/>
      <c r="V416" s="239"/>
      <c r="W416" s="239"/>
      <c r="X416" s="239"/>
      <c r="Y416" s="239"/>
      <c r="AQ416" s="88"/>
    </row>
    <row r="417" spans="3:43" x14ac:dyDescent="0.25">
      <c r="E417" s="96"/>
      <c r="F417" s="36" t="s">
        <v>204</v>
      </c>
      <c r="G417" s="36" t="s">
        <v>170</v>
      </c>
      <c r="H417" s="93"/>
      <c r="I417" s="93"/>
      <c r="J417" s="240"/>
      <c r="K417" s="240"/>
      <c r="L417" s="268">
        <f t="shared" si="81"/>
        <v>0</v>
      </c>
      <c r="M417" s="240"/>
      <c r="N417" s="268">
        <f t="shared" si="82"/>
        <v>76373.416552975803</v>
      </c>
      <c r="O417" s="268">
        <f t="shared" si="82"/>
        <v>1327.6475720989113</v>
      </c>
      <c r="P417" s="268">
        <f t="shared" si="82"/>
        <v>73559.689508335403</v>
      </c>
      <c r="Q417" s="240"/>
      <c r="R417" s="240"/>
      <c r="S417" s="240"/>
      <c r="T417" s="240"/>
      <c r="U417" s="240"/>
      <c r="V417" s="240"/>
      <c r="W417" s="240"/>
      <c r="X417" s="240"/>
      <c r="Y417" s="240"/>
      <c r="AQ417" s="88"/>
    </row>
    <row r="418" spans="3:43" x14ac:dyDescent="0.25">
      <c r="AQ418" s="88"/>
    </row>
    <row r="419" spans="3:43" x14ac:dyDescent="0.25">
      <c r="C419" s="7" t="str">
        <f ca="1">INDEX('Version control'!$H$35:$H$61,MATCH($A$1,'Version control'!$F$35:$F$61,0),1)&amp;"-G: Residual band 3 volume discounting"</f>
        <v>Section 507-G: Residual band 3 volume discounting</v>
      </c>
      <c r="D419" s="7"/>
      <c r="E419" s="7"/>
      <c r="F419" s="7"/>
      <c r="G419" s="7"/>
      <c r="H419" s="7"/>
      <c r="I419" s="7"/>
      <c r="J419" s="7"/>
      <c r="K419" s="7"/>
      <c r="L419" s="7"/>
      <c r="M419" s="7"/>
      <c r="N419" s="7"/>
      <c r="O419" s="7"/>
      <c r="P419" s="7"/>
      <c r="Q419" s="7"/>
      <c r="R419" s="7"/>
      <c r="S419" s="7"/>
      <c r="T419" s="7"/>
      <c r="U419" s="7"/>
      <c r="V419" s="7"/>
      <c r="W419" s="7"/>
      <c r="X419" s="7"/>
      <c r="Y419" s="7"/>
      <c r="Z419" s="7"/>
      <c r="AA419" s="7"/>
      <c r="AQ419" s="88"/>
    </row>
    <row r="420" spans="3:43" x14ac:dyDescent="0.25">
      <c r="C420" s="96"/>
      <c r="AQ420" s="88"/>
    </row>
    <row r="421" spans="3:43" x14ac:dyDescent="0.25">
      <c r="E421" s="96" t="s">
        <v>1087</v>
      </c>
      <c r="G421" s="108"/>
      <c r="I421" s="293" t="s">
        <v>359</v>
      </c>
      <c r="AQ421" s="88"/>
    </row>
    <row r="422" spans="3:43" x14ac:dyDescent="0.25">
      <c r="E422" s="96"/>
      <c r="F422" s="40" t="s">
        <v>199</v>
      </c>
      <c r="G422" s="40" t="s">
        <v>120</v>
      </c>
      <c r="H422" s="91"/>
      <c r="I422" s="91"/>
      <c r="J422" s="238"/>
      <c r="K422" s="238"/>
      <c r="L422" s="267">
        <f t="shared" ref="L422:L428" si="83">(1 - L315) * L132</f>
        <v>72.434242468207088</v>
      </c>
      <c r="M422" s="238"/>
      <c r="N422" s="267">
        <f t="shared" ref="N422:P428" si="84">(1 - N315) * N132</f>
        <v>156.73598926944166</v>
      </c>
      <c r="O422" s="267">
        <f t="shared" si="84"/>
        <v>0</v>
      </c>
      <c r="P422" s="267">
        <f t="shared" si="84"/>
        <v>0</v>
      </c>
      <c r="Q422" s="238"/>
      <c r="R422" s="238"/>
      <c r="S422" s="238"/>
      <c r="T422" s="238"/>
      <c r="U422" s="238"/>
      <c r="V422" s="238"/>
      <c r="W422" s="238"/>
      <c r="X422" s="238"/>
      <c r="Y422" s="238"/>
      <c r="AQ422" s="88"/>
    </row>
    <row r="423" spans="3:43" x14ac:dyDescent="0.25">
      <c r="E423" s="96"/>
      <c r="F423" s="109" t="s">
        <v>200</v>
      </c>
      <c r="G423" s="109" t="s">
        <v>120</v>
      </c>
      <c r="J423" s="239"/>
      <c r="K423" s="239"/>
      <c r="L423" s="264">
        <f t="shared" si="83"/>
        <v>459.99610980363582</v>
      </c>
      <c r="M423" s="239"/>
      <c r="N423" s="264">
        <f t="shared" si="84"/>
        <v>918.3519633797564</v>
      </c>
      <c r="O423" s="264">
        <f t="shared" si="84"/>
        <v>0</v>
      </c>
      <c r="P423" s="264">
        <f t="shared" si="84"/>
        <v>0</v>
      </c>
      <c r="Q423" s="239"/>
      <c r="R423" s="239"/>
      <c r="S423" s="239"/>
      <c r="T423" s="239"/>
      <c r="U423" s="239"/>
      <c r="V423" s="239"/>
      <c r="W423" s="239"/>
      <c r="X423" s="239"/>
      <c r="Y423" s="239"/>
      <c r="AQ423" s="88"/>
    </row>
    <row r="424" spans="3:43" x14ac:dyDescent="0.25">
      <c r="E424" s="96"/>
      <c r="F424" s="109" t="s">
        <v>201</v>
      </c>
      <c r="G424" s="109" t="s">
        <v>120</v>
      </c>
      <c r="J424" s="239"/>
      <c r="K424" s="239"/>
      <c r="L424" s="264">
        <f t="shared" si="83"/>
        <v>206.95406449286864</v>
      </c>
      <c r="M424" s="239"/>
      <c r="N424" s="264">
        <f t="shared" si="84"/>
        <v>544.51434371670894</v>
      </c>
      <c r="O424" s="264">
        <f t="shared" si="84"/>
        <v>0</v>
      </c>
      <c r="P424" s="264">
        <f t="shared" si="84"/>
        <v>0</v>
      </c>
      <c r="Q424" s="239"/>
      <c r="R424" s="239"/>
      <c r="S424" s="239"/>
      <c r="T424" s="239"/>
      <c r="U424" s="239"/>
      <c r="V424" s="239"/>
      <c r="W424" s="239"/>
      <c r="X424" s="239"/>
      <c r="Y424" s="239"/>
      <c r="AQ424" s="88"/>
    </row>
    <row r="425" spans="3:43" x14ac:dyDescent="0.25">
      <c r="E425" s="96"/>
      <c r="F425" s="109" t="s">
        <v>74</v>
      </c>
      <c r="G425" s="109" t="s">
        <v>74</v>
      </c>
      <c r="J425" s="239"/>
      <c r="K425" s="239"/>
      <c r="L425" s="264">
        <f t="shared" si="83"/>
        <v>43.989722048992505</v>
      </c>
      <c r="M425" s="239"/>
      <c r="N425" s="264">
        <f t="shared" si="84"/>
        <v>11.439493672799983</v>
      </c>
      <c r="O425" s="264">
        <f t="shared" si="84"/>
        <v>0</v>
      </c>
      <c r="P425" s="264">
        <f t="shared" si="84"/>
        <v>0</v>
      </c>
      <c r="Q425" s="239"/>
      <c r="R425" s="239"/>
      <c r="S425" s="239"/>
      <c r="T425" s="239"/>
      <c r="U425" s="239"/>
      <c r="V425" s="239"/>
      <c r="W425" s="239"/>
      <c r="X425" s="239"/>
      <c r="Y425" s="239"/>
      <c r="AQ425" s="88"/>
    </row>
    <row r="426" spans="3:43" x14ac:dyDescent="0.25">
      <c r="E426" s="96"/>
      <c r="F426" s="109" t="s">
        <v>202</v>
      </c>
      <c r="G426" s="109" t="s">
        <v>169</v>
      </c>
      <c r="J426" s="239"/>
      <c r="K426" s="239"/>
      <c r="L426" s="264">
        <f t="shared" si="83"/>
        <v>0</v>
      </c>
      <c r="M426" s="239"/>
      <c r="N426" s="264">
        <f t="shared" si="84"/>
        <v>1968.1201806009853</v>
      </c>
      <c r="O426" s="264">
        <f t="shared" si="84"/>
        <v>0</v>
      </c>
      <c r="P426" s="264">
        <f t="shared" si="84"/>
        <v>0</v>
      </c>
      <c r="Q426" s="239"/>
      <c r="R426" s="239"/>
      <c r="S426" s="239"/>
      <c r="T426" s="239"/>
      <c r="U426" s="239"/>
      <c r="V426" s="239"/>
      <c r="W426" s="239"/>
      <c r="X426" s="239"/>
      <c r="Y426" s="239"/>
      <c r="AQ426" s="88"/>
    </row>
    <row r="427" spans="3:43" x14ac:dyDescent="0.25">
      <c r="E427" s="96"/>
      <c r="F427" s="109" t="s">
        <v>203</v>
      </c>
      <c r="G427" s="109" t="s">
        <v>169</v>
      </c>
      <c r="J427" s="239"/>
      <c r="K427" s="239"/>
      <c r="L427" s="264">
        <f t="shared" si="83"/>
        <v>0</v>
      </c>
      <c r="M427" s="239"/>
      <c r="N427" s="264">
        <f t="shared" si="84"/>
        <v>1.7788504886126026</v>
      </c>
      <c r="O427" s="264">
        <f t="shared" si="84"/>
        <v>0</v>
      </c>
      <c r="P427" s="264">
        <f t="shared" si="84"/>
        <v>0</v>
      </c>
      <c r="Q427" s="239"/>
      <c r="R427" s="239"/>
      <c r="S427" s="239"/>
      <c r="T427" s="239"/>
      <c r="U427" s="239"/>
      <c r="V427" s="239"/>
      <c r="W427" s="239"/>
      <c r="X427" s="239"/>
      <c r="Y427" s="239"/>
      <c r="AQ427" s="88"/>
    </row>
    <row r="428" spans="3:43" x14ac:dyDescent="0.25">
      <c r="E428" s="96"/>
      <c r="F428" s="36" t="s">
        <v>204</v>
      </c>
      <c r="G428" s="36" t="s">
        <v>170</v>
      </c>
      <c r="H428" s="93"/>
      <c r="I428" s="93"/>
      <c r="J428" s="240"/>
      <c r="K428" s="240"/>
      <c r="L428" s="268">
        <f t="shared" si="83"/>
        <v>0</v>
      </c>
      <c r="M428" s="240"/>
      <c r="N428" s="268">
        <f t="shared" si="84"/>
        <v>188.69360469482058</v>
      </c>
      <c r="O428" s="268">
        <f t="shared" si="84"/>
        <v>0</v>
      </c>
      <c r="P428" s="268">
        <f t="shared" si="84"/>
        <v>0</v>
      </c>
      <c r="Q428" s="240"/>
      <c r="R428" s="240"/>
      <c r="S428" s="240"/>
      <c r="T428" s="240"/>
      <c r="U428" s="240"/>
      <c r="V428" s="240"/>
      <c r="W428" s="240"/>
      <c r="X428" s="240"/>
      <c r="Y428" s="240"/>
      <c r="AQ428" s="88"/>
    </row>
    <row r="429" spans="3:43" x14ac:dyDescent="0.25">
      <c r="AQ429" s="88"/>
    </row>
    <row r="430" spans="3:43" x14ac:dyDescent="0.25">
      <c r="E430" s="96" t="s">
        <v>1088</v>
      </c>
      <c r="G430" s="108"/>
      <c r="I430" s="293" t="s">
        <v>359</v>
      </c>
      <c r="AQ430" s="88"/>
    </row>
    <row r="431" spans="3:43" x14ac:dyDescent="0.25">
      <c r="E431" s="96"/>
      <c r="F431" s="40" t="s">
        <v>199</v>
      </c>
      <c r="G431" s="40" t="s">
        <v>120</v>
      </c>
      <c r="H431" s="91"/>
      <c r="I431" s="91"/>
      <c r="J431" s="238"/>
      <c r="K431" s="238"/>
      <c r="L431" s="267">
        <f t="shared" ref="L431:L437" si="85">(1 - L324) * L179</f>
        <v>145.38870362603751</v>
      </c>
      <c r="M431" s="238"/>
      <c r="N431" s="267">
        <f t="shared" ref="N431:P437" si="86">(1 - N324) * N179</f>
        <v>929.79449638685594</v>
      </c>
      <c r="O431" s="267">
        <f t="shared" si="86"/>
        <v>118.2177386916</v>
      </c>
      <c r="P431" s="267">
        <f t="shared" si="86"/>
        <v>503.09884454644509</v>
      </c>
      <c r="Q431" s="238"/>
      <c r="R431" s="238"/>
      <c r="S431" s="238"/>
      <c r="T431" s="238"/>
      <c r="U431" s="238"/>
      <c r="V431" s="238"/>
      <c r="W431" s="238"/>
      <c r="X431" s="238"/>
      <c r="Y431" s="238"/>
      <c r="AQ431" s="88"/>
    </row>
    <row r="432" spans="3:43" x14ac:dyDescent="0.25">
      <c r="E432" s="96"/>
      <c r="F432" s="109" t="s">
        <v>200</v>
      </c>
      <c r="G432" s="109" t="s">
        <v>120</v>
      </c>
      <c r="J432" s="239"/>
      <c r="K432" s="239"/>
      <c r="L432" s="264">
        <f t="shared" si="85"/>
        <v>1002.8451656850739</v>
      </c>
      <c r="M432" s="239"/>
      <c r="N432" s="264">
        <f t="shared" si="86"/>
        <v>4999.2332368206407</v>
      </c>
      <c r="O432" s="264">
        <f t="shared" si="86"/>
        <v>671.23828261551625</v>
      </c>
      <c r="P432" s="264">
        <f t="shared" si="86"/>
        <v>2088.2984958005459</v>
      </c>
      <c r="Q432" s="239"/>
      <c r="R432" s="239"/>
      <c r="S432" s="239"/>
      <c r="T432" s="239"/>
      <c r="U432" s="239"/>
      <c r="V432" s="239"/>
      <c r="W432" s="239"/>
      <c r="X432" s="239"/>
      <c r="Y432" s="239"/>
      <c r="AQ432" s="88"/>
    </row>
    <row r="433" spans="3:43" x14ac:dyDescent="0.25">
      <c r="E433" s="96"/>
      <c r="F433" s="109" t="s">
        <v>201</v>
      </c>
      <c r="G433" s="109" t="s">
        <v>120</v>
      </c>
      <c r="J433" s="239"/>
      <c r="K433" s="239"/>
      <c r="L433" s="264">
        <f t="shared" si="85"/>
        <v>391.95013405007239</v>
      </c>
      <c r="M433" s="239"/>
      <c r="N433" s="264">
        <f t="shared" si="86"/>
        <v>2755.0795193716599</v>
      </c>
      <c r="O433" s="264">
        <f t="shared" si="86"/>
        <v>375.26462015706113</v>
      </c>
      <c r="P433" s="264">
        <f t="shared" si="86"/>
        <v>1489.1357756631903</v>
      </c>
      <c r="Q433" s="239"/>
      <c r="R433" s="239"/>
      <c r="S433" s="239"/>
      <c r="T433" s="239"/>
      <c r="U433" s="239"/>
      <c r="V433" s="239"/>
      <c r="W433" s="239"/>
      <c r="X433" s="239"/>
      <c r="Y433" s="239"/>
      <c r="AQ433" s="88"/>
    </row>
    <row r="434" spans="3:43" x14ac:dyDescent="0.25">
      <c r="E434" s="96"/>
      <c r="F434" s="109" t="s">
        <v>74</v>
      </c>
      <c r="G434" s="109" t="s">
        <v>74</v>
      </c>
      <c r="J434" s="239"/>
      <c r="K434" s="239"/>
      <c r="L434" s="264">
        <f t="shared" si="85"/>
        <v>114.15254776895993</v>
      </c>
      <c r="M434" s="239"/>
      <c r="N434" s="264">
        <f t="shared" si="86"/>
        <v>36.937985692623258</v>
      </c>
      <c r="O434" s="264">
        <f t="shared" si="86"/>
        <v>5.8268678429226677</v>
      </c>
      <c r="P434" s="264">
        <f t="shared" si="86"/>
        <v>1.6772963938352454</v>
      </c>
      <c r="Q434" s="239"/>
      <c r="R434" s="239"/>
      <c r="S434" s="239"/>
      <c r="T434" s="239"/>
      <c r="U434" s="239"/>
      <c r="V434" s="239"/>
      <c r="W434" s="239"/>
      <c r="X434" s="239"/>
      <c r="Y434" s="239"/>
      <c r="AQ434" s="88"/>
    </row>
    <row r="435" spans="3:43" x14ac:dyDescent="0.25">
      <c r="E435" s="96"/>
      <c r="F435" s="109" t="s">
        <v>202</v>
      </c>
      <c r="G435" s="109" t="s">
        <v>169</v>
      </c>
      <c r="J435" s="239"/>
      <c r="K435" s="239"/>
      <c r="L435" s="264">
        <f t="shared" si="85"/>
        <v>0</v>
      </c>
      <c r="M435" s="239"/>
      <c r="N435" s="264">
        <f t="shared" si="86"/>
        <v>10222.628764045925</v>
      </c>
      <c r="O435" s="264">
        <f t="shared" si="86"/>
        <v>1372.6337722028793</v>
      </c>
      <c r="P435" s="264">
        <f t="shared" si="86"/>
        <v>3881.0172353722937</v>
      </c>
      <c r="Q435" s="239"/>
      <c r="R435" s="239"/>
      <c r="S435" s="239"/>
      <c r="T435" s="239"/>
      <c r="U435" s="239"/>
      <c r="V435" s="239"/>
      <c r="W435" s="239"/>
      <c r="X435" s="239"/>
      <c r="Y435" s="239"/>
      <c r="AQ435" s="88"/>
    </row>
    <row r="436" spans="3:43" x14ac:dyDescent="0.25">
      <c r="E436" s="96"/>
      <c r="F436" s="109" t="s">
        <v>203</v>
      </c>
      <c r="G436" s="109" t="s">
        <v>169</v>
      </c>
      <c r="J436" s="239"/>
      <c r="K436" s="239"/>
      <c r="L436" s="264">
        <f t="shared" si="85"/>
        <v>0</v>
      </c>
      <c r="M436" s="239"/>
      <c r="N436" s="264">
        <f t="shared" si="86"/>
        <v>6.0102120902637006</v>
      </c>
      <c r="O436" s="264">
        <f t="shared" si="86"/>
        <v>7.5168920104475818</v>
      </c>
      <c r="P436" s="264">
        <f t="shared" si="86"/>
        <v>4.9750458709234238</v>
      </c>
      <c r="Q436" s="239"/>
      <c r="R436" s="239"/>
      <c r="S436" s="239"/>
      <c r="T436" s="239"/>
      <c r="U436" s="239"/>
      <c r="V436" s="239"/>
      <c r="W436" s="239"/>
      <c r="X436" s="239"/>
      <c r="Y436" s="239"/>
      <c r="AQ436" s="88"/>
    </row>
    <row r="437" spans="3:43" x14ac:dyDescent="0.25">
      <c r="E437" s="96"/>
      <c r="F437" s="36" t="s">
        <v>204</v>
      </c>
      <c r="G437" s="36" t="s">
        <v>170</v>
      </c>
      <c r="H437" s="93"/>
      <c r="I437" s="93"/>
      <c r="J437" s="240"/>
      <c r="K437" s="240"/>
      <c r="L437" s="268">
        <f t="shared" si="85"/>
        <v>0</v>
      </c>
      <c r="M437" s="240"/>
      <c r="N437" s="268">
        <f t="shared" si="86"/>
        <v>876.86487033412914</v>
      </c>
      <c r="O437" s="268">
        <f t="shared" si="86"/>
        <v>103.9145574267047</v>
      </c>
      <c r="P437" s="268">
        <f t="shared" si="86"/>
        <v>243.19031388660673</v>
      </c>
      <c r="Q437" s="240"/>
      <c r="R437" s="240"/>
      <c r="S437" s="240"/>
      <c r="T437" s="240"/>
      <c r="U437" s="240"/>
      <c r="V437" s="240"/>
      <c r="W437" s="240"/>
      <c r="X437" s="240"/>
      <c r="Y437" s="240"/>
      <c r="AQ437" s="88"/>
    </row>
    <row r="438" spans="3:43" x14ac:dyDescent="0.25">
      <c r="AQ438" s="88"/>
    </row>
    <row r="439" spans="3:43" x14ac:dyDescent="0.25">
      <c r="E439" s="96" t="s">
        <v>1089</v>
      </c>
      <c r="G439" s="108"/>
      <c r="I439" s="293" t="s">
        <v>359</v>
      </c>
      <c r="AQ439" s="88"/>
    </row>
    <row r="440" spans="3:43" x14ac:dyDescent="0.25">
      <c r="E440" s="96"/>
      <c r="F440" s="40" t="s">
        <v>199</v>
      </c>
      <c r="G440" s="40" t="s">
        <v>120</v>
      </c>
      <c r="H440" s="91"/>
      <c r="I440" s="91"/>
      <c r="J440" s="238"/>
      <c r="K440" s="238"/>
      <c r="L440" s="267">
        <f t="shared" ref="L440:L446" si="87">L85+L422+L431</f>
        <v>65482.507799267478</v>
      </c>
      <c r="M440" s="238"/>
      <c r="N440" s="267">
        <f t="shared" ref="N440:P446" si="88">N85+N422+N431</f>
        <v>77111.473714870997</v>
      </c>
      <c r="O440" s="267">
        <f t="shared" si="88"/>
        <v>2291.9943525472272</v>
      </c>
      <c r="P440" s="267">
        <f t="shared" si="88"/>
        <v>79960.050053069965</v>
      </c>
      <c r="Q440" s="238"/>
      <c r="R440" s="238"/>
      <c r="S440" s="238"/>
      <c r="T440" s="238"/>
      <c r="U440" s="238"/>
      <c r="V440" s="238"/>
      <c r="W440" s="238"/>
      <c r="X440" s="238"/>
      <c r="Y440" s="238"/>
      <c r="AQ440" s="88"/>
    </row>
    <row r="441" spans="3:43" x14ac:dyDescent="0.25">
      <c r="E441" s="96"/>
      <c r="F441" s="109" t="s">
        <v>200</v>
      </c>
      <c r="G441" s="109" t="s">
        <v>120</v>
      </c>
      <c r="J441" s="239"/>
      <c r="K441" s="239"/>
      <c r="L441" s="264">
        <f t="shared" si="87"/>
        <v>411905.71902230044</v>
      </c>
      <c r="M441" s="239"/>
      <c r="N441" s="264">
        <f t="shared" si="88"/>
        <v>439740.04376745177</v>
      </c>
      <c r="O441" s="264">
        <f t="shared" si="88"/>
        <v>12554.517290004314</v>
      </c>
      <c r="P441" s="264">
        <f t="shared" si="88"/>
        <v>445520.61462513614</v>
      </c>
      <c r="Q441" s="239"/>
      <c r="R441" s="239"/>
      <c r="S441" s="239"/>
      <c r="T441" s="239"/>
      <c r="U441" s="239"/>
      <c r="V441" s="239"/>
      <c r="W441" s="239"/>
      <c r="X441" s="239"/>
      <c r="Y441" s="239"/>
      <c r="AQ441" s="88"/>
    </row>
    <row r="442" spans="3:43" x14ac:dyDescent="0.25">
      <c r="E442" s="96"/>
      <c r="F442" s="109" t="s">
        <v>201</v>
      </c>
      <c r="G442" s="109" t="s">
        <v>120</v>
      </c>
      <c r="J442" s="239"/>
      <c r="K442" s="239"/>
      <c r="L442" s="264">
        <f t="shared" si="87"/>
        <v>182962.26825494511</v>
      </c>
      <c r="M442" s="239"/>
      <c r="N442" s="264">
        <f t="shared" si="88"/>
        <v>230770.16985196114</v>
      </c>
      <c r="O442" s="264">
        <f t="shared" si="88"/>
        <v>8153.840002116257</v>
      </c>
      <c r="P442" s="264">
        <f t="shared" si="88"/>
        <v>305348.65276756935</v>
      </c>
      <c r="Q442" s="239"/>
      <c r="R442" s="239"/>
      <c r="S442" s="239"/>
      <c r="T442" s="239"/>
      <c r="U442" s="239"/>
      <c r="V442" s="239"/>
      <c r="W442" s="239"/>
      <c r="X442" s="239"/>
      <c r="Y442" s="239"/>
      <c r="AQ442" s="88"/>
    </row>
    <row r="443" spans="3:43" x14ac:dyDescent="0.25">
      <c r="E443" s="96"/>
      <c r="F443" s="109" t="s">
        <v>74</v>
      </c>
      <c r="G443" s="109" t="s">
        <v>74</v>
      </c>
      <c r="J443" s="239"/>
      <c r="K443" s="239"/>
      <c r="L443" s="264">
        <f t="shared" si="87"/>
        <v>36948.348506129492</v>
      </c>
      <c r="M443" s="239"/>
      <c r="N443" s="264">
        <f t="shared" si="88"/>
        <v>2920.9310860795954</v>
      </c>
      <c r="O443" s="264">
        <f t="shared" si="88"/>
        <v>51.346098612153433</v>
      </c>
      <c r="P443" s="264">
        <f t="shared" si="88"/>
        <v>280.7578364784639</v>
      </c>
      <c r="Q443" s="239"/>
      <c r="R443" s="239"/>
      <c r="S443" s="239"/>
      <c r="T443" s="239"/>
      <c r="U443" s="239"/>
      <c r="V443" s="239"/>
      <c r="W443" s="239"/>
      <c r="X443" s="239"/>
      <c r="Y443" s="239"/>
      <c r="AQ443" s="88"/>
    </row>
    <row r="444" spans="3:43" x14ac:dyDescent="0.25">
      <c r="E444" s="96"/>
      <c r="F444" s="109" t="s">
        <v>202</v>
      </c>
      <c r="G444" s="109" t="s">
        <v>169</v>
      </c>
      <c r="J444" s="239"/>
      <c r="K444" s="239"/>
      <c r="L444" s="264">
        <f t="shared" si="87"/>
        <v>0</v>
      </c>
      <c r="M444" s="239"/>
      <c r="N444" s="264">
        <f t="shared" si="88"/>
        <v>500932.21205768047</v>
      </c>
      <c r="O444" s="264">
        <f t="shared" si="88"/>
        <v>9041.0299014656011</v>
      </c>
      <c r="P444" s="264">
        <f t="shared" si="88"/>
        <v>378843.09550331393</v>
      </c>
      <c r="Q444" s="239"/>
      <c r="R444" s="239"/>
      <c r="S444" s="239"/>
      <c r="T444" s="239"/>
      <c r="U444" s="239"/>
      <c r="V444" s="239"/>
      <c r="W444" s="239"/>
      <c r="X444" s="239"/>
      <c r="Y444" s="239"/>
      <c r="AQ444" s="88"/>
    </row>
    <row r="445" spans="3:43" x14ac:dyDescent="0.25">
      <c r="E445" s="96"/>
      <c r="F445" s="109" t="s">
        <v>203</v>
      </c>
      <c r="G445" s="109" t="s">
        <v>169</v>
      </c>
      <c r="J445" s="239"/>
      <c r="K445" s="239"/>
      <c r="L445" s="264">
        <f t="shared" si="87"/>
        <v>0</v>
      </c>
      <c r="M445" s="239"/>
      <c r="N445" s="264">
        <f t="shared" si="88"/>
        <v>6672.0510483502985</v>
      </c>
      <c r="O445" s="264">
        <f t="shared" si="88"/>
        <v>59.892438092193778</v>
      </c>
      <c r="P445" s="264">
        <f t="shared" si="88"/>
        <v>4501.5245913121053</v>
      </c>
      <c r="Q445" s="239"/>
      <c r="R445" s="239"/>
      <c r="S445" s="239"/>
      <c r="T445" s="239"/>
      <c r="U445" s="239"/>
      <c r="V445" s="239"/>
      <c r="W445" s="239"/>
      <c r="X445" s="239"/>
      <c r="Y445" s="239"/>
      <c r="AQ445" s="88"/>
    </row>
    <row r="446" spans="3:43" x14ac:dyDescent="0.25">
      <c r="E446" s="96"/>
      <c r="F446" s="36" t="s">
        <v>204</v>
      </c>
      <c r="G446" s="36" t="s">
        <v>170</v>
      </c>
      <c r="H446" s="93"/>
      <c r="I446" s="93"/>
      <c r="J446" s="240"/>
      <c r="K446" s="240"/>
      <c r="L446" s="268">
        <f t="shared" si="87"/>
        <v>0</v>
      </c>
      <c r="M446" s="240"/>
      <c r="N446" s="268">
        <f t="shared" si="88"/>
        <v>62921.979411802487</v>
      </c>
      <c r="O446" s="268">
        <f t="shared" si="88"/>
        <v>1638.42313805552</v>
      </c>
      <c r="P446" s="268">
        <f t="shared" si="88"/>
        <v>58385.373583934743</v>
      </c>
      <c r="Q446" s="240"/>
      <c r="R446" s="240"/>
      <c r="S446" s="240"/>
      <c r="T446" s="240"/>
      <c r="U446" s="240"/>
      <c r="V446" s="240"/>
      <c r="W446" s="240"/>
      <c r="X446" s="240"/>
      <c r="Y446" s="240"/>
      <c r="AQ446" s="88"/>
    </row>
    <row r="447" spans="3:43" x14ac:dyDescent="0.25">
      <c r="AQ447" s="88"/>
    </row>
    <row r="448" spans="3:43" x14ac:dyDescent="0.25">
      <c r="C448" s="7" t="str">
        <f ca="1">INDEX('Version control'!$H$35:$H$61,MATCH($A$1,'Version control'!$F$35:$F$61,0),1)&amp;"-H: Residual band 4 volume discounting"</f>
        <v>Section 507-H: Residual band 4 volume discounting</v>
      </c>
      <c r="D448" s="7"/>
      <c r="E448" s="7"/>
      <c r="F448" s="7"/>
      <c r="G448" s="7"/>
      <c r="H448" s="7"/>
      <c r="I448" s="7"/>
      <c r="J448" s="7"/>
      <c r="K448" s="7"/>
      <c r="L448" s="7"/>
      <c r="M448" s="7"/>
      <c r="N448" s="7"/>
      <c r="O448" s="7"/>
      <c r="P448" s="7"/>
      <c r="Q448" s="7"/>
      <c r="R448" s="7"/>
      <c r="S448" s="7"/>
      <c r="T448" s="7"/>
      <c r="U448" s="7"/>
      <c r="V448" s="7"/>
      <c r="W448" s="7"/>
      <c r="X448" s="7"/>
      <c r="Y448" s="7"/>
      <c r="Z448" s="7"/>
      <c r="AA448" s="7"/>
      <c r="AQ448" s="88"/>
    </row>
    <row r="449" spans="3:43" x14ac:dyDescent="0.25">
      <c r="C449" s="96"/>
      <c r="AQ449" s="88"/>
    </row>
    <row r="450" spans="3:43" x14ac:dyDescent="0.25">
      <c r="E450" s="96" t="s">
        <v>1090</v>
      </c>
      <c r="G450" s="108"/>
      <c r="I450" s="293" t="s">
        <v>359</v>
      </c>
      <c r="AQ450" s="88"/>
    </row>
    <row r="451" spans="3:43" x14ac:dyDescent="0.25">
      <c r="E451" s="96"/>
      <c r="F451" s="40" t="s">
        <v>199</v>
      </c>
      <c r="G451" s="40" t="s">
        <v>120</v>
      </c>
      <c r="H451" s="91"/>
      <c r="I451" s="91"/>
      <c r="J451" s="238"/>
      <c r="K451" s="238"/>
      <c r="L451" s="267">
        <f t="shared" ref="L451:L457" si="89">(1 - L315) * L141</f>
        <v>182.3044303378166</v>
      </c>
      <c r="M451" s="238"/>
      <c r="N451" s="267">
        <f t="shared" ref="N451:P457" si="90">(1 - N315) * N141</f>
        <v>515.64543260864548</v>
      </c>
      <c r="O451" s="267">
        <f t="shared" si="90"/>
        <v>0</v>
      </c>
      <c r="P451" s="267">
        <f t="shared" si="90"/>
        <v>0</v>
      </c>
      <c r="Q451" s="238"/>
      <c r="R451" s="238"/>
      <c r="S451" s="238"/>
      <c r="T451" s="238"/>
      <c r="U451" s="238"/>
      <c r="V451" s="238"/>
      <c r="W451" s="238"/>
      <c r="X451" s="238"/>
      <c r="Y451" s="238"/>
      <c r="AQ451" s="88"/>
    </row>
    <row r="452" spans="3:43" x14ac:dyDescent="0.25">
      <c r="E452" s="96"/>
      <c r="F452" s="109" t="s">
        <v>200</v>
      </c>
      <c r="G452" s="109" t="s">
        <v>120</v>
      </c>
      <c r="J452" s="239"/>
      <c r="K452" s="239"/>
      <c r="L452" s="264">
        <f t="shared" si="89"/>
        <v>1157.7304586593998</v>
      </c>
      <c r="M452" s="239"/>
      <c r="N452" s="264">
        <f t="shared" si="90"/>
        <v>3021.2843754084693</v>
      </c>
      <c r="O452" s="264">
        <f t="shared" si="90"/>
        <v>0</v>
      </c>
      <c r="P452" s="264">
        <f t="shared" si="90"/>
        <v>0</v>
      </c>
      <c r="Q452" s="239"/>
      <c r="R452" s="239"/>
      <c r="S452" s="239"/>
      <c r="T452" s="239"/>
      <c r="U452" s="239"/>
      <c r="V452" s="239"/>
      <c r="W452" s="239"/>
      <c r="X452" s="239"/>
      <c r="Y452" s="239"/>
      <c r="AQ452" s="88"/>
    </row>
    <row r="453" spans="3:43" x14ac:dyDescent="0.25">
      <c r="E453" s="96"/>
      <c r="F453" s="109" t="s">
        <v>201</v>
      </c>
      <c r="G453" s="109" t="s">
        <v>120</v>
      </c>
      <c r="J453" s="239"/>
      <c r="K453" s="239"/>
      <c r="L453" s="264">
        <f t="shared" si="89"/>
        <v>520.86750061654993</v>
      </c>
      <c r="M453" s="239"/>
      <c r="N453" s="264">
        <f t="shared" si="90"/>
        <v>1791.3967024174533</v>
      </c>
      <c r="O453" s="264">
        <f t="shared" si="90"/>
        <v>0</v>
      </c>
      <c r="P453" s="264">
        <f t="shared" si="90"/>
        <v>0</v>
      </c>
      <c r="Q453" s="239"/>
      <c r="R453" s="239"/>
      <c r="S453" s="239"/>
      <c r="T453" s="239"/>
      <c r="U453" s="239"/>
      <c r="V453" s="239"/>
      <c r="W453" s="239"/>
      <c r="X453" s="239"/>
      <c r="Y453" s="239"/>
      <c r="AQ453" s="88"/>
    </row>
    <row r="454" spans="3:43" x14ac:dyDescent="0.25">
      <c r="E454" s="96"/>
      <c r="F454" s="109" t="s">
        <v>74</v>
      </c>
      <c r="G454" s="109" t="s">
        <v>74</v>
      </c>
      <c r="J454" s="239"/>
      <c r="K454" s="239"/>
      <c r="L454" s="264">
        <f t="shared" si="89"/>
        <v>40.693283194457095</v>
      </c>
      <c r="M454" s="239"/>
      <c r="N454" s="264">
        <f t="shared" si="90"/>
        <v>15.568055114429319</v>
      </c>
      <c r="O454" s="264">
        <f t="shared" si="90"/>
        <v>0</v>
      </c>
      <c r="P454" s="264">
        <f t="shared" si="90"/>
        <v>0</v>
      </c>
      <c r="Q454" s="239"/>
      <c r="R454" s="239"/>
      <c r="S454" s="239"/>
      <c r="T454" s="239"/>
      <c r="U454" s="239"/>
      <c r="V454" s="239"/>
      <c r="W454" s="239"/>
      <c r="X454" s="239"/>
      <c r="Y454" s="239"/>
      <c r="AQ454" s="88"/>
    </row>
    <row r="455" spans="3:43" x14ac:dyDescent="0.25">
      <c r="E455" s="96"/>
      <c r="F455" s="109" t="s">
        <v>202</v>
      </c>
      <c r="G455" s="109" t="s">
        <v>169</v>
      </c>
      <c r="J455" s="239"/>
      <c r="K455" s="239"/>
      <c r="L455" s="264">
        <f t="shared" si="89"/>
        <v>0</v>
      </c>
      <c r="M455" s="239"/>
      <c r="N455" s="264">
        <f t="shared" si="90"/>
        <v>6474.9148340601532</v>
      </c>
      <c r="O455" s="264">
        <f t="shared" si="90"/>
        <v>0</v>
      </c>
      <c r="P455" s="264">
        <f t="shared" si="90"/>
        <v>0</v>
      </c>
      <c r="Q455" s="239"/>
      <c r="R455" s="239"/>
      <c r="S455" s="239"/>
      <c r="T455" s="239"/>
      <c r="U455" s="239"/>
      <c r="V455" s="239"/>
      <c r="W455" s="239"/>
      <c r="X455" s="239"/>
      <c r="Y455" s="239"/>
      <c r="AQ455" s="88"/>
    </row>
    <row r="456" spans="3:43" x14ac:dyDescent="0.25">
      <c r="E456" s="96"/>
      <c r="F456" s="109" t="s">
        <v>203</v>
      </c>
      <c r="G456" s="109" t="s">
        <v>169</v>
      </c>
      <c r="J456" s="239"/>
      <c r="K456" s="239"/>
      <c r="L456" s="264">
        <f t="shared" si="89"/>
        <v>0</v>
      </c>
      <c r="M456" s="239"/>
      <c r="N456" s="264">
        <f t="shared" si="90"/>
        <v>5.8522368348338283</v>
      </c>
      <c r="O456" s="264">
        <f t="shared" si="90"/>
        <v>0</v>
      </c>
      <c r="P456" s="264">
        <f t="shared" si="90"/>
        <v>0</v>
      </c>
      <c r="Q456" s="239"/>
      <c r="R456" s="239"/>
      <c r="S456" s="239"/>
      <c r="T456" s="239"/>
      <c r="U456" s="239"/>
      <c r="V456" s="239"/>
      <c r="W456" s="239"/>
      <c r="X456" s="239"/>
      <c r="Y456" s="239"/>
      <c r="AQ456" s="88"/>
    </row>
    <row r="457" spans="3:43" x14ac:dyDescent="0.25">
      <c r="E457" s="96"/>
      <c r="F457" s="36" t="s">
        <v>204</v>
      </c>
      <c r="G457" s="36" t="s">
        <v>170</v>
      </c>
      <c r="H457" s="93"/>
      <c r="I457" s="93"/>
      <c r="J457" s="240"/>
      <c r="K457" s="240"/>
      <c r="L457" s="268">
        <f t="shared" si="89"/>
        <v>0</v>
      </c>
      <c r="M457" s="240"/>
      <c r="N457" s="268">
        <f t="shared" si="90"/>
        <v>620.78273073633886</v>
      </c>
      <c r="O457" s="268">
        <f t="shared" si="90"/>
        <v>0</v>
      </c>
      <c r="P457" s="268">
        <f t="shared" si="90"/>
        <v>0</v>
      </c>
      <c r="Q457" s="240"/>
      <c r="R457" s="240"/>
      <c r="S457" s="240"/>
      <c r="T457" s="240"/>
      <c r="U457" s="240"/>
      <c r="V457" s="240"/>
      <c r="W457" s="240"/>
      <c r="X457" s="240"/>
      <c r="Y457" s="240"/>
      <c r="AQ457" s="88"/>
    </row>
    <row r="458" spans="3:43" x14ac:dyDescent="0.25">
      <c r="AQ458" s="88"/>
    </row>
    <row r="459" spans="3:43" x14ac:dyDescent="0.25">
      <c r="E459" s="96" t="s">
        <v>1091</v>
      </c>
      <c r="G459" s="108"/>
      <c r="I459" s="293" t="s">
        <v>359</v>
      </c>
      <c r="AQ459" s="88"/>
    </row>
    <row r="460" spans="3:43" x14ac:dyDescent="0.25">
      <c r="E460" s="96"/>
      <c r="F460" s="40" t="s">
        <v>199</v>
      </c>
      <c r="G460" s="40" t="s">
        <v>120</v>
      </c>
      <c r="H460" s="91"/>
      <c r="I460" s="91"/>
      <c r="J460" s="238"/>
      <c r="K460" s="238"/>
      <c r="L460" s="267">
        <f t="shared" ref="L460:L466" si="91">(1 - L324) * L188</f>
        <v>365.91816092688521</v>
      </c>
      <c r="M460" s="238"/>
      <c r="N460" s="267">
        <f t="shared" ref="N460:P466" si="92">(1 - N324) * N188</f>
        <v>3058.9291429573018</v>
      </c>
      <c r="O460" s="267">
        <f t="shared" si="92"/>
        <v>1572.7450412162054</v>
      </c>
      <c r="P460" s="267">
        <f t="shared" si="92"/>
        <v>1335.9627076966424</v>
      </c>
      <c r="Q460" s="238"/>
      <c r="R460" s="238"/>
      <c r="S460" s="238"/>
      <c r="T460" s="238"/>
      <c r="U460" s="238"/>
      <c r="V460" s="238"/>
      <c r="W460" s="238"/>
      <c r="X460" s="238"/>
      <c r="Y460" s="238"/>
      <c r="AQ460" s="88"/>
    </row>
    <row r="461" spans="3:43" x14ac:dyDescent="0.25">
      <c r="E461" s="96"/>
      <c r="F461" s="109" t="s">
        <v>200</v>
      </c>
      <c r="G461" s="109" t="s">
        <v>120</v>
      </c>
      <c r="J461" s="239"/>
      <c r="K461" s="239"/>
      <c r="L461" s="264">
        <f t="shared" si="91"/>
        <v>2523.987418347001</v>
      </c>
      <c r="M461" s="239"/>
      <c r="N461" s="264">
        <f t="shared" si="92"/>
        <v>16446.967905248617</v>
      </c>
      <c r="O461" s="264">
        <f t="shared" si="92"/>
        <v>8930.0192352016893</v>
      </c>
      <c r="P461" s="264">
        <f t="shared" si="92"/>
        <v>5545.409104335492</v>
      </c>
      <c r="Q461" s="239"/>
      <c r="R461" s="239"/>
      <c r="S461" s="239"/>
      <c r="T461" s="239"/>
      <c r="U461" s="239"/>
      <c r="V461" s="239"/>
      <c r="W461" s="239"/>
      <c r="X461" s="239"/>
      <c r="Y461" s="239"/>
      <c r="AQ461" s="88"/>
    </row>
    <row r="462" spans="3:43" x14ac:dyDescent="0.25">
      <c r="E462" s="96"/>
      <c r="F462" s="109" t="s">
        <v>201</v>
      </c>
      <c r="G462" s="109" t="s">
        <v>120</v>
      </c>
      <c r="J462" s="239"/>
      <c r="K462" s="239"/>
      <c r="L462" s="264">
        <f t="shared" si="91"/>
        <v>986.47053484672074</v>
      </c>
      <c r="M462" s="239"/>
      <c r="N462" s="264">
        <f t="shared" si="92"/>
        <v>9063.9308639920491</v>
      </c>
      <c r="O462" s="264">
        <f t="shared" si="92"/>
        <v>4992.4451019619883</v>
      </c>
      <c r="P462" s="264">
        <f t="shared" si="92"/>
        <v>3954.3518824346565</v>
      </c>
      <c r="Q462" s="239"/>
      <c r="R462" s="239"/>
      <c r="S462" s="239"/>
      <c r="T462" s="239"/>
      <c r="U462" s="239"/>
      <c r="V462" s="239"/>
      <c r="W462" s="239"/>
      <c r="X462" s="239"/>
      <c r="Y462" s="239"/>
      <c r="AQ462" s="88"/>
    </row>
    <row r="463" spans="3:43" x14ac:dyDescent="0.25">
      <c r="E463" s="96"/>
      <c r="F463" s="109" t="s">
        <v>74</v>
      </c>
      <c r="G463" s="109" t="s">
        <v>74</v>
      </c>
      <c r="J463" s="239"/>
      <c r="K463" s="239"/>
      <c r="L463" s="264">
        <f t="shared" si="91"/>
        <v>105.59834746301763</v>
      </c>
      <c r="M463" s="239"/>
      <c r="N463" s="264">
        <f t="shared" si="92"/>
        <v>50.269060285953017</v>
      </c>
      <c r="O463" s="264">
        <f t="shared" si="92"/>
        <v>22.271583755171083</v>
      </c>
      <c r="P463" s="264">
        <f t="shared" si="92"/>
        <v>1.695391707627659</v>
      </c>
      <c r="Q463" s="239"/>
      <c r="R463" s="239"/>
      <c r="S463" s="239"/>
      <c r="T463" s="239"/>
      <c r="U463" s="239"/>
      <c r="V463" s="239"/>
      <c r="W463" s="239"/>
      <c r="X463" s="239"/>
      <c r="Y463" s="239"/>
      <c r="AQ463" s="88"/>
    </row>
    <row r="464" spans="3:43" x14ac:dyDescent="0.25">
      <c r="E464" s="96"/>
      <c r="F464" s="109" t="s">
        <v>202</v>
      </c>
      <c r="G464" s="109" t="s">
        <v>169</v>
      </c>
      <c r="J464" s="239"/>
      <c r="K464" s="239"/>
      <c r="L464" s="264">
        <f t="shared" si="91"/>
        <v>0</v>
      </c>
      <c r="M464" s="239"/>
      <c r="N464" s="264">
        <f t="shared" si="92"/>
        <v>33631.406902803559</v>
      </c>
      <c r="O464" s="264">
        <f t="shared" si="92"/>
        <v>18261.24389225326</v>
      </c>
      <c r="P464" s="264">
        <f t="shared" si="92"/>
        <v>10305.915727275433</v>
      </c>
      <c r="Q464" s="239"/>
      <c r="R464" s="239"/>
      <c r="S464" s="239"/>
      <c r="T464" s="239"/>
      <c r="U464" s="239"/>
      <c r="V464" s="239"/>
      <c r="W464" s="239"/>
      <c r="X464" s="239"/>
      <c r="Y464" s="239"/>
      <c r="AQ464" s="88"/>
    </row>
    <row r="465" spans="3:43" x14ac:dyDescent="0.25">
      <c r="E465" s="96"/>
      <c r="F465" s="109" t="s">
        <v>203</v>
      </c>
      <c r="G465" s="109" t="s">
        <v>169</v>
      </c>
      <c r="J465" s="239"/>
      <c r="K465" s="239"/>
      <c r="L465" s="264">
        <f t="shared" si="91"/>
        <v>0</v>
      </c>
      <c r="M465" s="239"/>
      <c r="N465" s="264">
        <f t="shared" si="92"/>
        <v>19.772985309877182</v>
      </c>
      <c r="O465" s="264">
        <f t="shared" si="92"/>
        <v>100.0032208840514</v>
      </c>
      <c r="P465" s="264">
        <f t="shared" si="92"/>
        <v>13.211073379875888</v>
      </c>
      <c r="Q465" s="239"/>
      <c r="R465" s="239"/>
      <c r="S465" s="239"/>
      <c r="T465" s="239"/>
      <c r="U465" s="239"/>
      <c r="V465" s="239"/>
      <c r="W465" s="239"/>
      <c r="X465" s="239"/>
      <c r="Y465" s="239"/>
      <c r="AQ465" s="88"/>
    </row>
    <row r="466" spans="3:43" x14ac:dyDescent="0.25">
      <c r="E466" s="96"/>
      <c r="F466" s="36" t="s">
        <v>204</v>
      </c>
      <c r="G466" s="36" t="s">
        <v>170</v>
      </c>
      <c r="H466" s="93"/>
      <c r="I466" s="93"/>
      <c r="J466" s="240"/>
      <c r="K466" s="240"/>
      <c r="L466" s="268">
        <f t="shared" si="91"/>
        <v>0</v>
      </c>
      <c r="M466" s="240"/>
      <c r="N466" s="268">
        <f t="shared" si="92"/>
        <v>2884.7960670059106</v>
      </c>
      <c r="O466" s="268">
        <f t="shared" si="92"/>
        <v>1382.4583917086807</v>
      </c>
      <c r="P466" s="268">
        <f t="shared" si="92"/>
        <v>645.78401192403055</v>
      </c>
      <c r="Q466" s="240"/>
      <c r="R466" s="240"/>
      <c r="S466" s="240"/>
      <c r="T466" s="240"/>
      <c r="U466" s="240"/>
      <c r="V466" s="240"/>
      <c r="W466" s="240"/>
      <c r="X466" s="240"/>
      <c r="Y466" s="240"/>
      <c r="AQ466" s="88"/>
    </row>
    <row r="467" spans="3:43" x14ac:dyDescent="0.25">
      <c r="AQ467" s="88"/>
    </row>
    <row r="468" spans="3:43" x14ac:dyDescent="0.25">
      <c r="E468" s="96" t="s">
        <v>1092</v>
      </c>
      <c r="G468" s="108"/>
      <c r="I468" s="293" t="s">
        <v>359</v>
      </c>
      <c r="AQ468" s="88"/>
    </row>
    <row r="469" spans="3:43" x14ac:dyDescent="0.25">
      <c r="E469" s="96"/>
      <c r="F469" s="40" t="s">
        <v>199</v>
      </c>
      <c r="G469" s="40" t="s">
        <v>120</v>
      </c>
      <c r="H469" s="91"/>
      <c r="I469" s="91"/>
      <c r="J469" s="238"/>
      <c r="K469" s="238"/>
      <c r="L469" s="267">
        <f t="shared" ref="L469:L475" si="93">L94+L451+L460</f>
        <v>164808.1194012186</v>
      </c>
      <c r="M469" s="238"/>
      <c r="N469" s="267">
        <f t="shared" ref="N469:P475" si="94">N94+N451+N460</f>
        <v>253688.89052303429</v>
      </c>
      <c r="O469" s="267">
        <f t="shared" si="94"/>
        <v>30492.23231944914</v>
      </c>
      <c r="P469" s="267">
        <f t="shared" si="94"/>
        <v>212331.32640716422</v>
      </c>
      <c r="Q469" s="238"/>
      <c r="R469" s="238"/>
      <c r="S469" s="238"/>
      <c r="T469" s="238"/>
      <c r="U469" s="238"/>
      <c r="V469" s="238"/>
      <c r="W469" s="238"/>
      <c r="X469" s="238"/>
      <c r="Y469" s="238"/>
      <c r="AQ469" s="88"/>
    </row>
    <row r="470" spans="3:43" x14ac:dyDescent="0.25">
      <c r="E470" s="96"/>
      <c r="F470" s="109" t="s">
        <v>200</v>
      </c>
      <c r="G470" s="109" t="s">
        <v>120</v>
      </c>
      <c r="J470" s="239"/>
      <c r="K470" s="239"/>
      <c r="L470" s="264">
        <f t="shared" si="93"/>
        <v>1036695.2825137753</v>
      </c>
      <c r="M470" s="239"/>
      <c r="N470" s="264">
        <f t="shared" si="94"/>
        <v>1446699.9325471518</v>
      </c>
      <c r="O470" s="264">
        <f t="shared" si="94"/>
        <v>167022.77535715024</v>
      </c>
      <c r="P470" s="264">
        <f t="shared" si="94"/>
        <v>1183065.5806531508</v>
      </c>
      <c r="Q470" s="239"/>
      <c r="R470" s="239"/>
      <c r="S470" s="239"/>
      <c r="T470" s="239"/>
      <c r="U470" s="239"/>
      <c r="V470" s="239"/>
      <c r="W470" s="239"/>
      <c r="X470" s="239"/>
      <c r="Y470" s="239"/>
      <c r="AQ470" s="88"/>
    </row>
    <row r="471" spans="3:43" x14ac:dyDescent="0.25">
      <c r="E471" s="96"/>
      <c r="F471" s="109" t="s">
        <v>201</v>
      </c>
      <c r="G471" s="109" t="s">
        <v>120</v>
      </c>
      <c r="J471" s="239"/>
      <c r="K471" s="239"/>
      <c r="L471" s="264">
        <f t="shared" si="93"/>
        <v>460484.30895336129</v>
      </c>
      <c r="M471" s="239"/>
      <c r="N471" s="264">
        <f t="shared" si="94"/>
        <v>759210.3423159708</v>
      </c>
      <c r="O471" s="264">
        <f t="shared" si="94"/>
        <v>108477.04897869006</v>
      </c>
      <c r="P471" s="264">
        <f t="shared" si="94"/>
        <v>810843.47015474841</v>
      </c>
      <c r="Q471" s="239"/>
      <c r="R471" s="239"/>
      <c r="S471" s="239"/>
      <c r="T471" s="239"/>
      <c r="U471" s="239"/>
      <c r="V471" s="239"/>
      <c r="W471" s="239"/>
      <c r="X471" s="239"/>
      <c r="Y471" s="239"/>
      <c r="AQ471" s="88"/>
    </row>
    <row r="472" spans="3:43" x14ac:dyDescent="0.25">
      <c r="E472" s="96"/>
      <c r="F472" s="109" t="s">
        <v>74</v>
      </c>
      <c r="G472" s="109" t="s">
        <v>74</v>
      </c>
      <c r="J472" s="239"/>
      <c r="K472" s="239"/>
      <c r="L472" s="264">
        <f t="shared" si="93"/>
        <v>34179.566028011744</v>
      </c>
      <c r="M472" s="239"/>
      <c r="N472" s="264">
        <f t="shared" si="94"/>
        <v>3975.1074159567052</v>
      </c>
      <c r="O472" s="264">
        <f t="shared" si="94"/>
        <v>196.25619913978647</v>
      </c>
      <c r="P472" s="264">
        <f t="shared" si="94"/>
        <v>283.78675919565893</v>
      </c>
      <c r="Q472" s="239"/>
      <c r="R472" s="239"/>
      <c r="S472" s="239"/>
      <c r="T472" s="239"/>
      <c r="U472" s="239"/>
      <c r="V472" s="239"/>
      <c r="W472" s="239"/>
      <c r="X472" s="239"/>
      <c r="Y472" s="239"/>
      <c r="AQ472" s="88"/>
    </row>
    <row r="473" spans="3:43" x14ac:dyDescent="0.25">
      <c r="E473" s="96"/>
      <c r="F473" s="109" t="s">
        <v>202</v>
      </c>
      <c r="G473" s="109" t="s">
        <v>169</v>
      </c>
      <c r="J473" s="239"/>
      <c r="K473" s="239"/>
      <c r="L473" s="264">
        <f t="shared" si="93"/>
        <v>0</v>
      </c>
      <c r="M473" s="239"/>
      <c r="N473" s="264">
        <f t="shared" si="94"/>
        <v>1648015.9304704696</v>
      </c>
      <c r="O473" s="264">
        <f t="shared" si="94"/>
        <v>120280.04513021372</v>
      </c>
      <c r="P473" s="264">
        <f t="shared" si="94"/>
        <v>1006005.5854770722</v>
      </c>
      <c r="Q473" s="239"/>
      <c r="R473" s="239"/>
      <c r="S473" s="239"/>
      <c r="T473" s="239"/>
      <c r="U473" s="239"/>
      <c r="V473" s="239"/>
      <c r="W473" s="239"/>
      <c r="X473" s="239"/>
      <c r="Y473" s="239"/>
      <c r="AQ473" s="88"/>
    </row>
    <row r="474" spans="3:43" x14ac:dyDescent="0.25">
      <c r="E474" s="96"/>
      <c r="F474" s="109" t="s">
        <v>203</v>
      </c>
      <c r="G474" s="109" t="s">
        <v>169</v>
      </c>
      <c r="J474" s="239"/>
      <c r="K474" s="239"/>
      <c r="L474" s="264">
        <f t="shared" si="93"/>
        <v>0</v>
      </c>
      <c r="M474" s="239"/>
      <c r="N474" s="264">
        <f t="shared" si="94"/>
        <v>21950.368037676482</v>
      </c>
      <c r="O474" s="264">
        <f t="shared" si="94"/>
        <v>796.79696176204573</v>
      </c>
      <c r="P474" s="264">
        <f t="shared" si="94"/>
        <v>11953.652939103808</v>
      </c>
      <c r="Q474" s="239"/>
      <c r="R474" s="239"/>
      <c r="S474" s="239"/>
      <c r="T474" s="239"/>
      <c r="U474" s="239"/>
      <c r="V474" s="239"/>
      <c r="W474" s="239"/>
      <c r="X474" s="239"/>
      <c r="Y474" s="239"/>
      <c r="AQ474" s="88"/>
    </row>
    <row r="475" spans="3:43" x14ac:dyDescent="0.25">
      <c r="E475" s="96"/>
      <c r="F475" s="36" t="s">
        <v>204</v>
      </c>
      <c r="G475" s="36" t="s">
        <v>170</v>
      </c>
      <c r="H475" s="93"/>
      <c r="I475" s="93"/>
      <c r="J475" s="240"/>
      <c r="K475" s="240"/>
      <c r="L475" s="268">
        <f t="shared" si="93"/>
        <v>0</v>
      </c>
      <c r="M475" s="240"/>
      <c r="N475" s="268">
        <f t="shared" si="94"/>
        <v>207006.90023792107</v>
      </c>
      <c r="O475" s="268">
        <f t="shared" si="94"/>
        <v>21797.252208596088</v>
      </c>
      <c r="P475" s="268">
        <f t="shared" si="94"/>
        <v>155040.47093050441</v>
      </c>
      <c r="Q475" s="240"/>
      <c r="R475" s="240"/>
      <c r="S475" s="240"/>
      <c r="T475" s="240"/>
      <c r="U475" s="240"/>
      <c r="V475" s="240"/>
      <c r="W475" s="240"/>
      <c r="X475" s="240"/>
      <c r="Y475" s="240"/>
      <c r="AQ475" s="88"/>
    </row>
    <row r="476" spans="3:43" x14ac:dyDescent="0.25">
      <c r="AQ476" s="88"/>
    </row>
    <row r="477" spans="3:43" x14ac:dyDescent="0.25">
      <c r="C477" s="7" t="str">
        <f ca="1">INDEX('Version control'!$H$35:$H$61,MATCH($A$1,'Version control'!$F$35:$F$61,0),1)&amp;"-I: Discounted volumes by residual band"</f>
        <v>Section 507-I: Discounted volumes by residual band</v>
      </c>
      <c r="D477" s="7"/>
      <c r="E477" s="7"/>
      <c r="F477" s="7"/>
      <c r="G477" s="7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  <c r="AA477" s="7"/>
      <c r="AQ477" s="88"/>
    </row>
    <row r="478" spans="3:43" x14ac:dyDescent="0.25">
      <c r="C478" s="96"/>
      <c r="AQ478" s="88"/>
    </row>
    <row r="479" spans="3:43" x14ac:dyDescent="0.25">
      <c r="D479" s="96" t="s">
        <v>1093</v>
      </c>
      <c r="AQ479" s="88"/>
    </row>
    <row r="480" spans="3:43" x14ac:dyDescent="0.25">
      <c r="E480" s="40" t="s">
        <v>199</v>
      </c>
      <c r="F480" s="91"/>
      <c r="G480" s="91"/>
      <c r="H480" s="91"/>
      <c r="I480" s="91"/>
      <c r="J480" s="91"/>
      <c r="K480" s="91"/>
      <c r="L480" s="91"/>
      <c r="M480" s="91"/>
      <c r="N480" s="91"/>
      <c r="O480" s="91"/>
      <c r="P480" s="91"/>
      <c r="Q480" s="91"/>
      <c r="R480" s="91"/>
      <c r="S480" s="91"/>
      <c r="T480" s="91"/>
      <c r="U480" s="91"/>
      <c r="V480" s="91"/>
      <c r="W480" s="91"/>
      <c r="X480" s="91"/>
      <c r="Y480" s="91"/>
      <c r="AQ480" s="88"/>
    </row>
    <row r="481" spans="5:43" x14ac:dyDescent="0.25">
      <c r="E481" s="39"/>
      <c r="F481" s="98" t="s">
        <v>1061</v>
      </c>
      <c r="G481" s="293" t="s">
        <v>120</v>
      </c>
      <c r="J481" s="258">
        <f t="shared" ref="J481:Y481" si="95">J353</f>
        <v>0</v>
      </c>
      <c r="K481" s="258">
        <f t="shared" si="95"/>
        <v>435.37279303514384</v>
      </c>
      <c r="L481" s="258">
        <f t="shared" si="95"/>
        <v>17.733819669284152</v>
      </c>
      <c r="M481" s="258">
        <f t="shared" si="95"/>
        <v>594.16318180266921</v>
      </c>
      <c r="N481" s="258">
        <f t="shared" si="95"/>
        <v>98.834459594343414</v>
      </c>
      <c r="O481" s="258">
        <f t="shared" si="95"/>
        <v>0</v>
      </c>
      <c r="P481" s="258">
        <f t="shared" si="95"/>
        <v>284.16291966849406</v>
      </c>
      <c r="Q481" s="258">
        <f t="shared" si="95"/>
        <v>0</v>
      </c>
      <c r="R481" s="258">
        <f t="shared" si="95"/>
        <v>706.86922004560074</v>
      </c>
      <c r="S481" s="258">
        <f t="shared" si="95"/>
        <v>29.01977587792658</v>
      </c>
      <c r="T481" s="258">
        <f t="shared" si="95"/>
        <v>3481.3327942733295</v>
      </c>
      <c r="U481" s="258">
        <f t="shared" si="95"/>
        <v>0</v>
      </c>
      <c r="V481" s="258">
        <f t="shared" si="95"/>
        <v>0</v>
      </c>
      <c r="W481" s="258">
        <f t="shared" si="95"/>
        <v>0</v>
      </c>
      <c r="X481" s="258">
        <f t="shared" si="95"/>
        <v>86115.829832224859</v>
      </c>
      <c r="Y481" s="258">
        <f t="shared" si="95"/>
        <v>0</v>
      </c>
      <c r="AQ481" s="88"/>
    </row>
    <row r="482" spans="5:43" x14ac:dyDescent="0.25">
      <c r="E482" s="39"/>
      <c r="F482" s="98" t="s">
        <v>1094</v>
      </c>
      <c r="G482" s="293" t="s">
        <v>120</v>
      </c>
      <c r="J482" s="476">
        <f t="shared" ref="J482:Y482" si="96">J382</f>
        <v>1548246.7463325649</v>
      </c>
      <c r="K482" s="476">
        <f t="shared" si="96"/>
        <v>0</v>
      </c>
      <c r="L482" s="476">
        <f t="shared" si="96"/>
        <v>22110.670883755516</v>
      </c>
      <c r="M482" s="476">
        <f t="shared" si="96"/>
        <v>0</v>
      </c>
      <c r="N482" s="476">
        <f t="shared" si="96"/>
        <v>98534.09740932149</v>
      </c>
      <c r="O482" s="476">
        <f t="shared" si="96"/>
        <v>146.4518577239503</v>
      </c>
      <c r="P482" s="476">
        <f t="shared" si="96"/>
        <v>29044.618361672641</v>
      </c>
      <c r="Q482" s="476">
        <f t="shared" si="96"/>
        <v>11566.823241177972</v>
      </c>
      <c r="R482" s="476">
        <f t="shared" si="96"/>
        <v>0</v>
      </c>
      <c r="S482" s="476">
        <f t="shared" si="96"/>
        <v>0</v>
      </c>
      <c r="T482" s="476">
        <f t="shared" si="96"/>
        <v>0</v>
      </c>
      <c r="U482" s="476">
        <f t="shared" si="96"/>
        <v>0</v>
      </c>
      <c r="V482" s="476">
        <f t="shared" si="96"/>
        <v>0</v>
      </c>
      <c r="W482" s="476">
        <f t="shared" si="96"/>
        <v>0</v>
      </c>
      <c r="X482" s="476">
        <f t="shared" si="96"/>
        <v>0</v>
      </c>
      <c r="Y482" s="476">
        <f t="shared" si="96"/>
        <v>0</v>
      </c>
      <c r="AQ482" s="88"/>
    </row>
    <row r="483" spans="5:43" x14ac:dyDescent="0.25">
      <c r="E483" s="39"/>
      <c r="F483" s="98" t="s">
        <v>1095</v>
      </c>
      <c r="G483" s="293" t="s">
        <v>120</v>
      </c>
      <c r="J483" s="476">
        <f t="shared" ref="J483:Y483" si="97">J411</f>
        <v>0</v>
      </c>
      <c r="K483" s="476">
        <f t="shared" si="97"/>
        <v>0</v>
      </c>
      <c r="L483" s="476">
        <f t="shared" si="97"/>
        <v>54576.937093186287</v>
      </c>
      <c r="M483" s="476">
        <f t="shared" si="97"/>
        <v>0</v>
      </c>
      <c r="N483" s="476">
        <f t="shared" si="97"/>
        <v>93596.335622191487</v>
      </c>
      <c r="O483" s="476">
        <f t="shared" si="97"/>
        <v>1857.249611986759</v>
      </c>
      <c r="P483" s="476">
        <f t="shared" si="97"/>
        <v>100741.60862427407</v>
      </c>
      <c r="Q483" s="476">
        <f t="shared" si="97"/>
        <v>0</v>
      </c>
      <c r="R483" s="476">
        <f t="shared" si="97"/>
        <v>0</v>
      </c>
      <c r="S483" s="476">
        <f t="shared" si="97"/>
        <v>0</v>
      </c>
      <c r="T483" s="476">
        <f t="shared" si="97"/>
        <v>0</v>
      </c>
      <c r="U483" s="476">
        <f t="shared" si="97"/>
        <v>0</v>
      </c>
      <c r="V483" s="476">
        <f t="shared" si="97"/>
        <v>0</v>
      </c>
      <c r="W483" s="476">
        <f t="shared" si="97"/>
        <v>0</v>
      </c>
      <c r="X483" s="476">
        <f t="shared" si="97"/>
        <v>0</v>
      </c>
      <c r="Y483" s="476">
        <f t="shared" si="97"/>
        <v>0</v>
      </c>
      <c r="AQ483" s="88"/>
    </row>
    <row r="484" spans="5:43" x14ac:dyDescent="0.25">
      <c r="E484" s="39"/>
      <c r="F484" s="98" t="s">
        <v>1096</v>
      </c>
      <c r="G484" s="293" t="s">
        <v>120</v>
      </c>
      <c r="J484" s="254">
        <f t="shared" ref="J484:Y484" si="98">J440</f>
        <v>0</v>
      </c>
      <c r="K484" s="254">
        <f t="shared" si="98"/>
        <v>0</v>
      </c>
      <c r="L484" s="254">
        <f t="shared" si="98"/>
        <v>65482.507799267478</v>
      </c>
      <c r="M484" s="254">
        <f t="shared" si="98"/>
        <v>0</v>
      </c>
      <c r="N484" s="254">
        <f t="shared" si="98"/>
        <v>77111.473714870997</v>
      </c>
      <c r="O484" s="254">
        <f t="shared" si="98"/>
        <v>2291.9943525472272</v>
      </c>
      <c r="P484" s="254">
        <f t="shared" si="98"/>
        <v>79960.050053069965</v>
      </c>
      <c r="Q484" s="254">
        <f t="shared" si="98"/>
        <v>0</v>
      </c>
      <c r="R484" s="254">
        <f t="shared" si="98"/>
        <v>0</v>
      </c>
      <c r="S484" s="254">
        <f t="shared" si="98"/>
        <v>0</v>
      </c>
      <c r="T484" s="254">
        <f t="shared" si="98"/>
        <v>0</v>
      </c>
      <c r="U484" s="254">
        <f t="shared" si="98"/>
        <v>0</v>
      </c>
      <c r="V484" s="254">
        <f t="shared" si="98"/>
        <v>0</v>
      </c>
      <c r="W484" s="254">
        <f t="shared" si="98"/>
        <v>0</v>
      </c>
      <c r="X484" s="254">
        <f t="shared" si="98"/>
        <v>0</v>
      </c>
      <c r="Y484" s="254">
        <f t="shared" si="98"/>
        <v>0</v>
      </c>
      <c r="AQ484" s="88"/>
    </row>
    <row r="485" spans="5:43" x14ac:dyDescent="0.25">
      <c r="E485" s="39"/>
      <c r="F485" s="98" t="s">
        <v>1097</v>
      </c>
      <c r="G485" s="293" t="s">
        <v>120</v>
      </c>
      <c r="J485" s="254">
        <f t="shared" ref="J485:Y485" si="99">J469</f>
        <v>0</v>
      </c>
      <c r="K485" s="254">
        <f t="shared" si="99"/>
        <v>0</v>
      </c>
      <c r="L485" s="254">
        <f t="shared" si="99"/>
        <v>164808.1194012186</v>
      </c>
      <c r="M485" s="254">
        <f t="shared" si="99"/>
        <v>0</v>
      </c>
      <c r="N485" s="254">
        <f t="shared" si="99"/>
        <v>253688.89052303429</v>
      </c>
      <c r="O485" s="254">
        <f t="shared" si="99"/>
        <v>30492.23231944914</v>
      </c>
      <c r="P485" s="254">
        <f t="shared" si="99"/>
        <v>212331.32640716422</v>
      </c>
      <c r="Q485" s="254">
        <f t="shared" si="99"/>
        <v>0</v>
      </c>
      <c r="R485" s="254">
        <f t="shared" si="99"/>
        <v>0</v>
      </c>
      <c r="S485" s="254">
        <f t="shared" si="99"/>
        <v>0</v>
      </c>
      <c r="T485" s="254">
        <f t="shared" si="99"/>
        <v>0</v>
      </c>
      <c r="U485" s="254">
        <f t="shared" si="99"/>
        <v>0</v>
      </c>
      <c r="V485" s="254">
        <f t="shared" si="99"/>
        <v>0</v>
      </c>
      <c r="W485" s="254">
        <f t="shared" si="99"/>
        <v>0</v>
      </c>
      <c r="X485" s="254">
        <f t="shared" si="99"/>
        <v>0</v>
      </c>
      <c r="Y485" s="254">
        <f t="shared" si="99"/>
        <v>0</v>
      </c>
      <c r="AQ485" s="88"/>
    </row>
    <row r="486" spans="5:43" x14ac:dyDescent="0.25">
      <c r="E486" s="109" t="s">
        <v>200</v>
      </c>
      <c r="F486" s="98"/>
      <c r="J486" s="152"/>
      <c r="K486" s="152"/>
      <c r="L486" s="152"/>
      <c r="M486" s="152"/>
      <c r="N486" s="152"/>
      <c r="O486" s="152"/>
      <c r="P486" s="152"/>
      <c r="Q486" s="152"/>
      <c r="R486" s="152"/>
      <c r="S486" s="152"/>
      <c r="T486" s="152"/>
      <c r="U486" s="152"/>
      <c r="V486" s="152"/>
      <c r="W486" s="152"/>
      <c r="X486" s="152"/>
      <c r="Y486" s="152"/>
      <c r="AQ486" s="88"/>
    </row>
    <row r="487" spans="5:43" x14ac:dyDescent="0.25">
      <c r="E487" s="39"/>
      <c r="F487" s="98" t="s">
        <v>1061</v>
      </c>
      <c r="G487" s="293" t="s">
        <v>120</v>
      </c>
      <c r="J487" s="258">
        <f t="shared" ref="J487:Y487" si="100">J354</f>
        <v>0</v>
      </c>
      <c r="K487" s="258">
        <f t="shared" si="100"/>
        <v>43540.865318654403</v>
      </c>
      <c r="L487" s="258">
        <f t="shared" si="100"/>
        <v>111.55134382269362</v>
      </c>
      <c r="M487" s="258">
        <f t="shared" si="100"/>
        <v>8224.4305478900278</v>
      </c>
      <c r="N487" s="258">
        <f t="shared" si="100"/>
        <v>563.61871319504337</v>
      </c>
      <c r="O487" s="258">
        <f t="shared" si="100"/>
        <v>0</v>
      </c>
      <c r="P487" s="258">
        <f t="shared" si="100"/>
        <v>4361.7267835514176</v>
      </c>
      <c r="Q487" s="258">
        <f t="shared" si="100"/>
        <v>0</v>
      </c>
      <c r="R487" s="258">
        <f t="shared" si="100"/>
        <v>5559.3658561006987</v>
      </c>
      <c r="S487" s="258">
        <f t="shared" si="100"/>
        <v>212.7237809687463</v>
      </c>
      <c r="T487" s="258">
        <f t="shared" si="100"/>
        <v>32597.519770789342</v>
      </c>
      <c r="U487" s="258">
        <f t="shared" si="100"/>
        <v>0</v>
      </c>
      <c r="V487" s="258">
        <f t="shared" si="100"/>
        <v>0</v>
      </c>
      <c r="W487" s="258">
        <f t="shared" si="100"/>
        <v>0</v>
      </c>
      <c r="X487" s="258">
        <f t="shared" si="100"/>
        <v>532779.51789718622</v>
      </c>
      <c r="Y487" s="258">
        <f t="shared" si="100"/>
        <v>0</v>
      </c>
      <c r="AQ487" s="88"/>
    </row>
    <row r="488" spans="5:43" x14ac:dyDescent="0.25">
      <c r="E488" s="39"/>
      <c r="F488" s="98" t="s">
        <v>1094</v>
      </c>
      <c r="G488" s="293" t="s">
        <v>120</v>
      </c>
      <c r="J488" s="476">
        <f t="shared" ref="J488:Y488" si="101">J383</f>
        <v>6825324.1723649437</v>
      </c>
      <c r="K488" s="476">
        <f t="shared" si="101"/>
        <v>0</v>
      </c>
      <c r="L488" s="476">
        <f t="shared" si="101"/>
        <v>139083.12455529749</v>
      </c>
      <c r="M488" s="476">
        <f t="shared" si="101"/>
        <v>0</v>
      </c>
      <c r="N488" s="476">
        <f t="shared" si="101"/>
        <v>561905.85161913838</v>
      </c>
      <c r="O488" s="476">
        <f t="shared" si="101"/>
        <v>802.19760485238828</v>
      </c>
      <c r="P488" s="476">
        <f t="shared" si="101"/>
        <v>161830.5168075379</v>
      </c>
      <c r="Q488" s="476">
        <f t="shared" si="101"/>
        <v>73426.845575958097</v>
      </c>
      <c r="R488" s="476">
        <f t="shared" si="101"/>
        <v>0</v>
      </c>
      <c r="S488" s="476">
        <f t="shared" si="101"/>
        <v>0</v>
      </c>
      <c r="T488" s="476">
        <f t="shared" si="101"/>
        <v>0</v>
      </c>
      <c r="U488" s="476">
        <f t="shared" si="101"/>
        <v>0</v>
      </c>
      <c r="V488" s="476">
        <f t="shared" si="101"/>
        <v>0</v>
      </c>
      <c r="W488" s="476">
        <f t="shared" si="101"/>
        <v>0</v>
      </c>
      <c r="X488" s="476">
        <f t="shared" si="101"/>
        <v>0</v>
      </c>
      <c r="Y488" s="476">
        <f t="shared" si="101"/>
        <v>0</v>
      </c>
      <c r="AQ488" s="88"/>
    </row>
    <row r="489" spans="5:43" x14ac:dyDescent="0.25">
      <c r="E489" s="39"/>
      <c r="F489" s="98" t="s">
        <v>1095</v>
      </c>
      <c r="G489" s="293" t="s">
        <v>120</v>
      </c>
      <c r="J489" s="476">
        <f t="shared" ref="J489:Y489" si="102">J412</f>
        <v>0</v>
      </c>
      <c r="K489" s="476">
        <f t="shared" si="102"/>
        <v>0</v>
      </c>
      <c r="L489" s="476">
        <f t="shared" si="102"/>
        <v>343306.22437852377</v>
      </c>
      <c r="M489" s="476">
        <f t="shared" si="102"/>
        <v>0</v>
      </c>
      <c r="N489" s="476">
        <f t="shared" si="102"/>
        <v>533747.50526961102</v>
      </c>
      <c r="O489" s="476">
        <f t="shared" si="102"/>
        <v>10173.180548908495</v>
      </c>
      <c r="P489" s="476">
        <f t="shared" si="102"/>
        <v>561311.09676423098</v>
      </c>
      <c r="Q489" s="476">
        <f t="shared" si="102"/>
        <v>0</v>
      </c>
      <c r="R489" s="476">
        <f t="shared" si="102"/>
        <v>0</v>
      </c>
      <c r="S489" s="476">
        <f t="shared" si="102"/>
        <v>0</v>
      </c>
      <c r="T489" s="476">
        <f t="shared" si="102"/>
        <v>0</v>
      </c>
      <c r="U489" s="476">
        <f t="shared" si="102"/>
        <v>0</v>
      </c>
      <c r="V489" s="476">
        <f t="shared" si="102"/>
        <v>0</v>
      </c>
      <c r="W489" s="476">
        <f t="shared" si="102"/>
        <v>0</v>
      </c>
      <c r="X489" s="476">
        <f t="shared" si="102"/>
        <v>0</v>
      </c>
      <c r="Y489" s="476">
        <f t="shared" si="102"/>
        <v>0</v>
      </c>
      <c r="AQ489" s="88"/>
    </row>
    <row r="490" spans="5:43" x14ac:dyDescent="0.25">
      <c r="E490" s="39"/>
      <c r="F490" s="98" t="s">
        <v>1096</v>
      </c>
      <c r="G490" s="293" t="s">
        <v>120</v>
      </c>
      <c r="J490" s="254">
        <f t="shared" ref="J490:Y490" si="103">J441</f>
        <v>0</v>
      </c>
      <c r="K490" s="254">
        <f t="shared" si="103"/>
        <v>0</v>
      </c>
      <c r="L490" s="254">
        <f t="shared" si="103"/>
        <v>411905.71902230044</v>
      </c>
      <c r="M490" s="254">
        <f t="shared" si="103"/>
        <v>0</v>
      </c>
      <c r="N490" s="254">
        <f t="shared" si="103"/>
        <v>439740.04376745177</v>
      </c>
      <c r="O490" s="254">
        <f t="shared" si="103"/>
        <v>12554.517290004314</v>
      </c>
      <c r="P490" s="254">
        <f t="shared" si="103"/>
        <v>445520.61462513614</v>
      </c>
      <c r="Q490" s="254">
        <f t="shared" si="103"/>
        <v>0</v>
      </c>
      <c r="R490" s="254">
        <f t="shared" si="103"/>
        <v>0</v>
      </c>
      <c r="S490" s="254">
        <f t="shared" si="103"/>
        <v>0</v>
      </c>
      <c r="T490" s="254">
        <f t="shared" si="103"/>
        <v>0</v>
      </c>
      <c r="U490" s="254">
        <f t="shared" si="103"/>
        <v>0</v>
      </c>
      <c r="V490" s="254">
        <f t="shared" si="103"/>
        <v>0</v>
      </c>
      <c r="W490" s="254">
        <f t="shared" si="103"/>
        <v>0</v>
      </c>
      <c r="X490" s="254">
        <f t="shared" si="103"/>
        <v>0</v>
      </c>
      <c r="Y490" s="254">
        <f t="shared" si="103"/>
        <v>0</v>
      </c>
      <c r="AQ490" s="88"/>
    </row>
    <row r="491" spans="5:43" x14ac:dyDescent="0.25">
      <c r="E491" s="39"/>
      <c r="F491" s="98" t="s">
        <v>1097</v>
      </c>
      <c r="G491" s="293" t="s">
        <v>120</v>
      </c>
      <c r="J491" s="254">
        <f t="shared" ref="J491:Y491" si="104">J470</f>
        <v>0</v>
      </c>
      <c r="K491" s="254">
        <f t="shared" si="104"/>
        <v>0</v>
      </c>
      <c r="L491" s="254">
        <f t="shared" si="104"/>
        <v>1036695.2825137753</v>
      </c>
      <c r="M491" s="254">
        <f t="shared" si="104"/>
        <v>0</v>
      </c>
      <c r="N491" s="254">
        <f t="shared" si="104"/>
        <v>1446699.9325471518</v>
      </c>
      <c r="O491" s="254">
        <f t="shared" si="104"/>
        <v>167022.77535715024</v>
      </c>
      <c r="P491" s="254">
        <f t="shared" si="104"/>
        <v>1183065.5806531508</v>
      </c>
      <c r="Q491" s="254">
        <f t="shared" si="104"/>
        <v>0</v>
      </c>
      <c r="R491" s="254">
        <f t="shared" si="104"/>
        <v>0</v>
      </c>
      <c r="S491" s="254">
        <f t="shared" si="104"/>
        <v>0</v>
      </c>
      <c r="T491" s="254">
        <f t="shared" si="104"/>
        <v>0</v>
      </c>
      <c r="U491" s="254">
        <f t="shared" si="104"/>
        <v>0</v>
      </c>
      <c r="V491" s="254">
        <f t="shared" si="104"/>
        <v>0</v>
      </c>
      <c r="W491" s="254">
        <f t="shared" si="104"/>
        <v>0</v>
      </c>
      <c r="X491" s="254">
        <f t="shared" si="104"/>
        <v>0</v>
      </c>
      <c r="Y491" s="254">
        <f t="shared" si="104"/>
        <v>0</v>
      </c>
      <c r="AQ491" s="88"/>
    </row>
    <row r="492" spans="5:43" x14ac:dyDescent="0.25">
      <c r="E492" s="109" t="s">
        <v>201</v>
      </c>
      <c r="F492" s="98"/>
      <c r="J492" s="152"/>
      <c r="K492" s="152"/>
      <c r="L492" s="152"/>
      <c r="M492" s="152"/>
      <c r="N492" s="152"/>
      <c r="O492" s="152"/>
      <c r="P492" s="152"/>
      <c r="Q492" s="152"/>
      <c r="R492" s="152"/>
      <c r="S492" s="152"/>
      <c r="T492" s="152"/>
      <c r="U492" s="152"/>
      <c r="V492" s="152"/>
      <c r="W492" s="152"/>
      <c r="X492" s="152"/>
      <c r="Y492" s="152"/>
      <c r="AQ492" s="88"/>
    </row>
    <row r="493" spans="5:43" x14ac:dyDescent="0.25">
      <c r="E493" s="39"/>
      <c r="F493" s="98" t="s">
        <v>1061</v>
      </c>
      <c r="G493" s="293" t="s">
        <v>120</v>
      </c>
      <c r="J493" s="258">
        <f t="shared" ref="J493:Y493" si="105">J355</f>
        <v>0</v>
      </c>
      <c r="K493" s="258">
        <f t="shared" si="105"/>
        <v>106470.4323701735</v>
      </c>
      <c r="L493" s="258">
        <f t="shared" si="105"/>
        <v>49.54941373752159</v>
      </c>
      <c r="M493" s="258">
        <f t="shared" si="105"/>
        <v>23085.290394924617</v>
      </c>
      <c r="N493" s="258">
        <f t="shared" si="105"/>
        <v>295.7801728981205</v>
      </c>
      <c r="O493" s="258">
        <f t="shared" si="105"/>
        <v>0</v>
      </c>
      <c r="P493" s="258">
        <f t="shared" si="105"/>
        <v>3615.5359355757823</v>
      </c>
      <c r="Q493" s="258">
        <f t="shared" si="105"/>
        <v>0</v>
      </c>
      <c r="R493" s="258">
        <f t="shared" si="105"/>
        <v>731.31989617895306</v>
      </c>
      <c r="S493" s="258">
        <f t="shared" si="105"/>
        <v>33.176553672411458</v>
      </c>
      <c r="T493" s="258">
        <f t="shared" si="105"/>
        <v>8546.3926012214506</v>
      </c>
      <c r="U493" s="258">
        <f t="shared" si="105"/>
        <v>0</v>
      </c>
      <c r="V493" s="258">
        <f t="shared" si="105"/>
        <v>0</v>
      </c>
      <c r="W493" s="258">
        <f t="shared" si="105"/>
        <v>0</v>
      </c>
      <c r="X493" s="258">
        <f t="shared" si="105"/>
        <v>260951.76676867288</v>
      </c>
      <c r="Y493" s="258">
        <f t="shared" si="105"/>
        <v>0</v>
      </c>
      <c r="AQ493" s="88"/>
    </row>
    <row r="494" spans="5:43" x14ac:dyDescent="0.25">
      <c r="E494" s="39"/>
      <c r="F494" s="98" t="s">
        <v>1094</v>
      </c>
      <c r="G494" s="293" t="s">
        <v>120</v>
      </c>
      <c r="J494" s="476">
        <f t="shared" ref="J494:Y494" si="106">J384</f>
        <v>3770396.0827899273</v>
      </c>
      <c r="K494" s="476">
        <f t="shared" si="106"/>
        <v>0</v>
      </c>
      <c r="L494" s="476">
        <f t="shared" si="106"/>
        <v>61778.612846219286</v>
      </c>
      <c r="M494" s="476">
        <f t="shared" si="106"/>
        <v>0</v>
      </c>
      <c r="N494" s="476">
        <f t="shared" si="106"/>
        <v>294881.28419692785</v>
      </c>
      <c r="O494" s="476">
        <f t="shared" si="106"/>
        <v>521.00696258987796</v>
      </c>
      <c r="P494" s="476">
        <f t="shared" si="106"/>
        <v>110914.57647911321</v>
      </c>
      <c r="Q494" s="476">
        <f t="shared" si="106"/>
        <v>110236.46164591011</v>
      </c>
      <c r="R494" s="476">
        <f t="shared" si="106"/>
        <v>0</v>
      </c>
      <c r="S494" s="476">
        <f t="shared" si="106"/>
        <v>0</v>
      </c>
      <c r="T494" s="476">
        <f t="shared" si="106"/>
        <v>0</v>
      </c>
      <c r="U494" s="476">
        <f t="shared" si="106"/>
        <v>0</v>
      </c>
      <c r="V494" s="476">
        <f t="shared" si="106"/>
        <v>0</v>
      </c>
      <c r="W494" s="476">
        <f t="shared" si="106"/>
        <v>0</v>
      </c>
      <c r="X494" s="476">
        <f t="shared" si="106"/>
        <v>0</v>
      </c>
      <c r="Y494" s="476">
        <f t="shared" si="106"/>
        <v>0</v>
      </c>
      <c r="AQ494" s="88"/>
    </row>
    <row r="495" spans="5:43" x14ac:dyDescent="0.25">
      <c r="E495" s="39"/>
      <c r="F495" s="98" t="s">
        <v>1095</v>
      </c>
      <c r="G495" s="293" t="s">
        <v>120</v>
      </c>
      <c r="J495" s="476">
        <f t="shared" ref="J495:Y495" si="107">J413</f>
        <v>0</v>
      </c>
      <c r="K495" s="476">
        <f t="shared" si="107"/>
        <v>0</v>
      </c>
      <c r="L495" s="476">
        <f t="shared" si="107"/>
        <v>152491.41397557341</v>
      </c>
      <c r="M495" s="476">
        <f t="shared" si="107"/>
        <v>0</v>
      </c>
      <c r="N495" s="476">
        <f t="shared" si="107"/>
        <v>280104.13014436862</v>
      </c>
      <c r="O495" s="476">
        <f t="shared" si="107"/>
        <v>6607.2222923684067</v>
      </c>
      <c r="P495" s="476">
        <f t="shared" si="107"/>
        <v>384708.54446243303</v>
      </c>
      <c r="Q495" s="476">
        <f t="shared" si="107"/>
        <v>0</v>
      </c>
      <c r="R495" s="476">
        <f t="shared" si="107"/>
        <v>0</v>
      </c>
      <c r="S495" s="476">
        <f t="shared" si="107"/>
        <v>0</v>
      </c>
      <c r="T495" s="476">
        <f t="shared" si="107"/>
        <v>0</v>
      </c>
      <c r="U495" s="476">
        <f t="shared" si="107"/>
        <v>0</v>
      </c>
      <c r="V495" s="476">
        <f t="shared" si="107"/>
        <v>0</v>
      </c>
      <c r="W495" s="476">
        <f t="shared" si="107"/>
        <v>0</v>
      </c>
      <c r="X495" s="476">
        <f t="shared" si="107"/>
        <v>0</v>
      </c>
      <c r="Y495" s="476">
        <f t="shared" si="107"/>
        <v>0</v>
      </c>
      <c r="AQ495" s="88"/>
    </row>
    <row r="496" spans="5:43" x14ac:dyDescent="0.25">
      <c r="E496" s="39"/>
      <c r="F496" s="98" t="s">
        <v>1096</v>
      </c>
      <c r="G496" s="293" t="s">
        <v>120</v>
      </c>
      <c r="J496" s="254">
        <f t="shared" ref="J496:Y496" si="108">J442</f>
        <v>0</v>
      </c>
      <c r="K496" s="254">
        <f t="shared" si="108"/>
        <v>0</v>
      </c>
      <c r="L496" s="254">
        <f t="shared" si="108"/>
        <v>182962.26825494511</v>
      </c>
      <c r="M496" s="254">
        <f t="shared" si="108"/>
        <v>0</v>
      </c>
      <c r="N496" s="254">
        <f t="shared" si="108"/>
        <v>230770.16985196114</v>
      </c>
      <c r="O496" s="254">
        <f t="shared" si="108"/>
        <v>8153.840002116257</v>
      </c>
      <c r="P496" s="254">
        <f t="shared" si="108"/>
        <v>305348.65276756935</v>
      </c>
      <c r="Q496" s="254">
        <f t="shared" si="108"/>
        <v>0</v>
      </c>
      <c r="R496" s="254">
        <f t="shared" si="108"/>
        <v>0</v>
      </c>
      <c r="S496" s="254">
        <f t="shared" si="108"/>
        <v>0</v>
      </c>
      <c r="T496" s="254">
        <f t="shared" si="108"/>
        <v>0</v>
      </c>
      <c r="U496" s="254">
        <f t="shared" si="108"/>
        <v>0</v>
      </c>
      <c r="V496" s="254">
        <f t="shared" si="108"/>
        <v>0</v>
      </c>
      <c r="W496" s="254">
        <f t="shared" si="108"/>
        <v>0</v>
      </c>
      <c r="X496" s="254">
        <f t="shared" si="108"/>
        <v>0</v>
      </c>
      <c r="Y496" s="254">
        <f t="shared" si="108"/>
        <v>0</v>
      </c>
      <c r="AQ496" s="88"/>
    </row>
    <row r="497" spans="5:43" x14ac:dyDescent="0.25">
      <c r="E497" s="39"/>
      <c r="F497" s="98" t="s">
        <v>1097</v>
      </c>
      <c r="G497" s="293" t="s">
        <v>120</v>
      </c>
      <c r="J497" s="254">
        <f t="shared" ref="J497:Y497" si="109">J471</f>
        <v>0</v>
      </c>
      <c r="K497" s="254">
        <f t="shared" si="109"/>
        <v>0</v>
      </c>
      <c r="L497" s="254">
        <f t="shared" si="109"/>
        <v>460484.30895336129</v>
      </c>
      <c r="M497" s="254">
        <f t="shared" si="109"/>
        <v>0</v>
      </c>
      <c r="N497" s="254">
        <f t="shared" si="109"/>
        <v>759210.3423159708</v>
      </c>
      <c r="O497" s="254">
        <f t="shared" si="109"/>
        <v>108477.04897869006</v>
      </c>
      <c r="P497" s="254">
        <f t="shared" si="109"/>
        <v>810843.47015474841</v>
      </c>
      <c r="Q497" s="254">
        <f t="shared" si="109"/>
        <v>0</v>
      </c>
      <c r="R497" s="254">
        <f t="shared" si="109"/>
        <v>0</v>
      </c>
      <c r="S497" s="254">
        <f t="shared" si="109"/>
        <v>0</v>
      </c>
      <c r="T497" s="254">
        <f t="shared" si="109"/>
        <v>0</v>
      </c>
      <c r="U497" s="254">
        <f t="shared" si="109"/>
        <v>0</v>
      </c>
      <c r="V497" s="254">
        <f t="shared" si="109"/>
        <v>0</v>
      </c>
      <c r="W497" s="254">
        <f t="shared" si="109"/>
        <v>0</v>
      </c>
      <c r="X497" s="254">
        <f t="shared" si="109"/>
        <v>0</v>
      </c>
      <c r="Y497" s="254">
        <f t="shared" si="109"/>
        <v>0</v>
      </c>
      <c r="AQ497" s="88"/>
    </row>
    <row r="498" spans="5:43" x14ac:dyDescent="0.25">
      <c r="E498" s="109" t="s">
        <v>74</v>
      </c>
      <c r="F498" s="98"/>
      <c r="J498" s="152"/>
      <c r="K498" s="152"/>
      <c r="L498" s="152"/>
      <c r="M498" s="152"/>
      <c r="N498" s="152"/>
      <c r="O498" s="152"/>
      <c r="P498" s="152"/>
      <c r="Q498" s="152"/>
      <c r="R498" s="152"/>
      <c r="S498" s="152"/>
      <c r="T498" s="152"/>
      <c r="U498" s="152"/>
      <c r="V498" s="152"/>
      <c r="W498" s="152"/>
      <c r="X498" s="152"/>
      <c r="Y498" s="152"/>
      <c r="AQ498" s="88"/>
    </row>
    <row r="499" spans="5:43" x14ac:dyDescent="0.25">
      <c r="E499" s="39"/>
      <c r="F499" s="98" t="s">
        <v>1061</v>
      </c>
      <c r="G499" s="293" t="s">
        <v>74</v>
      </c>
      <c r="J499" s="258">
        <f t="shared" ref="J499:Y499" si="110">J356</f>
        <v>0</v>
      </c>
      <c r="K499" s="258">
        <f t="shared" si="110"/>
        <v>34009.139902491879</v>
      </c>
      <c r="L499" s="258">
        <f t="shared" si="110"/>
        <v>8.4757949807835899</v>
      </c>
      <c r="M499" s="258">
        <f t="shared" si="110"/>
        <v>4763.1029684859122</v>
      </c>
      <c r="N499" s="258">
        <f t="shared" si="110"/>
        <v>12.846543756610266</v>
      </c>
      <c r="O499" s="258">
        <f t="shared" si="110"/>
        <v>0</v>
      </c>
      <c r="P499" s="258">
        <f t="shared" si="110"/>
        <v>85.610126891316582</v>
      </c>
      <c r="Q499" s="258">
        <f t="shared" si="110"/>
        <v>0</v>
      </c>
      <c r="R499" s="258">
        <f t="shared" si="110"/>
        <v>1884.9999999999998</v>
      </c>
      <c r="S499" s="258">
        <f t="shared" si="110"/>
        <v>38.935483870967744</v>
      </c>
      <c r="T499" s="258">
        <f t="shared" si="110"/>
        <v>836.76967715751107</v>
      </c>
      <c r="U499" s="258">
        <f t="shared" si="110"/>
        <v>0</v>
      </c>
      <c r="V499" s="258">
        <f t="shared" si="110"/>
        <v>1</v>
      </c>
      <c r="W499" s="258">
        <f t="shared" si="110"/>
        <v>0</v>
      </c>
      <c r="X499" s="258">
        <f t="shared" si="110"/>
        <v>232.35483870967744</v>
      </c>
      <c r="Y499" s="258">
        <f t="shared" si="110"/>
        <v>0</v>
      </c>
      <c r="AQ499" s="88"/>
    </row>
    <row r="500" spans="5:43" x14ac:dyDescent="0.25">
      <c r="E500" s="39"/>
      <c r="F500" s="98" t="s">
        <v>1094</v>
      </c>
      <c r="G500" s="293" t="s">
        <v>74</v>
      </c>
      <c r="J500" s="476">
        <f t="shared" ref="J500:Y500" si="111">J385</f>
        <v>2974344.8025927823</v>
      </c>
      <c r="K500" s="476">
        <f t="shared" si="111"/>
        <v>0</v>
      </c>
      <c r="L500" s="476">
        <f t="shared" si="111"/>
        <v>92882.682828770194</v>
      </c>
      <c r="M500" s="476">
        <f t="shared" si="111"/>
        <v>0</v>
      </c>
      <c r="N500" s="476">
        <f t="shared" si="111"/>
        <v>10609.863794169047</v>
      </c>
      <c r="O500" s="476">
        <f t="shared" si="111"/>
        <v>5.7051220680170491</v>
      </c>
      <c r="P500" s="476">
        <f t="shared" si="111"/>
        <v>546.13806531578371</v>
      </c>
      <c r="Q500" s="476">
        <f t="shared" si="111"/>
        <v>4315.823371813919</v>
      </c>
      <c r="R500" s="476">
        <f t="shared" si="111"/>
        <v>0</v>
      </c>
      <c r="S500" s="476">
        <f t="shared" si="111"/>
        <v>0</v>
      </c>
      <c r="T500" s="476">
        <f t="shared" si="111"/>
        <v>0</v>
      </c>
      <c r="U500" s="476">
        <f t="shared" si="111"/>
        <v>0</v>
      </c>
      <c r="V500" s="476">
        <f t="shared" si="111"/>
        <v>0</v>
      </c>
      <c r="W500" s="476">
        <f t="shared" si="111"/>
        <v>0</v>
      </c>
      <c r="X500" s="476">
        <f t="shared" si="111"/>
        <v>0</v>
      </c>
      <c r="Y500" s="476">
        <f t="shared" si="111"/>
        <v>0</v>
      </c>
      <c r="AQ500" s="88"/>
    </row>
    <row r="501" spans="5:43" x14ac:dyDescent="0.25">
      <c r="E501" s="39"/>
      <c r="F501" s="98" t="s">
        <v>1095</v>
      </c>
      <c r="G501" s="293" t="s">
        <v>74</v>
      </c>
      <c r="J501" s="476">
        <f t="shared" ref="J501:Y501" si="112">J414</f>
        <v>0</v>
      </c>
      <c r="K501" s="476">
        <f t="shared" si="112"/>
        <v>0</v>
      </c>
      <c r="L501" s="476">
        <f t="shared" si="112"/>
        <v>69794.959067042349</v>
      </c>
      <c r="M501" s="476">
        <f t="shared" si="112"/>
        <v>0</v>
      </c>
      <c r="N501" s="476">
        <f t="shared" si="112"/>
        <v>5484.4381724793084</v>
      </c>
      <c r="O501" s="476">
        <f t="shared" si="112"/>
        <v>43.358927716929571</v>
      </c>
      <c r="P501" s="476">
        <f t="shared" si="112"/>
        <v>649.2545771605113</v>
      </c>
      <c r="Q501" s="476">
        <f t="shared" si="112"/>
        <v>0</v>
      </c>
      <c r="R501" s="476">
        <f t="shared" si="112"/>
        <v>0</v>
      </c>
      <c r="S501" s="476">
        <f t="shared" si="112"/>
        <v>0</v>
      </c>
      <c r="T501" s="476">
        <f t="shared" si="112"/>
        <v>0</v>
      </c>
      <c r="U501" s="476">
        <f t="shared" si="112"/>
        <v>0</v>
      </c>
      <c r="V501" s="476">
        <f t="shared" si="112"/>
        <v>0</v>
      </c>
      <c r="W501" s="476">
        <f t="shared" si="112"/>
        <v>0</v>
      </c>
      <c r="X501" s="476">
        <f t="shared" si="112"/>
        <v>0</v>
      </c>
      <c r="Y501" s="476">
        <f t="shared" si="112"/>
        <v>0</v>
      </c>
      <c r="AQ501" s="88"/>
    </row>
    <row r="502" spans="5:43" x14ac:dyDescent="0.25">
      <c r="E502" s="39"/>
      <c r="F502" s="98" t="s">
        <v>1096</v>
      </c>
      <c r="G502" s="293" t="s">
        <v>74</v>
      </c>
      <c r="J502" s="254">
        <f t="shared" ref="J502:Y502" si="113">J443</f>
        <v>0</v>
      </c>
      <c r="K502" s="254">
        <f t="shared" si="113"/>
        <v>0</v>
      </c>
      <c r="L502" s="254">
        <f t="shared" si="113"/>
        <v>36948.348506129492</v>
      </c>
      <c r="M502" s="254">
        <f t="shared" si="113"/>
        <v>0</v>
      </c>
      <c r="N502" s="254">
        <f t="shared" si="113"/>
        <v>2920.9310860795954</v>
      </c>
      <c r="O502" s="254">
        <f t="shared" si="113"/>
        <v>51.346098612153433</v>
      </c>
      <c r="P502" s="254">
        <f t="shared" si="113"/>
        <v>280.7578364784639</v>
      </c>
      <c r="Q502" s="254">
        <f t="shared" si="113"/>
        <v>0</v>
      </c>
      <c r="R502" s="254">
        <f t="shared" si="113"/>
        <v>0</v>
      </c>
      <c r="S502" s="254">
        <f t="shared" si="113"/>
        <v>0</v>
      </c>
      <c r="T502" s="254">
        <f t="shared" si="113"/>
        <v>0</v>
      </c>
      <c r="U502" s="254">
        <f t="shared" si="113"/>
        <v>0</v>
      </c>
      <c r="V502" s="254">
        <f t="shared" si="113"/>
        <v>0</v>
      </c>
      <c r="W502" s="254">
        <f t="shared" si="113"/>
        <v>0</v>
      </c>
      <c r="X502" s="254">
        <f t="shared" si="113"/>
        <v>0</v>
      </c>
      <c r="Y502" s="254">
        <f t="shared" si="113"/>
        <v>0</v>
      </c>
      <c r="AQ502" s="88"/>
    </row>
    <row r="503" spans="5:43" x14ac:dyDescent="0.25">
      <c r="E503" s="39"/>
      <c r="F503" s="98" t="s">
        <v>1097</v>
      </c>
      <c r="G503" s="293" t="s">
        <v>74</v>
      </c>
      <c r="J503" s="254">
        <f t="shared" ref="J503:Y503" si="114">J472</f>
        <v>0</v>
      </c>
      <c r="K503" s="254">
        <f t="shared" si="114"/>
        <v>0</v>
      </c>
      <c r="L503" s="254">
        <f t="shared" si="114"/>
        <v>34179.566028011744</v>
      </c>
      <c r="M503" s="254">
        <f t="shared" si="114"/>
        <v>0</v>
      </c>
      <c r="N503" s="254">
        <f t="shared" si="114"/>
        <v>3975.1074159567052</v>
      </c>
      <c r="O503" s="254">
        <f t="shared" si="114"/>
        <v>196.25619913978647</v>
      </c>
      <c r="P503" s="254">
        <f t="shared" si="114"/>
        <v>283.78675919565893</v>
      </c>
      <c r="Q503" s="254">
        <f t="shared" si="114"/>
        <v>0</v>
      </c>
      <c r="R503" s="254">
        <f t="shared" si="114"/>
        <v>0</v>
      </c>
      <c r="S503" s="254">
        <f t="shared" si="114"/>
        <v>0</v>
      </c>
      <c r="T503" s="254">
        <f t="shared" si="114"/>
        <v>0</v>
      </c>
      <c r="U503" s="254">
        <f t="shared" si="114"/>
        <v>0</v>
      </c>
      <c r="V503" s="254">
        <f t="shared" si="114"/>
        <v>0</v>
      </c>
      <c r="W503" s="254">
        <f t="shared" si="114"/>
        <v>0</v>
      </c>
      <c r="X503" s="254">
        <f t="shared" si="114"/>
        <v>0</v>
      </c>
      <c r="Y503" s="254">
        <f t="shared" si="114"/>
        <v>0</v>
      </c>
      <c r="AQ503" s="88"/>
    </row>
    <row r="504" spans="5:43" x14ac:dyDescent="0.25">
      <c r="E504" s="109" t="s">
        <v>202</v>
      </c>
      <c r="F504" s="98"/>
      <c r="J504" s="152"/>
      <c r="K504" s="152"/>
      <c r="L504" s="152"/>
      <c r="M504" s="152"/>
      <c r="N504" s="152"/>
      <c r="O504" s="152"/>
      <c r="P504" s="152"/>
      <c r="Q504" s="152"/>
      <c r="R504" s="152"/>
      <c r="S504" s="152"/>
      <c r="T504" s="152"/>
      <c r="U504" s="152"/>
      <c r="V504" s="152"/>
      <c r="W504" s="152"/>
      <c r="X504" s="152"/>
      <c r="Y504" s="152"/>
      <c r="AQ504" s="88"/>
    </row>
    <row r="505" spans="5:43" x14ac:dyDescent="0.25">
      <c r="E505" s="39"/>
      <c r="F505" s="98" t="s">
        <v>1061</v>
      </c>
      <c r="G505" s="293" t="s">
        <v>169</v>
      </c>
      <c r="J505" s="258">
        <f t="shared" ref="J505:Y505" si="115">J357</f>
        <v>0</v>
      </c>
      <c r="K505" s="258">
        <f t="shared" si="115"/>
        <v>0</v>
      </c>
      <c r="L505" s="258">
        <f t="shared" si="115"/>
        <v>0</v>
      </c>
      <c r="M505" s="258">
        <f t="shared" si="115"/>
        <v>0</v>
      </c>
      <c r="N505" s="258">
        <f t="shared" si="115"/>
        <v>642.049257872917</v>
      </c>
      <c r="O505" s="258">
        <f t="shared" si="115"/>
        <v>0</v>
      </c>
      <c r="P505" s="258">
        <f t="shared" si="115"/>
        <v>8742.4345778191509</v>
      </c>
      <c r="Q505" s="258">
        <f t="shared" si="115"/>
        <v>0</v>
      </c>
      <c r="R505" s="258">
        <f t="shared" si="115"/>
        <v>0</v>
      </c>
      <c r="S505" s="258">
        <f t="shared" si="115"/>
        <v>0</v>
      </c>
      <c r="T505" s="258">
        <f t="shared" si="115"/>
        <v>0</v>
      </c>
      <c r="U505" s="258">
        <f t="shared" si="115"/>
        <v>0</v>
      </c>
      <c r="V505" s="258">
        <f t="shared" si="115"/>
        <v>0</v>
      </c>
      <c r="W505" s="258">
        <f t="shared" si="115"/>
        <v>0</v>
      </c>
      <c r="X505" s="258">
        <f t="shared" si="115"/>
        <v>0</v>
      </c>
      <c r="Y505" s="258">
        <f t="shared" si="115"/>
        <v>0</v>
      </c>
      <c r="AQ505" s="88"/>
    </row>
    <row r="506" spans="5:43" x14ac:dyDescent="0.25">
      <c r="E506" s="39"/>
      <c r="F506" s="98" t="s">
        <v>1094</v>
      </c>
      <c r="G506" s="293" t="s">
        <v>169</v>
      </c>
      <c r="J506" s="476">
        <f t="shared" ref="J506:Y506" si="116">J386</f>
        <v>0</v>
      </c>
      <c r="K506" s="476">
        <f t="shared" si="116"/>
        <v>0</v>
      </c>
      <c r="L506" s="476">
        <f t="shared" si="116"/>
        <v>0</v>
      </c>
      <c r="M506" s="476">
        <f t="shared" si="116"/>
        <v>0</v>
      </c>
      <c r="N506" s="476">
        <f t="shared" si="116"/>
        <v>640098.04248935636</v>
      </c>
      <c r="O506" s="476">
        <f t="shared" si="116"/>
        <v>577.69584961494263</v>
      </c>
      <c r="P506" s="476">
        <f t="shared" si="116"/>
        <v>137610.63331683088</v>
      </c>
      <c r="Q506" s="476">
        <f t="shared" si="116"/>
        <v>0</v>
      </c>
      <c r="R506" s="476">
        <f t="shared" si="116"/>
        <v>0</v>
      </c>
      <c r="S506" s="476">
        <f t="shared" si="116"/>
        <v>0</v>
      </c>
      <c r="T506" s="476">
        <f t="shared" si="116"/>
        <v>0</v>
      </c>
      <c r="U506" s="476">
        <f t="shared" si="116"/>
        <v>0</v>
      </c>
      <c r="V506" s="476">
        <f t="shared" si="116"/>
        <v>0</v>
      </c>
      <c r="W506" s="476">
        <f t="shared" si="116"/>
        <v>0</v>
      </c>
      <c r="X506" s="476">
        <f t="shared" si="116"/>
        <v>0</v>
      </c>
      <c r="Y506" s="476">
        <f t="shared" si="116"/>
        <v>0</v>
      </c>
      <c r="AQ506" s="88"/>
    </row>
    <row r="507" spans="5:43" x14ac:dyDescent="0.25">
      <c r="E507" s="39"/>
      <c r="F507" s="98" t="s">
        <v>1095</v>
      </c>
      <c r="G507" s="293" t="s">
        <v>169</v>
      </c>
      <c r="J507" s="476">
        <f t="shared" ref="J507:Y507" si="117">J415</f>
        <v>0</v>
      </c>
      <c r="K507" s="476">
        <f t="shared" si="117"/>
        <v>0</v>
      </c>
      <c r="L507" s="476">
        <f t="shared" si="117"/>
        <v>0</v>
      </c>
      <c r="M507" s="476">
        <f t="shared" si="117"/>
        <v>0</v>
      </c>
      <c r="N507" s="476">
        <f t="shared" si="117"/>
        <v>608021.31232871988</v>
      </c>
      <c r="O507" s="476">
        <f t="shared" si="117"/>
        <v>7326.1303012358449</v>
      </c>
      <c r="P507" s="476">
        <f t="shared" si="117"/>
        <v>477304.13915289985</v>
      </c>
      <c r="Q507" s="476">
        <f t="shared" si="117"/>
        <v>0</v>
      </c>
      <c r="R507" s="476">
        <f t="shared" si="117"/>
        <v>0</v>
      </c>
      <c r="S507" s="476">
        <f t="shared" si="117"/>
        <v>0</v>
      </c>
      <c r="T507" s="476">
        <f t="shared" si="117"/>
        <v>0</v>
      </c>
      <c r="U507" s="476">
        <f t="shared" si="117"/>
        <v>0</v>
      </c>
      <c r="V507" s="476">
        <f t="shared" si="117"/>
        <v>0</v>
      </c>
      <c r="W507" s="476">
        <f t="shared" si="117"/>
        <v>0</v>
      </c>
      <c r="X507" s="476">
        <f t="shared" si="117"/>
        <v>0</v>
      </c>
      <c r="Y507" s="476">
        <f t="shared" si="117"/>
        <v>0</v>
      </c>
      <c r="AQ507" s="88"/>
    </row>
    <row r="508" spans="5:43" x14ac:dyDescent="0.25">
      <c r="E508" s="39"/>
      <c r="F508" s="98" t="s">
        <v>1096</v>
      </c>
      <c r="G508" s="293" t="s">
        <v>169</v>
      </c>
      <c r="J508" s="254">
        <f t="shared" ref="J508:Y508" si="118">J444</f>
        <v>0</v>
      </c>
      <c r="K508" s="254">
        <f t="shared" si="118"/>
        <v>0</v>
      </c>
      <c r="L508" s="254">
        <f t="shared" si="118"/>
        <v>0</v>
      </c>
      <c r="M508" s="254">
        <f t="shared" si="118"/>
        <v>0</v>
      </c>
      <c r="N508" s="254">
        <f t="shared" si="118"/>
        <v>500932.21205768047</v>
      </c>
      <c r="O508" s="254">
        <f t="shared" si="118"/>
        <v>9041.0299014656011</v>
      </c>
      <c r="P508" s="254">
        <f t="shared" si="118"/>
        <v>378843.09550331393</v>
      </c>
      <c r="Q508" s="254">
        <f t="shared" si="118"/>
        <v>0</v>
      </c>
      <c r="R508" s="254">
        <f t="shared" si="118"/>
        <v>0</v>
      </c>
      <c r="S508" s="254">
        <f t="shared" si="118"/>
        <v>0</v>
      </c>
      <c r="T508" s="254">
        <f t="shared" si="118"/>
        <v>0</v>
      </c>
      <c r="U508" s="254">
        <f t="shared" si="118"/>
        <v>0</v>
      </c>
      <c r="V508" s="254">
        <f t="shared" si="118"/>
        <v>0</v>
      </c>
      <c r="W508" s="254">
        <f t="shared" si="118"/>
        <v>0</v>
      </c>
      <c r="X508" s="254">
        <f t="shared" si="118"/>
        <v>0</v>
      </c>
      <c r="Y508" s="254">
        <f t="shared" si="118"/>
        <v>0</v>
      </c>
      <c r="AQ508" s="88"/>
    </row>
    <row r="509" spans="5:43" x14ac:dyDescent="0.25">
      <c r="E509" s="39"/>
      <c r="F509" s="98" t="s">
        <v>1097</v>
      </c>
      <c r="G509" s="293" t="s">
        <v>169</v>
      </c>
      <c r="J509" s="254">
        <f>J473</f>
        <v>0</v>
      </c>
      <c r="K509" s="254">
        <f t="shared" ref="K509:Y509" si="119">K473</f>
        <v>0</v>
      </c>
      <c r="L509" s="254">
        <f t="shared" si="119"/>
        <v>0</v>
      </c>
      <c r="M509" s="254">
        <f t="shared" si="119"/>
        <v>0</v>
      </c>
      <c r="N509" s="254">
        <f t="shared" si="119"/>
        <v>1648015.9304704696</v>
      </c>
      <c r="O509" s="254">
        <f t="shared" si="119"/>
        <v>120280.04513021372</v>
      </c>
      <c r="P509" s="254">
        <f t="shared" si="119"/>
        <v>1006005.5854770722</v>
      </c>
      <c r="Q509" s="254">
        <f t="shared" si="119"/>
        <v>0</v>
      </c>
      <c r="R509" s="254">
        <f t="shared" si="119"/>
        <v>0</v>
      </c>
      <c r="S509" s="254">
        <f t="shared" si="119"/>
        <v>0</v>
      </c>
      <c r="T509" s="254">
        <f t="shared" si="119"/>
        <v>0</v>
      </c>
      <c r="U509" s="254">
        <f t="shared" si="119"/>
        <v>0</v>
      </c>
      <c r="V509" s="254">
        <f t="shared" si="119"/>
        <v>0</v>
      </c>
      <c r="W509" s="254">
        <f t="shared" si="119"/>
        <v>0</v>
      </c>
      <c r="X509" s="254">
        <f t="shared" si="119"/>
        <v>0</v>
      </c>
      <c r="Y509" s="254">
        <f t="shared" si="119"/>
        <v>0</v>
      </c>
      <c r="AQ509" s="88"/>
    </row>
    <row r="510" spans="5:43" x14ac:dyDescent="0.25">
      <c r="E510" s="109" t="s">
        <v>203</v>
      </c>
      <c r="F510" s="98"/>
      <c r="J510" s="152"/>
      <c r="K510" s="152"/>
      <c r="L510" s="152"/>
      <c r="M510" s="152"/>
      <c r="N510" s="152"/>
      <c r="O510" s="152"/>
      <c r="P510" s="152"/>
      <c r="Q510" s="152"/>
      <c r="R510" s="152"/>
      <c r="S510" s="152"/>
      <c r="T510" s="152"/>
      <c r="U510" s="152"/>
      <c r="V510" s="152"/>
      <c r="W510" s="152"/>
      <c r="X510" s="152"/>
      <c r="Y510" s="152"/>
      <c r="AQ510" s="88"/>
    </row>
    <row r="511" spans="5:43" x14ac:dyDescent="0.25">
      <c r="E511" s="39"/>
      <c r="F511" s="98" t="s">
        <v>1061</v>
      </c>
      <c r="G511" s="293" t="s">
        <v>169</v>
      </c>
      <c r="J511" s="258">
        <f t="shared" ref="J511:Y511" si="120">J358</f>
        <v>0</v>
      </c>
      <c r="K511" s="258">
        <f t="shared" si="120"/>
        <v>0</v>
      </c>
      <c r="L511" s="258">
        <f t="shared" si="120"/>
        <v>0</v>
      </c>
      <c r="M511" s="258">
        <f t="shared" si="120"/>
        <v>0</v>
      </c>
      <c r="N511" s="258">
        <f t="shared" si="120"/>
        <v>8.5516269885839673</v>
      </c>
      <c r="O511" s="258">
        <f t="shared" si="120"/>
        <v>0</v>
      </c>
      <c r="P511" s="258">
        <f t="shared" si="120"/>
        <v>14.762971455818592</v>
      </c>
      <c r="Q511" s="258">
        <f t="shared" si="120"/>
        <v>0</v>
      </c>
      <c r="R511" s="258">
        <f t="shared" si="120"/>
        <v>0</v>
      </c>
      <c r="S511" s="258">
        <f t="shared" si="120"/>
        <v>0</v>
      </c>
      <c r="T511" s="258">
        <f t="shared" si="120"/>
        <v>0</v>
      </c>
      <c r="U511" s="258">
        <f t="shared" si="120"/>
        <v>0</v>
      </c>
      <c r="V511" s="258">
        <f t="shared" si="120"/>
        <v>0</v>
      </c>
      <c r="W511" s="258">
        <f t="shared" si="120"/>
        <v>0</v>
      </c>
      <c r="X511" s="258">
        <f t="shared" si="120"/>
        <v>0</v>
      </c>
      <c r="Y511" s="258">
        <f t="shared" si="120"/>
        <v>0</v>
      </c>
      <c r="AQ511" s="88"/>
    </row>
    <row r="512" spans="5:43" x14ac:dyDescent="0.25">
      <c r="E512" s="39"/>
      <c r="F512" s="98" t="s">
        <v>1094</v>
      </c>
      <c r="G512" s="293" t="s">
        <v>169</v>
      </c>
      <c r="J512" s="476">
        <f t="shared" ref="J512:Y512" si="121">J387</f>
        <v>0</v>
      </c>
      <c r="K512" s="476">
        <f t="shared" si="121"/>
        <v>0</v>
      </c>
      <c r="L512" s="476">
        <f t="shared" si="121"/>
        <v>0</v>
      </c>
      <c r="M512" s="476">
        <f t="shared" si="121"/>
        <v>0</v>
      </c>
      <c r="N512" s="476">
        <f t="shared" si="121"/>
        <v>8525.638225369943</v>
      </c>
      <c r="O512" s="476">
        <f t="shared" si="121"/>
        <v>3.8269548144699144</v>
      </c>
      <c r="P512" s="476">
        <f t="shared" si="121"/>
        <v>1635.1298393831448</v>
      </c>
      <c r="Q512" s="476">
        <f t="shared" si="121"/>
        <v>0</v>
      </c>
      <c r="R512" s="476">
        <f t="shared" si="121"/>
        <v>0</v>
      </c>
      <c r="S512" s="476">
        <f t="shared" si="121"/>
        <v>0</v>
      </c>
      <c r="T512" s="476">
        <f t="shared" si="121"/>
        <v>0</v>
      </c>
      <c r="U512" s="476">
        <f t="shared" si="121"/>
        <v>0</v>
      </c>
      <c r="V512" s="476">
        <f t="shared" si="121"/>
        <v>0</v>
      </c>
      <c r="W512" s="476">
        <f t="shared" si="121"/>
        <v>0</v>
      </c>
      <c r="X512" s="476">
        <f t="shared" si="121"/>
        <v>0</v>
      </c>
      <c r="Y512" s="476">
        <f t="shared" si="121"/>
        <v>0</v>
      </c>
      <c r="AQ512" s="88"/>
    </row>
    <row r="513" spans="3:43" x14ac:dyDescent="0.25">
      <c r="E513" s="39"/>
      <c r="F513" s="98" t="s">
        <v>1095</v>
      </c>
      <c r="G513" s="293" t="s">
        <v>169</v>
      </c>
      <c r="J513" s="476">
        <f t="shared" ref="J513:Y513" si="122">J416</f>
        <v>0</v>
      </c>
      <c r="K513" s="476">
        <f t="shared" si="122"/>
        <v>0</v>
      </c>
      <c r="L513" s="476">
        <f t="shared" si="122"/>
        <v>0</v>
      </c>
      <c r="M513" s="476">
        <f t="shared" si="122"/>
        <v>0</v>
      </c>
      <c r="N513" s="476">
        <f t="shared" si="122"/>
        <v>8098.3996171422887</v>
      </c>
      <c r="O513" s="476">
        <f t="shared" si="122"/>
        <v>48.532059986991541</v>
      </c>
      <c r="P513" s="476">
        <f t="shared" si="122"/>
        <v>5671.4675427232078</v>
      </c>
      <c r="Q513" s="476">
        <f t="shared" si="122"/>
        <v>0</v>
      </c>
      <c r="R513" s="476">
        <f t="shared" si="122"/>
        <v>0</v>
      </c>
      <c r="S513" s="476">
        <f t="shared" si="122"/>
        <v>0</v>
      </c>
      <c r="T513" s="476">
        <f t="shared" si="122"/>
        <v>0</v>
      </c>
      <c r="U513" s="476">
        <f t="shared" si="122"/>
        <v>0</v>
      </c>
      <c r="V513" s="476">
        <f t="shared" si="122"/>
        <v>0</v>
      </c>
      <c r="W513" s="476">
        <f t="shared" si="122"/>
        <v>0</v>
      </c>
      <c r="X513" s="476">
        <f t="shared" si="122"/>
        <v>0</v>
      </c>
      <c r="Y513" s="476">
        <f t="shared" si="122"/>
        <v>0</v>
      </c>
      <c r="AQ513" s="88"/>
    </row>
    <row r="514" spans="3:43" x14ac:dyDescent="0.25">
      <c r="E514" s="39"/>
      <c r="F514" s="98" t="s">
        <v>1096</v>
      </c>
      <c r="G514" s="293" t="s">
        <v>169</v>
      </c>
      <c r="J514" s="254">
        <f t="shared" ref="J514:Y514" si="123">J445</f>
        <v>0</v>
      </c>
      <c r="K514" s="254">
        <f t="shared" si="123"/>
        <v>0</v>
      </c>
      <c r="L514" s="254">
        <f t="shared" si="123"/>
        <v>0</v>
      </c>
      <c r="M514" s="254">
        <f t="shared" si="123"/>
        <v>0</v>
      </c>
      <c r="N514" s="254">
        <f t="shared" si="123"/>
        <v>6672.0510483502985</v>
      </c>
      <c r="O514" s="254">
        <f t="shared" si="123"/>
        <v>59.892438092193778</v>
      </c>
      <c r="P514" s="254">
        <f t="shared" si="123"/>
        <v>4501.5245913121053</v>
      </c>
      <c r="Q514" s="254">
        <f t="shared" si="123"/>
        <v>0</v>
      </c>
      <c r="R514" s="254">
        <f t="shared" si="123"/>
        <v>0</v>
      </c>
      <c r="S514" s="254">
        <f t="shared" si="123"/>
        <v>0</v>
      </c>
      <c r="T514" s="254">
        <f t="shared" si="123"/>
        <v>0</v>
      </c>
      <c r="U514" s="254">
        <f t="shared" si="123"/>
        <v>0</v>
      </c>
      <c r="V514" s="254">
        <f t="shared" si="123"/>
        <v>0</v>
      </c>
      <c r="W514" s="254">
        <f t="shared" si="123"/>
        <v>0</v>
      </c>
      <c r="X514" s="254">
        <f t="shared" si="123"/>
        <v>0</v>
      </c>
      <c r="Y514" s="254">
        <f t="shared" si="123"/>
        <v>0</v>
      </c>
      <c r="AQ514" s="88"/>
    </row>
    <row r="515" spans="3:43" x14ac:dyDescent="0.25">
      <c r="E515" s="39"/>
      <c r="F515" s="98" t="s">
        <v>1097</v>
      </c>
      <c r="G515" s="293" t="s">
        <v>169</v>
      </c>
      <c r="J515" s="254">
        <f t="shared" ref="J515:Y515" si="124">J474</f>
        <v>0</v>
      </c>
      <c r="K515" s="254">
        <f t="shared" si="124"/>
        <v>0</v>
      </c>
      <c r="L515" s="254">
        <f t="shared" si="124"/>
        <v>0</v>
      </c>
      <c r="M515" s="254">
        <f t="shared" si="124"/>
        <v>0</v>
      </c>
      <c r="N515" s="254">
        <f t="shared" si="124"/>
        <v>21950.368037676482</v>
      </c>
      <c r="O515" s="254">
        <f t="shared" si="124"/>
        <v>796.79696176204573</v>
      </c>
      <c r="P515" s="254">
        <f t="shared" si="124"/>
        <v>11953.652939103808</v>
      </c>
      <c r="Q515" s="254">
        <f t="shared" si="124"/>
        <v>0</v>
      </c>
      <c r="R515" s="254">
        <f t="shared" si="124"/>
        <v>0</v>
      </c>
      <c r="S515" s="254">
        <f t="shared" si="124"/>
        <v>0</v>
      </c>
      <c r="T515" s="254">
        <f t="shared" si="124"/>
        <v>0</v>
      </c>
      <c r="U515" s="254">
        <f t="shared" si="124"/>
        <v>0</v>
      </c>
      <c r="V515" s="254">
        <f t="shared" si="124"/>
        <v>0</v>
      </c>
      <c r="W515" s="254">
        <f t="shared" si="124"/>
        <v>0</v>
      </c>
      <c r="X515" s="254">
        <f t="shared" si="124"/>
        <v>0</v>
      </c>
      <c r="Y515" s="254">
        <f t="shared" si="124"/>
        <v>0</v>
      </c>
      <c r="AQ515" s="88"/>
    </row>
    <row r="516" spans="3:43" x14ac:dyDescent="0.25">
      <c r="E516" s="39" t="s">
        <v>204</v>
      </c>
      <c r="F516" s="98"/>
      <c r="J516" s="152"/>
      <c r="K516" s="152"/>
      <c r="L516" s="152"/>
      <c r="M516" s="152"/>
      <c r="N516" s="152"/>
      <c r="O516" s="152"/>
      <c r="P516" s="152"/>
      <c r="Q516" s="152"/>
      <c r="R516" s="152"/>
      <c r="S516" s="152"/>
      <c r="T516" s="152"/>
      <c r="U516" s="152"/>
      <c r="V516" s="152"/>
      <c r="W516" s="152"/>
      <c r="X516" s="152"/>
      <c r="Y516" s="152"/>
      <c r="AQ516" s="88"/>
    </row>
    <row r="517" spans="3:43" x14ac:dyDescent="0.25">
      <c r="E517" s="39"/>
      <c r="F517" s="98" t="s">
        <v>1061</v>
      </c>
      <c r="G517" s="293" t="s">
        <v>170</v>
      </c>
      <c r="J517" s="258">
        <f t="shared" ref="J517:Y517" si="125">J359</f>
        <v>0</v>
      </c>
      <c r="K517" s="258">
        <f t="shared" si="125"/>
        <v>0</v>
      </c>
      <c r="L517" s="258">
        <f t="shared" si="125"/>
        <v>0</v>
      </c>
      <c r="M517" s="258">
        <f t="shared" si="125"/>
        <v>0</v>
      </c>
      <c r="N517" s="258">
        <f t="shared" si="125"/>
        <v>80.647658930328404</v>
      </c>
      <c r="O517" s="258">
        <f t="shared" si="125"/>
        <v>0</v>
      </c>
      <c r="P517" s="258">
        <f t="shared" si="125"/>
        <v>434.49770631320587</v>
      </c>
      <c r="Q517" s="258">
        <f t="shared" si="125"/>
        <v>0</v>
      </c>
      <c r="R517" s="258">
        <f t="shared" si="125"/>
        <v>0</v>
      </c>
      <c r="S517" s="258">
        <f t="shared" si="125"/>
        <v>0</v>
      </c>
      <c r="T517" s="258">
        <f t="shared" si="125"/>
        <v>5486.7326098670592</v>
      </c>
      <c r="U517" s="258">
        <f t="shared" si="125"/>
        <v>0</v>
      </c>
      <c r="V517" s="258">
        <f t="shared" si="125"/>
        <v>0</v>
      </c>
      <c r="W517" s="258">
        <f t="shared" si="125"/>
        <v>0</v>
      </c>
      <c r="X517" s="258">
        <f t="shared" si="125"/>
        <v>37970.304935278305</v>
      </c>
      <c r="Y517" s="258">
        <f t="shared" si="125"/>
        <v>0</v>
      </c>
      <c r="AQ517" s="88"/>
    </row>
    <row r="518" spans="3:43" x14ac:dyDescent="0.25">
      <c r="E518" s="39"/>
      <c r="F518" s="98" t="s">
        <v>1094</v>
      </c>
      <c r="G518" s="293" t="s">
        <v>170</v>
      </c>
      <c r="J518" s="476">
        <f t="shared" ref="J518:Y518" si="126">J388</f>
        <v>0</v>
      </c>
      <c r="K518" s="476">
        <f t="shared" si="126"/>
        <v>0</v>
      </c>
      <c r="L518" s="476">
        <f t="shared" si="126"/>
        <v>0</v>
      </c>
      <c r="M518" s="476">
        <f t="shared" si="126"/>
        <v>0</v>
      </c>
      <c r="N518" s="476">
        <f t="shared" si="126"/>
        <v>80402.567216844691</v>
      </c>
      <c r="O518" s="476">
        <f t="shared" si="126"/>
        <v>104.69053383114345</v>
      </c>
      <c r="P518" s="476">
        <f t="shared" si="126"/>
        <v>21207.851827550981</v>
      </c>
      <c r="Q518" s="476">
        <f t="shared" si="126"/>
        <v>0</v>
      </c>
      <c r="R518" s="476">
        <f t="shared" si="126"/>
        <v>0</v>
      </c>
      <c r="S518" s="476">
        <f t="shared" si="126"/>
        <v>0</v>
      </c>
      <c r="T518" s="476">
        <f t="shared" si="126"/>
        <v>0</v>
      </c>
      <c r="U518" s="476">
        <f t="shared" si="126"/>
        <v>0</v>
      </c>
      <c r="V518" s="476">
        <f t="shared" si="126"/>
        <v>0</v>
      </c>
      <c r="W518" s="476">
        <f t="shared" si="126"/>
        <v>0</v>
      </c>
      <c r="X518" s="476">
        <f t="shared" si="126"/>
        <v>0</v>
      </c>
      <c r="Y518" s="476">
        <f t="shared" si="126"/>
        <v>0</v>
      </c>
      <c r="AQ518" s="88"/>
    </row>
    <row r="519" spans="3:43" x14ac:dyDescent="0.25">
      <c r="E519" s="39"/>
      <c r="F519" s="98" t="s">
        <v>1095</v>
      </c>
      <c r="G519" s="293" t="s">
        <v>170</v>
      </c>
      <c r="J519" s="476">
        <f t="shared" ref="J519:Y519" si="127">J417</f>
        <v>0</v>
      </c>
      <c r="K519" s="476">
        <f t="shared" si="127"/>
        <v>0</v>
      </c>
      <c r="L519" s="476">
        <f t="shared" si="127"/>
        <v>0</v>
      </c>
      <c r="M519" s="476">
        <f t="shared" si="127"/>
        <v>0</v>
      </c>
      <c r="N519" s="476">
        <f t="shared" si="127"/>
        <v>76373.416552975803</v>
      </c>
      <c r="O519" s="476">
        <f t="shared" si="127"/>
        <v>1327.6475720989113</v>
      </c>
      <c r="P519" s="476">
        <f t="shared" si="127"/>
        <v>73559.689508335403</v>
      </c>
      <c r="Q519" s="476">
        <f t="shared" si="127"/>
        <v>0</v>
      </c>
      <c r="R519" s="476">
        <f t="shared" si="127"/>
        <v>0</v>
      </c>
      <c r="S519" s="476">
        <f t="shared" si="127"/>
        <v>0</v>
      </c>
      <c r="T519" s="476">
        <f t="shared" si="127"/>
        <v>0</v>
      </c>
      <c r="U519" s="476">
        <f t="shared" si="127"/>
        <v>0</v>
      </c>
      <c r="V519" s="476">
        <f t="shared" si="127"/>
        <v>0</v>
      </c>
      <c r="W519" s="476">
        <f t="shared" si="127"/>
        <v>0</v>
      </c>
      <c r="X519" s="476">
        <f t="shared" si="127"/>
        <v>0</v>
      </c>
      <c r="Y519" s="476">
        <f t="shared" si="127"/>
        <v>0</v>
      </c>
      <c r="AQ519" s="88"/>
    </row>
    <row r="520" spans="3:43" x14ac:dyDescent="0.25">
      <c r="E520" s="39"/>
      <c r="F520" s="98" t="s">
        <v>1096</v>
      </c>
      <c r="G520" s="293" t="s">
        <v>170</v>
      </c>
      <c r="J520" s="254">
        <f t="shared" ref="J520:Y520" si="128">J446</f>
        <v>0</v>
      </c>
      <c r="K520" s="254">
        <f t="shared" si="128"/>
        <v>0</v>
      </c>
      <c r="L520" s="254">
        <f t="shared" si="128"/>
        <v>0</v>
      </c>
      <c r="M520" s="254">
        <f t="shared" si="128"/>
        <v>0</v>
      </c>
      <c r="N520" s="254">
        <f t="shared" si="128"/>
        <v>62921.979411802487</v>
      </c>
      <c r="O520" s="254">
        <f t="shared" si="128"/>
        <v>1638.42313805552</v>
      </c>
      <c r="P520" s="254">
        <f t="shared" si="128"/>
        <v>58385.373583934743</v>
      </c>
      <c r="Q520" s="254">
        <f t="shared" si="128"/>
        <v>0</v>
      </c>
      <c r="R520" s="254">
        <f t="shared" si="128"/>
        <v>0</v>
      </c>
      <c r="S520" s="254">
        <f t="shared" si="128"/>
        <v>0</v>
      </c>
      <c r="T520" s="254">
        <f t="shared" si="128"/>
        <v>0</v>
      </c>
      <c r="U520" s="254">
        <f t="shared" si="128"/>
        <v>0</v>
      </c>
      <c r="V520" s="254">
        <f t="shared" si="128"/>
        <v>0</v>
      </c>
      <c r="W520" s="254">
        <f t="shared" si="128"/>
        <v>0</v>
      </c>
      <c r="X520" s="254">
        <f t="shared" si="128"/>
        <v>0</v>
      </c>
      <c r="Y520" s="254">
        <f t="shared" si="128"/>
        <v>0</v>
      </c>
      <c r="AQ520" s="88"/>
    </row>
    <row r="521" spans="3:43" x14ac:dyDescent="0.25">
      <c r="E521" s="36"/>
      <c r="F521" s="477" t="s">
        <v>1097</v>
      </c>
      <c r="G521" s="93" t="s">
        <v>170</v>
      </c>
      <c r="H521" s="93"/>
      <c r="I521" s="93"/>
      <c r="J521" s="476">
        <f t="shared" ref="J521:Y521" si="129">J475</f>
        <v>0</v>
      </c>
      <c r="K521" s="476">
        <f t="shared" si="129"/>
        <v>0</v>
      </c>
      <c r="L521" s="476">
        <f t="shared" si="129"/>
        <v>0</v>
      </c>
      <c r="M521" s="476">
        <f t="shared" si="129"/>
        <v>0</v>
      </c>
      <c r="N521" s="476">
        <f t="shared" si="129"/>
        <v>207006.90023792107</v>
      </c>
      <c r="O521" s="476">
        <f t="shared" si="129"/>
        <v>21797.252208596088</v>
      </c>
      <c r="P521" s="476">
        <f t="shared" si="129"/>
        <v>155040.47093050441</v>
      </c>
      <c r="Q521" s="476">
        <f t="shared" si="129"/>
        <v>0</v>
      </c>
      <c r="R521" s="476">
        <f t="shared" si="129"/>
        <v>0</v>
      </c>
      <c r="S521" s="476">
        <f t="shared" si="129"/>
        <v>0</v>
      </c>
      <c r="T521" s="476">
        <f t="shared" si="129"/>
        <v>0</v>
      </c>
      <c r="U521" s="476">
        <f t="shared" si="129"/>
        <v>0</v>
      </c>
      <c r="V521" s="476">
        <f t="shared" si="129"/>
        <v>0</v>
      </c>
      <c r="W521" s="476">
        <f t="shared" si="129"/>
        <v>0</v>
      </c>
      <c r="X521" s="476">
        <f t="shared" si="129"/>
        <v>0</v>
      </c>
      <c r="Y521" s="476">
        <f t="shared" si="129"/>
        <v>0</v>
      </c>
      <c r="AQ521" s="88"/>
    </row>
    <row r="522" spans="3:43" x14ac:dyDescent="0.25">
      <c r="AQ522" s="88"/>
    </row>
    <row r="523" spans="3:43" x14ac:dyDescent="0.25">
      <c r="C523" s="7" t="str">
        <f ca="1">INDEX('Version control'!$H$35:$H$61,MATCH($A$1,'Version control'!$F$35:$F$61,0),1)&amp;"-J: Volumes by residual band"</f>
        <v>Section 507-J: Volumes by residual band</v>
      </c>
      <c r="D523" s="7"/>
      <c r="E523" s="7"/>
      <c r="F523" s="7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  <c r="AA523" s="7"/>
      <c r="AQ523" s="88"/>
    </row>
    <row r="524" spans="3:43" x14ac:dyDescent="0.25">
      <c r="C524" s="96"/>
      <c r="AQ524" s="88"/>
    </row>
    <row r="525" spans="3:43" x14ac:dyDescent="0.25">
      <c r="D525" s="96" t="s">
        <v>1226</v>
      </c>
      <c r="AQ525" s="88"/>
    </row>
    <row r="526" spans="3:43" x14ac:dyDescent="0.25">
      <c r="E526" s="40" t="s">
        <v>199</v>
      </c>
      <c r="F526" s="91"/>
      <c r="G526" s="91"/>
      <c r="H526" s="91"/>
      <c r="I526" s="91"/>
      <c r="J526" s="91"/>
      <c r="K526" s="91"/>
      <c r="L526" s="91"/>
      <c r="M526" s="91"/>
      <c r="N526" s="91"/>
      <c r="O526" s="91"/>
      <c r="P526" s="91"/>
      <c r="Q526" s="91"/>
      <c r="R526" s="91"/>
      <c r="S526" s="91"/>
      <c r="T526" s="91"/>
      <c r="U526" s="91"/>
      <c r="V526" s="91"/>
      <c r="W526" s="91"/>
      <c r="X526" s="91"/>
      <c r="Y526" s="91"/>
      <c r="AQ526" s="88"/>
    </row>
    <row r="527" spans="3:43" x14ac:dyDescent="0.25">
      <c r="E527" s="39"/>
      <c r="F527" s="98" t="s">
        <v>1061</v>
      </c>
      <c r="G527" s="293" t="s">
        <v>120</v>
      </c>
      <c r="J527" s="258">
        <f>J58</f>
        <v>0</v>
      </c>
      <c r="K527" s="258">
        <f t="shared" ref="K527:Y527" si="130">K58</f>
        <v>352.09798476122353</v>
      </c>
      <c r="L527" s="258">
        <f t="shared" si="130"/>
        <v>17.674829368275692</v>
      </c>
      <c r="M527" s="258">
        <f t="shared" si="130"/>
        <v>551.63967583646206</v>
      </c>
      <c r="N527" s="258">
        <f t="shared" si="130"/>
        <v>97.441843836801354</v>
      </c>
      <c r="O527" s="258">
        <f t="shared" si="130"/>
        <v>0</v>
      </c>
      <c r="P527" s="258">
        <f t="shared" si="130"/>
        <v>282.51298224599748</v>
      </c>
      <c r="Q527" s="258">
        <f t="shared" si="130"/>
        <v>0</v>
      </c>
      <c r="R527" s="258">
        <f t="shared" si="130"/>
        <v>674.85025217285374</v>
      </c>
      <c r="S527" s="258">
        <f t="shared" si="130"/>
        <v>25.768606153818535</v>
      </c>
      <c r="T527" s="258">
        <f t="shared" si="130"/>
        <v>3471.0598153050755</v>
      </c>
      <c r="U527" s="258">
        <f t="shared" si="130"/>
        <v>0</v>
      </c>
      <c r="V527" s="258">
        <f t="shared" si="130"/>
        <v>0</v>
      </c>
      <c r="W527" s="258">
        <f t="shared" si="130"/>
        <v>0</v>
      </c>
      <c r="X527" s="258">
        <f t="shared" si="130"/>
        <v>86090.420132224855</v>
      </c>
      <c r="Y527" s="258">
        <f t="shared" si="130"/>
        <v>0</v>
      </c>
      <c r="AQ527" s="88"/>
    </row>
    <row r="528" spans="3:43" x14ac:dyDescent="0.25">
      <c r="E528" s="39"/>
      <c r="F528" s="98" t="s">
        <v>1094</v>
      </c>
      <c r="G528" s="293" t="s">
        <v>120</v>
      </c>
      <c r="J528" s="476">
        <f>J67</f>
        <v>1519528.9909572054</v>
      </c>
      <c r="K528" s="476">
        <f t="shared" ref="K528:Y528" si="131">K67</f>
        <v>0</v>
      </c>
      <c r="L528" s="476">
        <f t="shared" si="131"/>
        <v>22037.121295722271</v>
      </c>
      <c r="M528" s="476">
        <f t="shared" si="131"/>
        <v>0</v>
      </c>
      <c r="N528" s="476">
        <f t="shared" si="131"/>
        <v>97145.713871124273</v>
      </c>
      <c r="O528" s="476">
        <f t="shared" si="131"/>
        <v>138.89808368080392</v>
      </c>
      <c r="P528" s="476">
        <f t="shared" si="131"/>
        <v>28861.873179192746</v>
      </c>
      <c r="Q528" s="476">
        <f t="shared" si="131"/>
        <v>11517.961391048839</v>
      </c>
      <c r="R528" s="476">
        <f t="shared" si="131"/>
        <v>0</v>
      </c>
      <c r="S528" s="476">
        <f t="shared" si="131"/>
        <v>0</v>
      </c>
      <c r="T528" s="476">
        <f t="shared" si="131"/>
        <v>0</v>
      </c>
      <c r="U528" s="476">
        <f t="shared" si="131"/>
        <v>0</v>
      </c>
      <c r="V528" s="476">
        <f t="shared" si="131"/>
        <v>0</v>
      </c>
      <c r="W528" s="476">
        <f t="shared" si="131"/>
        <v>0</v>
      </c>
      <c r="X528" s="476">
        <f t="shared" si="131"/>
        <v>0</v>
      </c>
      <c r="Y528" s="476">
        <f t="shared" si="131"/>
        <v>0</v>
      </c>
      <c r="AQ528" s="88"/>
    </row>
    <row r="529" spans="5:43" x14ac:dyDescent="0.25">
      <c r="E529" s="39"/>
      <c r="F529" s="98" t="s">
        <v>1095</v>
      </c>
      <c r="G529" s="293" t="s">
        <v>120</v>
      </c>
      <c r="J529" s="476">
        <f>J76</f>
        <v>0</v>
      </c>
      <c r="K529" s="476">
        <f t="shared" ref="K529:Y529" si="132">K76</f>
        <v>0</v>
      </c>
      <c r="L529" s="476">
        <f t="shared" si="132"/>
        <v>54395.390759272494</v>
      </c>
      <c r="M529" s="476">
        <f t="shared" si="132"/>
        <v>0</v>
      </c>
      <c r="N529" s="476">
        <f t="shared" si="132"/>
        <v>92277.527057135914</v>
      </c>
      <c r="O529" s="476">
        <f t="shared" si="132"/>
        <v>1761.4553753775297</v>
      </c>
      <c r="P529" s="476">
        <f t="shared" si="132"/>
        <v>100107.75475771216</v>
      </c>
      <c r="Q529" s="476">
        <f t="shared" si="132"/>
        <v>0</v>
      </c>
      <c r="R529" s="476">
        <f t="shared" si="132"/>
        <v>0</v>
      </c>
      <c r="S529" s="476">
        <f t="shared" si="132"/>
        <v>0</v>
      </c>
      <c r="T529" s="476">
        <f t="shared" si="132"/>
        <v>0</v>
      </c>
      <c r="U529" s="476">
        <f t="shared" si="132"/>
        <v>0</v>
      </c>
      <c r="V529" s="476">
        <f t="shared" si="132"/>
        <v>0</v>
      </c>
      <c r="W529" s="476">
        <f t="shared" si="132"/>
        <v>0</v>
      </c>
      <c r="X529" s="476">
        <f t="shared" si="132"/>
        <v>0</v>
      </c>
      <c r="Y529" s="476">
        <f t="shared" si="132"/>
        <v>0</v>
      </c>
      <c r="AQ529" s="88"/>
    </row>
    <row r="530" spans="5:43" x14ac:dyDescent="0.25">
      <c r="E530" s="39"/>
      <c r="F530" s="98" t="s">
        <v>1096</v>
      </c>
      <c r="G530" s="293" t="s">
        <v>120</v>
      </c>
      <c r="J530" s="254">
        <f>J85</f>
        <v>0</v>
      </c>
      <c r="K530" s="254">
        <f t="shared" ref="K530:Y530" si="133">K85</f>
        <v>0</v>
      </c>
      <c r="L530" s="254">
        <f t="shared" si="133"/>
        <v>65264.684853173239</v>
      </c>
      <c r="M530" s="254">
        <f t="shared" si="133"/>
        <v>0</v>
      </c>
      <c r="N530" s="254">
        <f t="shared" si="133"/>
        <v>76024.94322921471</v>
      </c>
      <c r="O530" s="254">
        <f t="shared" si="133"/>
        <v>2173.7766138556271</v>
      </c>
      <c r="P530" s="254">
        <f t="shared" si="133"/>
        <v>79456.951208523518</v>
      </c>
      <c r="Q530" s="254">
        <f t="shared" si="133"/>
        <v>0</v>
      </c>
      <c r="R530" s="254">
        <f t="shared" si="133"/>
        <v>0</v>
      </c>
      <c r="S530" s="254">
        <f t="shared" si="133"/>
        <v>0</v>
      </c>
      <c r="T530" s="254">
        <f t="shared" si="133"/>
        <v>0</v>
      </c>
      <c r="U530" s="254">
        <f t="shared" si="133"/>
        <v>0</v>
      </c>
      <c r="V530" s="254">
        <f t="shared" si="133"/>
        <v>0</v>
      </c>
      <c r="W530" s="254">
        <f t="shared" si="133"/>
        <v>0</v>
      </c>
      <c r="X530" s="254">
        <f t="shared" si="133"/>
        <v>0</v>
      </c>
      <c r="Y530" s="254">
        <f t="shared" si="133"/>
        <v>0</v>
      </c>
      <c r="AQ530" s="88"/>
    </row>
    <row r="531" spans="5:43" x14ac:dyDescent="0.25">
      <c r="E531" s="39"/>
      <c r="F531" s="98" t="s">
        <v>1097</v>
      </c>
      <c r="G531" s="293" t="s">
        <v>120</v>
      </c>
      <c r="J531" s="254">
        <f>J94</f>
        <v>0</v>
      </c>
      <c r="K531" s="254">
        <f t="shared" ref="K531:Y531" si="134">K94</f>
        <v>0</v>
      </c>
      <c r="L531" s="254">
        <f t="shared" si="134"/>
        <v>164259.89680995391</v>
      </c>
      <c r="M531" s="254">
        <f t="shared" si="134"/>
        <v>0</v>
      </c>
      <c r="N531" s="254">
        <f t="shared" si="134"/>
        <v>250114.31594746836</v>
      </c>
      <c r="O531" s="254">
        <f t="shared" si="134"/>
        <v>28919.487278232933</v>
      </c>
      <c r="P531" s="254">
        <f t="shared" si="134"/>
        <v>210995.36369946759</v>
      </c>
      <c r="Q531" s="254">
        <f t="shared" si="134"/>
        <v>0</v>
      </c>
      <c r="R531" s="254">
        <f t="shared" si="134"/>
        <v>0</v>
      </c>
      <c r="S531" s="254">
        <f t="shared" si="134"/>
        <v>0</v>
      </c>
      <c r="T531" s="254">
        <f t="shared" si="134"/>
        <v>0</v>
      </c>
      <c r="U531" s="254">
        <f t="shared" si="134"/>
        <v>0</v>
      </c>
      <c r="V531" s="254">
        <f t="shared" si="134"/>
        <v>0</v>
      </c>
      <c r="W531" s="254">
        <f t="shared" si="134"/>
        <v>0</v>
      </c>
      <c r="X531" s="254">
        <f t="shared" si="134"/>
        <v>0</v>
      </c>
      <c r="Y531" s="254">
        <f t="shared" si="134"/>
        <v>0</v>
      </c>
      <c r="AQ531" s="88"/>
    </row>
    <row r="532" spans="5:43" x14ac:dyDescent="0.25">
      <c r="E532" s="109" t="s">
        <v>200</v>
      </c>
      <c r="F532" s="98"/>
      <c r="J532" s="152"/>
      <c r="K532" s="152"/>
      <c r="L532" s="152"/>
      <c r="M532" s="152"/>
      <c r="N532" s="152"/>
      <c r="O532" s="152"/>
      <c r="P532" s="152"/>
      <c r="Q532" s="152"/>
      <c r="R532" s="152"/>
      <c r="S532" s="152"/>
      <c r="T532" s="152"/>
      <c r="U532" s="152"/>
      <c r="V532" s="152"/>
      <c r="W532" s="152"/>
      <c r="X532" s="152"/>
      <c r="Y532" s="152"/>
      <c r="AQ532" s="88"/>
    </row>
    <row r="533" spans="5:43" x14ac:dyDescent="0.25">
      <c r="E533" s="39"/>
      <c r="F533" s="98" t="s">
        <v>1061</v>
      </c>
      <c r="G533" s="293" t="s">
        <v>120</v>
      </c>
      <c r="J533" s="258">
        <f>J59</f>
        <v>0</v>
      </c>
      <c r="K533" s="258">
        <f t="shared" ref="K533:Y533" si="135">K59</f>
        <v>43149.740797225757</v>
      </c>
      <c r="L533" s="258">
        <f t="shared" si="135"/>
        <v>111.15518056847273</v>
      </c>
      <c r="M533" s="258">
        <f t="shared" si="135"/>
        <v>7964.6066273601509</v>
      </c>
      <c r="N533" s="258">
        <f t="shared" si="135"/>
        <v>556.03409177375033</v>
      </c>
      <c r="O533" s="258">
        <f t="shared" si="135"/>
        <v>0</v>
      </c>
      <c r="P533" s="258">
        <f t="shared" si="135"/>
        <v>4354.8781058513705</v>
      </c>
      <c r="Q533" s="258">
        <f t="shared" si="135"/>
        <v>0</v>
      </c>
      <c r="R533" s="258">
        <f t="shared" si="135"/>
        <v>5290.0415585937481</v>
      </c>
      <c r="S533" s="258">
        <f t="shared" si="135"/>
        <v>199.9475994029803</v>
      </c>
      <c r="T533" s="258">
        <f t="shared" si="135"/>
        <v>32553.160713646485</v>
      </c>
      <c r="U533" s="258">
        <f t="shared" si="135"/>
        <v>0</v>
      </c>
      <c r="V533" s="258">
        <f t="shared" si="135"/>
        <v>0</v>
      </c>
      <c r="W533" s="258">
        <f t="shared" si="135"/>
        <v>0</v>
      </c>
      <c r="X533" s="258">
        <f t="shared" si="135"/>
        <v>532778.46099718625</v>
      </c>
      <c r="Y533" s="258">
        <f t="shared" si="135"/>
        <v>0</v>
      </c>
      <c r="AQ533" s="88"/>
    </row>
    <row r="534" spans="5:43" x14ac:dyDescent="0.25">
      <c r="E534" s="39"/>
      <c r="F534" s="98" t="s">
        <v>1094</v>
      </c>
      <c r="G534" s="293" t="s">
        <v>120</v>
      </c>
      <c r="J534" s="476">
        <f>J68</f>
        <v>6704922.9381034765</v>
      </c>
      <c r="K534" s="476">
        <f t="shared" ref="K534:Y534" si="136">K68</f>
        <v>0</v>
      </c>
      <c r="L534" s="476">
        <f t="shared" si="136"/>
        <v>138589.18498143979</v>
      </c>
      <c r="M534" s="476">
        <f t="shared" si="136"/>
        <v>0</v>
      </c>
      <c r="N534" s="476">
        <f t="shared" si="136"/>
        <v>554344.28018943733</v>
      </c>
      <c r="O534" s="476">
        <f t="shared" si="136"/>
        <v>759.30740603700929</v>
      </c>
      <c r="P534" s="476">
        <f t="shared" si="136"/>
        <v>161071.9650958328</v>
      </c>
      <c r="Q534" s="476">
        <f t="shared" si="136"/>
        <v>73125.948651823521</v>
      </c>
      <c r="R534" s="476">
        <f t="shared" si="136"/>
        <v>0</v>
      </c>
      <c r="S534" s="476">
        <f t="shared" si="136"/>
        <v>0</v>
      </c>
      <c r="T534" s="476">
        <f t="shared" si="136"/>
        <v>0</v>
      </c>
      <c r="U534" s="476">
        <f t="shared" si="136"/>
        <v>0</v>
      </c>
      <c r="V534" s="476">
        <f t="shared" si="136"/>
        <v>0</v>
      </c>
      <c r="W534" s="476">
        <f t="shared" si="136"/>
        <v>0</v>
      </c>
      <c r="X534" s="476">
        <f t="shared" si="136"/>
        <v>0</v>
      </c>
      <c r="Y534" s="476">
        <f t="shared" si="136"/>
        <v>0</v>
      </c>
      <c r="AQ534" s="88"/>
    </row>
    <row r="535" spans="5:43" x14ac:dyDescent="0.25">
      <c r="E535" s="39"/>
      <c r="F535" s="98" t="s">
        <v>1095</v>
      </c>
      <c r="G535" s="293" t="s">
        <v>120</v>
      </c>
      <c r="J535" s="476">
        <f>J77</f>
        <v>0</v>
      </c>
      <c r="K535" s="476">
        <f t="shared" ref="K535:Y535" si="137">K77</f>
        <v>0</v>
      </c>
      <c r="L535" s="476">
        <f t="shared" si="137"/>
        <v>342087.00723255862</v>
      </c>
      <c r="M535" s="476">
        <f t="shared" si="137"/>
        <v>0</v>
      </c>
      <c r="N535" s="476">
        <f t="shared" si="137"/>
        <v>526564.8609264507</v>
      </c>
      <c r="O535" s="476">
        <f t="shared" si="137"/>
        <v>9629.2625246110765</v>
      </c>
      <c r="P535" s="476">
        <f t="shared" si="137"/>
        <v>558680.05101557309</v>
      </c>
      <c r="Q535" s="476">
        <f t="shared" si="137"/>
        <v>0</v>
      </c>
      <c r="R535" s="476">
        <f t="shared" si="137"/>
        <v>0</v>
      </c>
      <c r="S535" s="476">
        <f t="shared" si="137"/>
        <v>0</v>
      </c>
      <c r="T535" s="476">
        <f t="shared" si="137"/>
        <v>0</v>
      </c>
      <c r="U535" s="476">
        <f t="shared" si="137"/>
        <v>0</v>
      </c>
      <c r="V535" s="476">
        <f t="shared" si="137"/>
        <v>0</v>
      </c>
      <c r="W535" s="476">
        <f t="shared" si="137"/>
        <v>0</v>
      </c>
      <c r="X535" s="476">
        <f t="shared" si="137"/>
        <v>0</v>
      </c>
      <c r="Y535" s="476">
        <f t="shared" si="137"/>
        <v>0</v>
      </c>
      <c r="AQ535" s="88"/>
    </row>
    <row r="536" spans="5:43" x14ac:dyDescent="0.25">
      <c r="E536" s="39"/>
      <c r="F536" s="98" t="s">
        <v>1096</v>
      </c>
      <c r="G536" s="293" t="s">
        <v>120</v>
      </c>
      <c r="J536" s="254">
        <f>J86</f>
        <v>0</v>
      </c>
      <c r="K536" s="254">
        <f t="shared" ref="K536:Y536" si="138">K86</f>
        <v>0</v>
      </c>
      <c r="L536" s="254">
        <f t="shared" si="138"/>
        <v>410442.87774681178</v>
      </c>
      <c r="M536" s="254">
        <f t="shared" si="138"/>
        <v>0</v>
      </c>
      <c r="N536" s="254">
        <f t="shared" si="138"/>
        <v>433822.45856725133</v>
      </c>
      <c r="O536" s="254">
        <f t="shared" si="138"/>
        <v>11883.279007388797</v>
      </c>
      <c r="P536" s="254">
        <f t="shared" si="138"/>
        <v>443432.31612933561</v>
      </c>
      <c r="Q536" s="254">
        <f t="shared" si="138"/>
        <v>0</v>
      </c>
      <c r="R536" s="254">
        <f t="shared" si="138"/>
        <v>0</v>
      </c>
      <c r="S536" s="254">
        <f t="shared" si="138"/>
        <v>0</v>
      </c>
      <c r="T536" s="254">
        <f t="shared" si="138"/>
        <v>0</v>
      </c>
      <c r="U536" s="254">
        <f t="shared" si="138"/>
        <v>0</v>
      </c>
      <c r="V536" s="254">
        <f t="shared" si="138"/>
        <v>0</v>
      </c>
      <c r="W536" s="254">
        <f t="shared" si="138"/>
        <v>0</v>
      </c>
      <c r="X536" s="254">
        <f t="shared" si="138"/>
        <v>0</v>
      </c>
      <c r="Y536" s="254">
        <f t="shared" si="138"/>
        <v>0</v>
      </c>
      <c r="AQ536" s="88"/>
    </row>
    <row r="537" spans="5:43" x14ac:dyDescent="0.25">
      <c r="E537" s="39"/>
      <c r="F537" s="98" t="s">
        <v>1097</v>
      </c>
      <c r="G537" s="293" t="s">
        <v>120</v>
      </c>
      <c r="J537" s="254">
        <f>J95</f>
        <v>0</v>
      </c>
      <c r="K537" s="254">
        <f t="shared" ref="K537:Y537" si="139">K95</f>
        <v>0</v>
      </c>
      <c r="L537" s="254">
        <f t="shared" si="139"/>
        <v>1033013.5646367689</v>
      </c>
      <c r="M537" s="254">
        <f t="shared" si="139"/>
        <v>0</v>
      </c>
      <c r="N537" s="254">
        <f t="shared" si="139"/>
        <v>1427231.6802664949</v>
      </c>
      <c r="O537" s="254">
        <f t="shared" si="139"/>
        <v>158092.75612194854</v>
      </c>
      <c r="P537" s="254">
        <f t="shared" si="139"/>
        <v>1177520.1715488152</v>
      </c>
      <c r="Q537" s="254">
        <f t="shared" si="139"/>
        <v>0</v>
      </c>
      <c r="R537" s="254">
        <f t="shared" si="139"/>
        <v>0</v>
      </c>
      <c r="S537" s="254">
        <f t="shared" si="139"/>
        <v>0</v>
      </c>
      <c r="T537" s="254">
        <f t="shared" si="139"/>
        <v>0</v>
      </c>
      <c r="U537" s="254">
        <f t="shared" si="139"/>
        <v>0</v>
      </c>
      <c r="V537" s="254">
        <f t="shared" si="139"/>
        <v>0</v>
      </c>
      <c r="W537" s="254">
        <f t="shared" si="139"/>
        <v>0</v>
      </c>
      <c r="X537" s="254">
        <f t="shared" si="139"/>
        <v>0</v>
      </c>
      <c r="Y537" s="254">
        <f t="shared" si="139"/>
        <v>0</v>
      </c>
      <c r="AQ537" s="88"/>
    </row>
    <row r="538" spans="5:43" x14ac:dyDescent="0.25">
      <c r="E538" s="109" t="s">
        <v>201</v>
      </c>
      <c r="F538" s="98"/>
      <c r="J538" s="152"/>
      <c r="K538" s="152"/>
      <c r="L538" s="152"/>
      <c r="M538" s="152"/>
      <c r="N538" s="152"/>
      <c r="O538" s="152"/>
      <c r="P538" s="152"/>
      <c r="Q538" s="152"/>
      <c r="R538" s="152"/>
      <c r="S538" s="152"/>
      <c r="T538" s="152"/>
      <c r="U538" s="152"/>
      <c r="V538" s="152"/>
      <c r="W538" s="152"/>
      <c r="X538" s="152"/>
      <c r="Y538" s="152"/>
      <c r="AQ538" s="88"/>
    </row>
    <row r="539" spans="5:43" x14ac:dyDescent="0.25">
      <c r="E539" s="39"/>
      <c r="F539" s="98" t="s">
        <v>1061</v>
      </c>
      <c r="G539" s="293" t="s">
        <v>120</v>
      </c>
      <c r="J539" s="258">
        <f>J60</f>
        <v>0</v>
      </c>
      <c r="K539" s="258">
        <f t="shared" ref="K539:Y539" si="140">K60</f>
        <v>106119.38059189059</v>
      </c>
      <c r="L539" s="258">
        <f t="shared" si="140"/>
        <v>49.387219902662743</v>
      </c>
      <c r="M539" s="258">
        <f t="shared" si="140"/>
        <v>22951.54492456152</v>
      </c>
      <c r="N539" s="258">
        <f t="shared" si="140"/>
        <v>291.55105418687663</v>
      </c>
      <c r="O539" s="258">
        <f t="shared" si="140"/>
        <v>0</v>
      </c>
      <c r="P539" s="258">
        <f t="shared" si="140"/>
        <v>3610.6522415063591</v>
      </c>
      <c r="Q539" s="258">
        <f t="shared" si="140"/>
        <v>0</v>
      </c>
      <c r="R539" s="258">
        <f t="shared" si="140"/>
        <v>705.96883393295752</v>
      </c>
      <c r="S539" s="258">
        <f t="shared" si="140"/>
        <v>28.789763351391056</v>
      </c>
      <c r="T539" s="258">
        <f t="shared" si="140"/>
        <v>8516.1143309833551</v>
      </c>
      <c r="U539" s="258">
        <f t="shared" si="140"/>
        <v>0</v>
      </c>
      <c r="V539" s="258">
        <f t="shared" si="140"/>
        <v>0</v>
      </c>
      <c r="W539" s="258">
        <f t="shared" si="140"/>
        <v>0</v>
      </c>
      <c r="X539" s="258">
        <f t="shared" si="140"/>
        <v>260951.76676867288</v>
      </c>
      <c r="Y539" s="258">
        <f t="shared" si="140"/>
        <v>0</v>
      </c>
      <c r="AQ539" s="88"/>
    </row>
    <row r="540" spans="5:43" x14ac:dyDescent="0.25">
      <c r="E540" s="39"/>
      <c r="F540" s="98" t="s">
        <v>1094</v>
      </c>
      <c r="G540" s="293" t="s">
        <v>120</v>
      </c>
      <c r="J540" s="476">
        <f>J69</f>
        <v>3714187.4425115269</v>
      </c>
      <c r="K540" s="476">
        <f t="shared" ref="K540:Y540" si="141">K69</f>
        <v>0</v>
      </c>
      <c r="L540" s="476">
        <f t="shared" si="141"/>
        <v>61576.388251133903</v>
      </c>
      <c r="M540" s="476">
        <f t="shared" si="141"/>
        <v>0</v>
      </c>
      <c r="N540" s="476">
        <f t="shared" si="141"/>
        <v>290665.01795983157</v>
      </c>
      <c r="O540" s="476">
        <f t="shared" si="141"/>
        <v>497.0286309247079</v>
      </c>
      <c r="P540" s="476">
        <f t="shared" si="141"/>
        <v>110373.66410769592</v>
      </c>
      <c r="Q540" s="476">
        <f t="shared" si="141"/>
        <v>109990.23751551715</v>
      </c>
      <c r="R540" s="476">
        <f t="shared" si="141"/>
        <v>0</v>
      </c>
      <c r="S540" s="476">
        <f t="shared" si="141"/>
        <v>0</v>
      </c>
      <c r="T540" s="476">
        <f t="shared" si="141"/>
        <v>0</v>
      </c>
      <c r="U540" s="476">
        <f t="shared" si="141"/>
        <v>0</v>
      </c>
      <c r="V540" s="476">
        <f t="shared" si="141"/>
        <v>0</v>
      </c>
      <c r="W540" s="476">
        <f t="shared" si="141"/>
        <v>0</v>
      </c>
      <c r="X540" s="476">
        <f t="shared" si="141"/>
        <v>0</v>
      </c>
      <c r="Y540" s="476">
        <f t="shared" si="141"/>
        <v>0</v>
      </c>
      <c r="AQ540" s="88"/>
    </row>
    <row r="541" spans="5:43" x14ac:dyDescent="0.25">
      <c r="E541" s="39"/>
      <c r="F541" s="98" t="s">
        <v>1095</v>
      </c>
      <c r="G541" s="293" t="s">
        <v>120</v>
      </c>
      <c r="J541" s="476">
        <f>J78</f>
        <v>0</v>
      </c>
      <c r="K541" s="476">
        <f t="shared" ref="K541:Y541" si="142">K78</f>
        <v>0</v>
      </c>
      <c r="L541" s="476">
        <f t="shared" si="142"/>
        <v>151992.25232359575</v>
      </c>
      <c r="M541" s="476">
        <f t="shared" si="142"/>
        <v>0</v>
      </c>
      <c r="N541" s="476">
        <f t="shared" si="142"/>
        <v>276099.15034371696</v>
      </c>
      <c r="O541" s="476">
        <f t="shared" si="142"/>
        <v>6303.1377428561063</v>
      </c>
      <c r="P541" s="476">
        <f t="shared" si="142"/>
        <v>382832.38338698726</v>
      </c>
      <c r="Q541" s="476">
        <f t="shared" si="142"/>
        <v>0</v>
      </c>
      <c r="R541" s="476">
        <f t="shared" si="142"/>
        <v>0</v>
      </c>
      <c r="S541" s="476">
        <f t="shared" si="142"/>
        <v>0</v>
      </c>
      <c r="T541" s="476">
        <f t="shared" si="142"/>
        <v>0</v>
      </c>
      <c r="U541" s="476">
        <f t="shared" si="142"/>
        <v>0</v>
      </c>
      <c r="V541" s="476">
        <f t="shared" si="142"/>
        <v>0</v>
      </c>
      <c r="W541" s="476">
        <f t="shared" si="142"/>
        <v>0</v>
      </c>
      <c r="X541" s="476">
        <f t="shared" si="142"/>
        <v>0</v>
      </c>
      <c r="Y541" s="476">
        <f t="shared" si="142"/>
        <v>0</v>
      </c>
      <c r="AQ541" s="88"/>
    </row>
    <row r="542" spans="5:43" x14ac:dyDescent="0.25">
      <c r="E542" s="39"/>
      <c r="F542" s="98" t="s">
        <v>1096</v>
      </c>
      <c r="G542" s="293" t="s">
        <v>120</v>
      </c>
      <c r="J542" s="254">
        <f>J87</f>
        <v>0</v>
      </c>
      <c r="K542" s="254">
        <f t="shared" ref="K542:Y542" si="143">K87</f>
        <v>0</v>
      </c>
      <c r="L542" s="254">
        <f t="shared" si="143"/>
        <v>182363.36405640218</v>
      </c>
      <c r="M542" s="254">
        <f t="shared" si="143"/>
        <v>0</v>
      </c>
      <c r="N542" s="254">
        <f t="shared" si="143"/>
        <v>227470.57598887279</v>
      </c>
      <c r="O542" s="254">
        <f t="shared" si="143"/>
        <v>7778.5753819591955</v>
      </c>
      <c r="P542" s="254">
        <f t="shared" si="143"/>
        <v>303859.51699190616</v>
      </c>
      <c r="Q542" s="254">
        <f t="shared" si="143"/>
        <v>0</v>
      </c>
      <c r="R542" s="254">
        <f t="shared" si="143"/>
        <v>0</v>
      </c>
      <c r="S542" s="254">
        <f t="shared" si="143"/>
        <v>0</v>
      </c>
      <c r="T542" s="254">
        <f t="shared" si="143"/>
        <v>0</v>
      </c>
      <c r="U542" s="254">
        <f t="shared" si="143"/>
        <v>0</v>
      </c>
      <c r="V542" s="254">
        <f t="shared" si="143"/>
        <v>0</v>
      </c>
      <c r="W542" s="254">
        <f t="shared" si="143"/>
        <v>0</v>
      </c>
      <c r="X542" s="254">
        <f t="shared" si="143"/>
        <v>0</v>
      </c>
      <c r="Y542" s="254">
        <f t="shared" si="143"/>
        <v>0</v>
      </c>
      <c r="AQ542" s="88"/>
    </row>
    <row r="543" spans="5:43" x14ac:dyDescent="0.25">
      <c r="E543" s="39"/>
      <c r="F543" s="98" t="s">
        <v>1097</v>
      </c>
      <c r="G543" s="293" t="s">
        <v>120</v>
      </c>
      <c r="J543" s="254">
        <f>J96</f>
        <v>0</v>
      </c>
      <c r="K543" s="254">
        <f t="shared" ref="K543:Y543" si="144">K96</f>
        <v>0</v>
      </c>
      <c r="L543" s="254">
        <f t="shared" si="144"/>
        <v>458976.97091789806</v>
      </c>
      <c r="M543" s="254">
        <f t="shared" si="144"/>
        <v>0</v>
      </c>
      <c r="N543" s="254">
        <f t="shared" si="144"/>
        <v>748355.01474956132</v>
      </c>
      <c r="O543" s="254">
        <f t="shared" si="144"/>
        <v>103484.60387672807</v>
      </c>
      <c r="P543" s="254">
        <f t="shared" si="144"/>
        <v>806889.11827231373</v>
      </c>
      <c r="Q543" s="254">
        <f t="shared" si="144"/>
        <v>0</v>
      </c>
      <c r="R543" s="254">
        <f t="shared" si="144"/>
        <v>0</v>
      </c>
      <c r="S543" s="254">
        <f t="shared" si="144"/>
        <v>0</v>
      </c>
      <c r="T543" s="254">
        <f t="shared" si="144"/>
        <v>0</v>
      </c>
      <c r="U543" s="254">
        <f t="shared" si="144"/>
        <v>0</v>
      </c>
      <c r="V543" s="254">
        <f t="shared" si="144"/>
        <v>0</v>
      </c>
      <c r="W543" s="254">
        <f t="shared" si="144"/>
        <v>0</v>
      </c>
      <c r="X543" s="254">
        <f t="shared" si="144"/>
        <v>0</v>
      </c>
      <c r="Y543" s="254">
        <f t="shared" si="144"/>
        <v>0</v>
      </c>
      <c r="AQ543" s="88"/>
    </row>
    <row r="544" spans="5:43" x14ac:dyDescent="0.25">
      <c r="E544" s="109" t="s">
        <v>74</v>
      </c>
      <c r="F544" s="98"/>
      <c r="J544" s="152"/>
      <c r="K544" s="152"/>
      <c r="L544" s="152"/>
      <c r="M544" s="152"/>
      <c r="N544" s="152"/>
      <c r="O544" s="152"/>
      <c r="P544" s="152"/>
      <c r="Q544" s="152"/>
      <c r="R544" s="152"/>
      <c r="S544" s="152"/>
      <c r="T544" s="152"/>
      <c r="U544" s="152"/>
      <c r="V544" s="152"/>
      <c r="W544" s="152"/>
      <c r="X544" s="152"/>
      <c r="Y544" s="152"/>
      <c r="AQ544" s="88"/>
    </row>
    <row r="545" spans="5:43" x14ac:dyDescent="0.25">
      <c r="E545" s="39"/>
      <c r="F545" s="98" t="s">
        <v>1061</v>
      </c>
      <c r="G545" s="293" t="s">
        <v>74</v>
      </c>
      <c r="J545" s="258">
        <f>J61</f>
        <v>0</v>
      </c>
      <c r="K545" s="258">
        <f t="shared" ref="K545:Y545" si="145">K61</f>
        <v>33762.707811624095</v>
      </c>
      <c r="L545" s="258">
        <f t="shared" si="145"/>
        <v>8.4395178124941772</v>
      </c>
      <c r="M545" s="258">
        <f t="shared" si="145"/>
        <v>4756.0967741935474</v>
      </c>
      <c r="N545" s="258">
        <f t="shared" si="145"/>
        <v>12.633774818491784</v>
      </c>
      <c r="O545" s="258">
        <f t="shared" si="145"/>
        <v>0</v>
      </c>
      <c r="P545" s="258">
        <f t="shared" si="145"/>
        <v>85.104651202741692</v>
      </c>
      <c r="Q545" s="258">
        <f t="shared" si="145"/>
        <v>0</v>
      </c>
      <c r="R545" s="258">
        <f t="shared" si="145"/>
        <v>1884.9999999999998</v>
      </c>
      <c r="S545" s="258">
        <f t="shared" si="145"/>
        <v>38.935483870967744</v>
      </c>
      <c r="T545" s="258">
        <f t="shared" si="145"/>
        <v>836.76967715751107</v>
      </c>
      <c r="U545" s="258">
        <f t="shared" si="145"/>
        <v>0</v>
      </c>
      <c r="V545" s="258">
        <f t="shared" si="145"/>
        <v>1</v>
      </c>
      <c r="W545" s="258">
        <f t="shared" si="145"/>
        <v>0</v>
      </c>
      <c r="X545" s="258">
        <f t="shared" si="145"/>
        <v>232.35483870967744</v>
      </c>
      <c r="Y545" s="258">
        <f t="shared" si="145"/>
        <v>0</v>
      </c>
      <c r="AQ545" s="88"/>
    </row>
    <row r="546" spans="5:43" x14ac:dyDescent="0.25">
      <c r="E546" s="39"/>
      <c r="F546" s="98" t="s">
        <v>1094</v>
      </c>
      <c r="G546" s="293" t="s">
        <v>74</v>
      </c>
      <c r="J546" s="476">
        <f>J70</f>
        <v>2901359.4971160064</v>
      </c>
      <c r="K546" s="476">
        <f t="shared" ref="K546:Y546" si="146">K70</f>
        <v>0</v>
      </c>
      <c r="L546" s="476">
        <f t="shared" si="146"/>
        <v>92485.136554492579</v>
      </c>
      <c r="M546" s="476">
        <f t="shared" si="146"/>
        <v>0</v>
      </c>
      <c r="N546" s="476">
        <f t="shared" si="146"/>
        <v>10434.139529663622</v>
      </c>
      <c r="O546" s="476">
        <f t="shared" si="146"/>
        <v>5.0576923076923084</v>
      </c>
      <c r="P546" s="476">
        <f t="shared" si="146"/>
        <v>542.87534104429005</v>
      </c>
      <c r="Q546" s="476">
        <f t="shared" si="146"/>
        <v>4004.5</v>
      </c>
      <c r="R546" s="476">
        <f t="shared" si="146"/>
        <v>0</v>
      </c>
      <c r="S546" s="476">
        <f t="shared" si="146"/>
        <v>0</v>
      </c>
      <c r="T546" s="476">
        <f t="shared" si="146"/>
        <v>0</v>
      </c>
      <c r="U546" s="476">
        <f t="shared" si="146"/>
        <v>0</v>
      </c>
      <c r="V546" s="476">
        <f t="shared" si="146"/>
        <v>0</v>
      </c>
      <c r="W546" s="476">
        <f t="shared" si="146"/>
        <v>0</v>
      </c>
      <c r="X546" s="476">
        <f t="shared" si="146"/>
        <v>0</v>
      </c>
      <c r="Y546" s="476">
        <f t="shared" si="146"/>
        <v>0</v>
      </c>
      <c r="AQ546" s="88"/>
    </row>
    <row r="547" spans="5:43" x14ac:dyDescent="0.25">
      <c r="E547" s="39"/>
      <c r="F547" s="98" t="s">
        <v>1095</v>
      </c>
      <c r="G547" s="293" t="s">
        <v>74</v>
      </c>
      <c r="J547" s="476">
        <f>J79</f>
        <v>0</v>
      </c>
      <c r="K547" s="476">
        <f t="shared" ref="K547:Y547" si="147">K79</f>
        <v>0</v>
      </c>
      <c r="L547" s="476">
        <f t="shared" si="147"/>
        <v>69496.230336396038</v>
      </c>
      <c r="M547" s="476">
        <f t="shared" si="147"/>
        <v>0</v>
      </c>
      <c r="N547" s="476">
        <f t="shared" si="147"/>
        <v>5393.602994688049</v>
      </c>
      <c r="O547" s="476">
        <f t="shared" si="147"/>
        <v>38.438461538461539</v>
      </c>
      <c r="P547" s="476">
        <f t="shared" si="147"/>
        <v>645.37581682166717</v>
      </c>
      <c r="Q547" s="476">
        <f t="shared" si="147"/>
        <v>0</v>
      </c>
      <c r="R547" s="476">
        <f t="shared" si="147"/>
        <v>0</v>
      </c>
      <c r="S547" s="476">
        <f t="shared" si="147"/>
        <v>0</v>
      </c>
      <c r="T547" s="476">
        <f t="shared" si="147"/>
        <v>0</v>
      </c>
      <c r="U547" s="476">
        <f t="shared" si="147"/>
        <v>0</v>
      </c>
      <c r="V547" s="476">
        <f t="shared" si="147"/>
        <v>0</v>
      </c>
      <c r="W547" s="476">
        <f t="shared" si="147"/>
        <v>0</v>
      </c>
      <c r="X547" s="476">
        <f t="shared" si="147"/>
        <v>0</v>
      </c>
      <c r="Y547" s="476">
        <f t="shared" si="147"/>
        <v>0</v>
      </c>
      <c r="AQ547" s="88"/>
    </row>
    <row r="548" spans="5:43" x14ac:dyDescent="0.25">
      <c r="E548" s="39"/>
      <c r="F548" s="98" t="s">
        <v>1096</v>
      </c>
      <c r="G548" s="293" t="s">
        <v>74</v>
      </c>
      <c r="J548" s="254">
        <f>J88</f>
        <v>0</v>
      </c>
      <c r="K548" s="254">
        <f t="shared" ref="K548:Y548" si="148">K88</f>
        <v>0</v>
      </c>
      <c r="L548" s="254">
        <f t="shared" si="148"/>
        <v>36790.20623631154</v>
      </c>
      <c r="M548" s="254">
        <f t="shared" si="148"/>
        <v>0</v>
      </c>
      <c r="N548" s="254">
        <f t="shared" si="148"/>
        <v>2872.553606714172</v>
      </c>
      <c r="O548" s="254">
        <f t="shared" si="148"/>
        <v>45.519230769230766</v>
      </c>
      <c r="P548" s="254">
        <f t="shared" si="148"/>
        <v>279.08054008462864</v>
      </c>
      <c r="Q548" s="254">
        <f t="shared" si="148"/>
        <v>0</v>
      </c>
      <c r="R548" s="254">
        <f t="shared" si="148"/>
        <v>0</v>
      </c>
      <c r="S548" s="254">
        <f t="shared" si="148"/>
        <v>0</v>
      </c>
      <c r="T548" s="254">
        <f t="shared" si="148"/>
        <v>0</v>
      </c>
      <c r="U548" s="254">
        <f t="shared" si="148"/>
        <v>0</v>
      </c>
      <c r="V548" s="254">
        <f t="shared" si="148"/>
        <v>0</v>
      </c>
      <c r="W548" s="254">
        <f t="shared" si="148"/>
        <v>0</v>
      </c>
      <c r="X548" s="254">
        <f t="shared" si="148"/>
        <v>0</v>
      </c>
      <c r="Y548" s="254">
        <f t="shared" si="148"/>
        <v>0</v>
      </c>
      <c r="AQ548" s="88"/>
    </row>
    <row r="549" spans="5:43" x14ac:dyDescent="0.25">
      <c r="E549" s="39"/>
      <c r="F549" s="98" t="s">
        <v>1097</v>
      </c>
      <c r="G549" s="293" t="s">
        <v>74</v>
      </c>
      <c r="J549" s="254">
        <f>J97</f>
        <v>0</v>
      </c>
      <c r="K549" s="254">
        <f t="shared" ref="K549:Y549" si="149">K97</f>
        <v>0</v>
      </c>
      <c r="L549" s="254">
        <f t="shared" si="149"/>
        <v>34033.274397354267</v>
      </c>
      <c r="M549" s="254">
        <f t="shared" si="149"/>
        <v>0</v>
      </c>
      <c r="N549" s="254">
        <f t="shared" si="149"/>
        <v>3909.270300556323</v>
      </c>
      <c r="O549" s="254">
        <f t="shared" si="149"/>
        <v>173.98461538461538</v>
      </c>
      <c r="P549" s="254">
        <f t="shared" si="149"/>
        <v>282.09136748803127</v>
      </c>
      <c r="Q549" s="254">
        <f t="shared" si="149"/>
        <v>0</v>
      </c>
      <c r="R549" s="254">
        <f t="shared" si="149"/>
        <v>0</v>
      </c>
      <c r="S549" s="254">
        <f t="shared" si="149"/>
        <v>0</v>
      </c>
      <c r="T549" s="254">
        <f t="shared" si="149"/>
        <v>0</v>
      </c>
      <c r="U549" s="254">
        <f t="shared" si="149"/>
        <v>0</v>
      </c>
      <c r="V549" s="254">
        <f t="shared" si="149"/>
        <v>0</v>
      </c>
      <c r="W549" s="254">
        <f t="shared" si="149"/>
        <v>0</v>
      </c>
      <c r="X549" s="254">
        <f t="shared" si="149"/>
        <v>0</v>
      </c>
      <c r="Y549" s="254">
        <f t="shared" si="149"/>
        <v>0</v>
      </c>
      <c r="AQ549" s="88"/>
    </row>
    <row r="550" spans="5:43" x14ac:dyDescent="0.25">
      <c r="E550" s="109" t="s">
        <v>202</v>
      </c>
      <c r="F550" s="98"/>
      <c r="J550" s="152"/>
      <c r="K550" s="152"/>
      <c r="L550" s="152"/>
      <c r="M550" s="152"/>
      <c r="N550" s="152"/>
      <c r="O550" s="152"/>
      <c r="P550" s="152"/>
      <c r="Q550" s="152"/>
      <c r="R550" s="152"/>
      <c r="S550" s="152"/>
      <c r="T550" s="152"/>
      <c r="U550" s="152"/>
      <c r="V550" s="152"/>
      <c r="W550" s="152"/>
      <c r="X550" s="152"/>
      <c r="Y550" s="152"/>
      <c r="AQ550" s="88"/>
    </row>
    <row r="551" spans="5:43" x14ac:dyDescent="0.25">
      <c r="E551" s="39"/>
      <c r="F551" s="98" t="s">
        <v>1061</v>
      </c>
      <c r="G551" s="293" t="s">
        <v>169</v>
      </c>
      <c r="J551" s="258">
        <f>J62</f>
        <v>0</v>
      </c>
      <c r="K551" s="258">
        <f t="shared" ref="K551:Y551" si="150">K62</f>
        <v>0</v>
      </c>
      <c r="L551" s="258">
        <f t="shared" si="150"/>
        <v>0</v>
      </c>
      <c r="M551" s="258">
        <f t="shared" si="150"/>
        <v>0</v>
      </c>
      <c r="N551" s="258">
        <f t="shared" si="150"/>
        <v>626.42426685731766</v>
      </c>
      <c r="O551" s="258">
        <f t="shared" si="150"/>
        <v>0</v>
      </c>
      <c r="P551" s="258">
        <f t="shared" si="150"/>
        <v>8729.7065907776232</v>
      </c>
      <c r="Q551" s="258">
        <f t="shared" si="150"/>
        <v>0</v>
      </c>
      <c r="R551" s="258">
        <f t="shared" si="150"/>
        <v>0</v>
      </c>
      <c r="S551" s="258">
        <f t="shared" si="150"/>
        <v>0</v>
      </c>
      <c r="T551" s="258">
        <f t="shared" si="150"/>
        <v>0</v>
      </c>
      <c r="U551" s="258">
        <f t="shared" si="150"/>
        <v>0</v>
      </c>
      <c r="V551" s="258">
        <f t="shared" si="150"/>
        <v>0</v>
      </c>
      <c r="W551" s="258">
        <f t="shared" si="150"/>
        <v>0</v>
      </c>
      <c r="X551" s="258">
        <f t="shared" si="150"/>
        <v>0</v>
      </c>
      <c r="Y551" s="258">
        <f t="shared" si="150"/>
        <v>0</v>
      </c>
      <c r="AQ551" s="88"/>
    </row>
    <row r="552" spans="5:43" x14ac:dyDescent="0.25">
      <c r="E552" s="39"/>
      <c r="F552" s="98" t="s">
        <v>1094</v>
      </c>
      <c r="G552" s="293" t="s">
        <v>169</v>
      </c>
      <c r="J552" s="476">
        <f>J71</f>
        <v>0</v>
      </c>
      <c r="K552" s="476">
        <f t="shared" ref="K552:Y552" si="151">K71</f>
        <v>0</v>
      </c>
      <c r="L552" s="476">
        <f t="shared" si="151"/>
        <v>0</v>
      </c>
      <c r="M552" s="476">
        <f t="shared" si="151"/>
        <v>0</v>
      </c>
      <c r="N552" s="476">
        <f t="shared" si="151"/>
        <v>624520.53649529349</v>
      </c>
      <c r="O552" s="476">
        <f t="shared" si="151"/>
        <v>489.98849305434084</v>
      </c>
      <c r="P552" s="476">
        <f t="shared" si="151"/>
        <v>136200.89602449993</v>
      </c>
      <c r="Q552" s="476">
        <f t="shared" si="151"/>
        <v>0</v>
      </c>
      <c r="R552" s="476">
        <f t="shared" si="151"/>
        <v>0</v>
      </c>
      <c r="S552" s="476">
        <f t="shared" si="151"/>
        <v>0</v>
      </c>
      <c r="T552" s="476">
        <f t="shared" si="151"/>
        <v>0</v>
      </c>
      <c r="U552" s="476">
        <f t="shared" si="151"/>
        <v>0</v>
      </c>
      <c r="V552" s="476">
        <f t="shared" si="151"/>
        <v>0</v>
      </c>
      <c r="W552" s="476">
        <f t="shared" si="151"/>
        <v>0</v>
      </c>
      <c r="X552" s="476">
        <f t="shared" si="151"/>
        <v>0</v>
      </c>
      <c r="Y552" s="476">
        <f t="shared" si="151"/>
        <v>0</v>
      </c>
      <c r="AQ552" s="88"/>
    </row>
    <row r="553" spans="5:43" x14ac:dyDescent="0.25">
      <c r="E553" s="39"/>
      <c r="F553" s="98" t="s">
        <v>1095</v>
      </c>
      <c r="G553" s="293" t="s">
        <v>169</v>
      </c>
      <c r="J553" s="476">
        <f>J80</f>
        <v>0</v>
      </c>
      <c r="K553" s="476">
        <f t="shared" ref="K553:Y553" si="152">K80</f>
        <v>0</v>
      </c>
      <c r="L553" s="476">
        <f t="shared" si="152"/>
        <v>0</v>
      </c>
      <c r="M553" s="476">
        <f t="shared" si="152"/>
        <v>0</v>
      </c>
      <c r="N553" s="476">
        <f t="shared" si="152"/>
        <v>593224.42965042905</v>
      </c>
      <c r="O553" s="476">
        <f t="shared" si="152"/>
        <v>6213.8572548426428</v>
      </c>
      <c r="P553" s="476">
        <f t="shared" si="152"/>
        <v>472414.44837443682</v>
      </c>
      <c r="Q553" s="476">
        <f t="shared" si="152"/>
        <v>0</v>
      </c>
      <c r="R553" s="476">
        <f t="shared" si="152"/>
        <v>0</v>
      </c>
      <c r="S553" s="476">
        <f t="shared" si="152"/>
        <v>0</v>
      </c>
      <c r="T553" s="476">
        <f t="shared" si="152"/>
        <v>0</v>
      </c>
      <c r="U553" s="476">
        <f t="shared" si="152"/>
        <v>0</v>
      </c>
      <c r="V553" s="476">
        <f t="shared" si="152"/>
        <v>0</v>
      </c>
      <c r="W553" s="476">
        <f t="shared" si="152"/>
        <v>0</v>
      </c>
      <c r="X553" s="476">
        <f t="shared" si="152"/>
        <v>0</v>
      </c>
      <c r="Y553" s="476">
        <f t="shared" si="152"/>
        <v>0</v>
      </c>
      <c r="AQ553" s="88"/>
    </row>
    <row r="554" spans="5:43" x14ac:dyDescent="0.25">
      <c r="E554" s="39"/>
      <c r="F554" s="98" t="s">
        <v>1096</v>
      </c>
      <c r="G554" s="293" t="s">
        <v>169</v>
      </c>
      <c r="J554" s="254">
        <f>J89</f>
        <v>0</v>
      </c>
      <c r="K554" s="254">
        <f t="shared" ref="K554:Y554" si="153">K89</f>
        <v>0</v>
      </c>
      <c r="L554" s="254">
        <f t="shared" si="153"/>
        <v>0</v>
      </c>
      <c r="M554" s="254">
        <f t="shared" si="153"/>
        <v>0</v>
      </c>
      <c r="N554" s="254">
        <f t="shared" si="153"/>
        <v>488741.46311303356</v>
      </c>
      <c r="O554" s="254">
        <f t="shared" si="153"/>
        <v>7668.3961292627218</v>
      </c>
      <c r="P554" s="254">
        <f t="shared" si="153"/>
        <v>374962.07826794166</v>
      </c>
      <c r="Q554" s="254">
        <f t="shared" si="153"/>
        <v>0</v>
      </c>
      <c r="R554" s="254">
        <f t="shared" si="153"/>
        <v>0</v>
      </c>
      <c r="S554" s="254">
        <f t="shared" si="153"/>
        <v>0</v>
      </c>
      <c r="T554" s="254">
        <f t="shared" si="153"/>
        <v>0</v>
      </c>
      <c r="U554" s="254">
        <f t="shared" si="153"/>
        <v>0</v>
      </c>
      <c r="V554" s="254">
        <f t="shared" si="153"/>
        <v>0</v>
      </c>
      <c r="W554" s="254">
        <f t="shared" si="153"/>
        <v>0</v>
      </c>
      <c r="X554" s="254">
        <f t="shared" si="153"/>
        <v>0</v>
      </c>
      <c r="Y554" s="254">
        <f t="shared" si="153"/>
        <v>0</v>
      </c>
      <c r="AQ554" s="88"/>
    </row>
    <row r="555" spans="5:43" x14ac:dyDescent="0.25">
      <c r="E555" s="39"/>
      <c r="F555" s="98" t="s">
        <v>1097</v>
      </c>
      <c r="G555" s="293" t="s">
        <v>169</v>
      </c>
      <c r="J555" s="254">
        <f>J98</f>
        <v>0</v>
      </c>
      <c r="K555" s="254">
        <f t="shared" ref="K555:Y555" si="154">K98</f>
        <v>0</v>
      </c>
      <c r="L555" s="254">
        <f t="shared" si="154"/>
        <v>0</v>
      </c>
      <c r="M555" s="254">
        <f t="shared" si="154"/>
        <v>0</v>
      </c>
      <c r="N555" s="254">
        <f t="shared" si="154"/>
        <v>1607909.6087336058</v>
      </c>
      <c r="O555" s="254">
        <f t="shared" si="154"/>
        <v>102018.80123796046</v>
      </c>
      <c r="P555" s="254">
        <f t="shared" si="154"/>
        <v>995699.66974979674</v>
      </c>
      <c r="Q555" s="254">
        <f t="shared" si="154"/>
        <v>0</v>
      </c>
      <c r="R555" s="254">
        <f t="shared" si="154"/>
        <v>0</v>
      </c>
      <c r="S555" s="254">
        <f t="shared" si="154"/>
        <v>0</v>
      </c>
      <c r="T555" s="254">
        <f t="shared" si="154"/>
        <v>0</v>
      </c>
      <c r="U555" s="254">
        <f t="shared" si="154"/>
        <v>0</v>
      </c>
      <c r="V555" s="254">
        <f t="shared" si="154"/>
        <v>0</v>
      </c>
      <c r="W555" s="254">
        <f t="shared" si="154"/>
        <v>0</v>
      </c>
      <c r="X555" s="254">
        <f t="shared" si="154"/>
        <v>0</v>
      </c>
      <c r="Y555" s="254">
        <f t="shared" si="154"/>
        <v>0</v>
      </c>
      <c r="AQ555" s="88"/>
    </row>
    <row r="556" spans="5:43" x14ac:dyDescent="0.25">
      <c r="E556" s="109" t="s">
        <v>203</v>
      </c>
      <c r="F556" s="98"/>
      <c r="J556" s="152"/>
      <c r="K556" s="152"/>
      <c r="L556" s="152"/>
      <c r="M556" s="152"/>
      <c r="N556" s="152"/>
      <c r="O556" s="152"/>
      <c r="P556" s="152"/>
      <c r="Q556" s="152"/>
      <c r="R556" s="152"/>
      <c r="S556" s="152"/>
      <c r="T556" s="152"/>
      <c r="U556" s="152"/>
      <c r="V556" s="152"/>
      <c r="W556" s="152"/>
      <c r="X556" s="152"/>
      <c r="Y556" s="152"/>
      <c r="AQ556" s="88"/>
    </row>
    <row r="557" spans="5:43" x14ac:dyDescent="0.25">
      <c r="E557" s="39"/>
      <c r="F557" s="98" t="s">
        <v>1061</v>
      </c>
      <c r="G557" s="293" t="s">
        <v>169</v>
      </c>
      <c r="J557" s="258">
        <f>J63</f>
        <v>0</v>
      </c>
      <c r="K557" s="258">
        <f t="shared" ref="K557:Y557" si="155">K63</f>
        <v>0</v>
      </c>
      <c r="L557" s="258">
        <f t="shared" si="155"/>
        <v>0</v>
      </c>
      <c r="M557" s="258">
        <f t="shared" si="155"/>
        <v>0</v>
      </c>
      <c r="N557" s="258">
        <f t="shared" si="155"/>
        <v>8.5416436780123615</v>
      </c>
      <c r="O557" s="258">
        <f t="shared" si="155"/>
        <v>0</v>
      </c>
      <c r="P557" s="258">
        <f t="shared" si="155"/>
        <v>14.746655548020247</v>
      </c>
      <c r="Q557" s="258">
        <f t="shared" si="155"/>
        <v>0</v>
      </c>
      <c r="R557" s="258">
        <f t="shared" si="155"/>
        <v>0</v>
      </c>
      <c r="S557" s="258">
        <f t="shared" si="155"/>
        <v>0</v>
      </c>
      <c r="T557" s="258">
        <f t="shared" si="155"/>
        <v>0</v>
      </c>
      <c r="U557" s="258">
        <f t="shared" si="155"/>
        <v>0</v>
      </c>
      <c r="V557" s="258">
        <f t="shared" si="155"/>
        <v>0</v>
      </c>
      <c r="W557" s="258">
        <f t="shared" si="155"/>
        <v>0</v>
      </c>
      <c r="X557" s="258">
        <f t="shared" si="155"/>
        <v>0</v>
      </c>
      <c r="Y557" s="258">
        <f t="shared" si="155"/>
        <v>0</v>
      </c>
      <c r="AQ557" s="88"/>
    </row>
    <row r="558" spans="5:43" x14ac:dyDescent="0.25">
      <c r="E558" s="39"/>
      <c r="F558" s="98" t="s">
        <v>1094</v>
      </c>
      <c r="G558" s="293" t="s">
        <v>169</v>
      </c>
      <c r="J558" s="476">
        <f>J72</f>
        <v>0</v>
      </c>
      <c r="K558" s="476">
        <f t="shared" ref="K558:Y558" si="156">K72</f>
        <v>0</v>
      </c>
      <c r="L558" s="476">
        <f t="shared" si="156"/>
        <v>0</v>
      </c>
      <c r="M558" s="476">
        <f t="shared" si="156"/>
        <v>0</v>
      </c>
      <c r="N558" s="476">
        <f t="shared" si="156"/>
        <v>8515.6852545097026</v>
      </c>
      <c r="O558" s="476">
        <f t="shared" si="156"/>
        <v>3.3466469995676156</v>
      </c>
      <c r="P558" s="476">
        <f t="shared" si="156"/>
        <v>1633.3227080899942</v>
      </c>
      <c r="Q558" s="476">
        <f t="shared" si="156"/>
        <v>0</v>
      </c>
      <c r="R558" s="476">
        <f t="shared" si="156"/>
        <v>0</v>
      </c>
      <c r="S558" s="476">
        <f t="shared" si="156"/>
        <v>0</v>
      </c>
      <c r="T558" s="476">
        <f t="shared" si="156"/>
        <v>0</v>
      </c>
      <c r="U558" s="476">
        <f t="shared" si="156"/>
        <v>0</v>
      </c>
      <c r="V558" s="476">
        <f t="shared" si="156"/>
        <v>0</v>
      </c>
      <c r="W558" s="476">
        <f t="shared" si="156"/>
        <v>0</v>
      </c>
      <c r="X558" s="476">
        <f t="shared" si="156"/>
        <v>0</v>
      </c>
      <c r="Y558" s="476">
        <f t="shared" si="156"/>
        <v>0</v>
      </c>
      <c r="AQ558" s="88"/>
    </row>
    <row r="559" spans="5:43" x14ac:dyDescent="0.25">
      <c r="E559" s="39"/>
      <c r="F559" s="98" t="s">
        <v>1095</v>
      </c>
      <c r="G559" s="293" t="s">
        <v>169</v>
      </c>
      <c r="J559" s="476">
        <f>J81</f>
        <v>0</v>
      </c>
      <c r="K559" s="476">
        <f t="shared" ref="K559:Y559" si="157">K81</f>
        <v>0</v>
      </c>
      <c r="L559" s="476">
        <f t="shared" si="157"/>
        <v>0</v>
      </c>
      <c r="M559" s="476">
        <f t="shared" si="157"/>
        <v>0</v>
      </c>
      <c r="N559" s="476">
        <f t="shared" si="157"/>
        <v>8088.9454116888892</v>
      </c>
      <c r="O559" s="476">
        <f t="shared" si="157"/>
        <v>42.440969599166309</v>
      </c>
      <c r="P559" s="476">
        <f t="shared" si="157"/>
        <v>5665.1994860663681</v>
      </c>
      <c r="Q559" s="476">
        <f t="shared" si="157"/>
        <v>0</v>
      </c>
      <c r="R559" s="476">
        <f t="shared" si="157"/>
        <v>0</v>
      </c>
      <c r="S559" s="476">
        <f t="shared" si="157"/>
        <v>0</v>
      </c>
      <c r="T559" s="476">
        <f t="shared" si="157"/>
        <v>0</v>
      </c>
      <c r="U559" s="476">
        <f t="shared" si="157"/>
        <v>0</v>
      </c>
      <c r="V559" s="476">
        <f t="shared" si="157"/>
        <v>0</v>
      </c>
      <c r="W559" s="476">
        <f t="shared" si="157"/>
        <v>0</v>
      </c>
      <c r="X559" s="476">
        <f t="shared" si="157"/>
        <v>0</v>
      </c>
      <c r="Y559" s="476">
        <f t="shared" si="157"/>
        <v>0</v>
      </c>
      <c r="AQ559" s="88"/>
    </row>
    <row r="560" spans="5:43" x14ac:dyDescent="0.25">
      <c r="E560" s="39"/>
      <c r="F560" s="98" t="s">
        <v>1096</v>
      </c>
      <c r="G560" s="293" t="s">
        <v>169</v>
      </c>
      <c r="J560" s="254">
        <f>J90</f>
        <v>0</v>
      </c>
      <c r="K560" s="254">
        <f t="shared" ref="K560:Y560" si="158">K90</f>
        <v>0</v>
      </c>
      <c r="L560" s="254">
        <f t="shared" si="158"/>
        <v>0</v>
      </c>
      <c r="M560" s="254">
        <f t="shared" si="158"/>
        <v>0</v>
      </c>
      <c r="N560" s="254">
        <f t="shared" si="158"/>
        <v>6664.2619857714217</v>
      </c>
      <c r="O560" s="254">
        <f t="shared" si="158"/>
        <v>52.375546081746194</v>
      </c>
      <c r="P560" s="254">
        <f t="shared" si="158"/>
        <v>4496.5495454411821</v>
      </c>
      <c r="Q560" s="254">
        <f t="shared" si="158"/>
        <v>0</v>
      </c>
      <c r="R560" s="254">
        <f t="shared" si="158"/>
        <v>0</v>
      </c>
      <c r="S560" s="254">
        <f t="shared" si="158"/>
        <v>0</v>
      </c>
      <c r="T560" s="254">
        <f t="shared" si="158"/>
        <v>0</v>
      </c>
      <c r="U560" s="254">
        <f t="shared" si="158"/>
        <v>0</v>
      </c>
      <c r="V560" s="254">
        <f t="shared" si="158"/>
        <v>0</v>
      </c>
      <c r="W560" s="254">
        <f t="shared" si="158"/>
        <v>0</v>
      </c>
      <c r="X560" s="254">
        <f t="shared" si="158"/>
        <v>0</v>
      </c>
      <c r="Y560" s="254">
        <f t="shared" si="158"/>
        <v>0</v>
      </c>
      <c r="AQ560" s="88"/>
    </row>
    <row r="561" spans="4:43" x14ac:dyDescent="0.25">
      <c r="E561" s="39"/>
      <c r="F561" s="98" t="s">
        <v>1097</v>
      </c>
      <c r="G561" s="293" t="s">
        <v>169</v>
      </c>
      <c r="J561" s="254">
        <f>J99</f>
        <v>0</v>
      </c>
      <c r="K561" s="254">
        <f t="shared" ref="K561:Y561" si="159">K99</f>
        <v>0</v>
      </c>
      <c r="L561" s="254">
        <f t="shared" si="159"/>
        <v>0</v>
      </c>
      <c r="M561" s="254">
        <f t="shared" si="159"/>
        <v>0</v>
      </c>
      <c r="N561" s="254">
        <f t="shared" si="159"/>
        <v>21924.742815531772</v>
      </c>
      <c r="O561" s="254">
        <f t="shared" si="159"/>
        <v>696.79374087799431</v>
      </c>
      <c r="P561" s="254">
        <f t="shared" si="159"/>
        <v>11940.441865723931</v>
      </c>
      <c r="Q561" s="254">
        <f t="shared" si="159"/>
        <v>0</v>
      </c>
      <c r="R561" s="254">
        <f t="shared" si="159"/>
        <v>0</v>
      </c>
      <c r="S561" s="254">
        <f t="shared" si="159"/>
        <v>0</v>
      </c>
      <c r="T561" s="254">
        <f t="shared" si="159"/>
        <v>0</v>
      </c>
      <c r="U561" s="254">
        <f t="shared" si="159"/>
        <v>0</v>
      </c>
      <c r="V561" s="254">
        <f t="shared" si="159"/>
        <v>0</v>
      </c>
      <c r="W561" s="254">
        <f t="shared" si="159"/>
        <v>0</v>
      </c>
      <c r="X561" s="254">
        <f t="shared" si="159"/>
        <v>0</v>
      </c>
      <c r="Y561" s="254">
        <f t="shared" si="159"/>
        <v>0</v>
      </c>
      <c r="AQ561" s="88"/>
    </row>
    <row r="562" spans="4:43" x14ac:dyDescent="0.25">
      <c r="E562" s="39" t="s">
        <v>204</v>
      </c>
      <c r="F562" s="98"/>
      <c r="J562" s="152"/>
      <c r="K562" s="152"/>
      <c r="L562" s="152"/>
      <c r="M562" s="152"/>
      <c r="N562" s="152"/>
      <c r="O562" s="152"/>
      <c r="P562" s="152"/>
      <c r="Q562" s="152"/>
      <c r="R562" s="152"/>
      <c r="S562" s="152"/>
      <c r="T562" s="152"/>
      <c r="U562" s="152"/>
      <c r="V562" s="152"/>
      <c r="W562" s="152"/>
      <c r="X562" s="152"/>
      <c r="Y562" s="152"/>
      <c r="AQ562" s="88"/>
    </row>
    <row r="563" spans="4:43" x14ac:dyDescent="0.25">
      <c r="E563" s="39"/>
      <c r="F563" s="98" t="s">
        <v>1061</v>
      </c>
      <c r="G563" s="293" t="s">
        <v>170</v>
      </c>
      <c r="J563" s="258">
        <f>J64</f>
        <v>0</v>
      </c>
      <c r="K563" s="258">
        <f t="shared" ref="K563:Y563" si="160">K64</f>
        <v>0</v>
      </c>
      <c r="L563" s="258">
        <f t="shared" si="160"/>
        <v>0</v>
      </c>
      <c r="M563" s="258">
        <f t="shared" si="160"/>
        <v>0</v>
      </c>
      <c r="N563" s="258">
        <f t="shared" si="160"/>
        <v>79.281923184762576</v>
      </c>
      <c r="O563" s="258">
        <f t="shared" si="160"/>
        <v>0</v>
      </c>
      <c r="P563" s="258">
        <f t="shared" si="160"/>
        <v>433.70015170933488</v>
      </c>
      <c r="Q563" s="258">
        <f t="shared" si="160"/>
        <v>0</v>
      </c>
      <c r="R563" s="258">
        <f t="shared" si="160"/>
        <v>0</v>
      </c>
      <c r="S563" s="258">
        <f t="shared" si="160"/>
        <v>0</v>
      </c>
      <c r="T563" s="258">
        <f t="shared" si="160"/>
        <v>5486.7326098670592</v>
      </c>
      <c r="U563" s="258">
        <f t="shared" si="160"/>
        <v>0</v>
      </c>
      <c r="V563" s="258">
        <f t="shared" si="160"/>
        <v>0</v>
      </c>
      <c r="W563" s="258">
        <f t="shared" si="160"/>
        <v>0</v>
      </c>
      <c r="X563" s="258">
        <f t="shared" si="160"/>
        <v>37970.304935278305</v>
      </c>
      <c r="Y563" s="258">
        <f t="shared" si="160"/>
        <v>0</v>
      </c>
      <c r="AQ563" s="88"/>
    </row>
    <row r="564" spans="4:43" x14ac:dyDescent="0.25">
      <c r="E564" s="39"/>
      <c r="F564" s="98" t="s">
        <v>1094</v>
      </c>
      <c r="G564" s="293" t="s">
        <v>170</v>
      </c>
      <c r="J564" s="476">
        <f>J73</f>
        <v>0</v>
      </c>
      <c r="K564" s="476">
        <f t="shared" ref="K564:Y564" si="161">K73</f>
        <v>0</v>
      </c>
      <c r="L564" s="476">
        <f t="shared" si="161"/>
        <v>0</v>
      </c>
      <c r="M564" s="476">
        <f t="shared" si="161"/>
        <v>0</v>
      </c>
      <c r="N564" s="476">
        <f t="shared" si="161"/>
        <v>79040.982001108074</v>
      </c>
      <c r="O564" s="476">
        <f t="shared" si="161"/>
        <v>98.050691999600616</v>
      </c>
      <c r="P564" s="476">
        <f t="shared" si="161"/>
        <v>21119.515591500556</v>
      </c>
      <c r="Q564" s="476">
        <f t="shared" si="161"/>
        <v>0</v>
      </c>
      <c r="R564" s="476">
        <f t="shared" si="161"/>
        <v>0</v>
      </c>
      <c r="S564" s="476">
        <f t="shared" si="161"/>
        <v>0</v>
      </c>
      <c r="T564" s="476">
        <f t="shared" si="161"/>
        <v>0</v>
      </c>
      <c r="U564" s="476">
        <f t="shared" si="161"/>
        <v>0</v>
      </c>
      <c r="V564" s="476">
        <f t="shared" si="161"/>
        <v>0</v>
      </c>
      <c r="W564" s="476">
        <f t="shared" si="161"/>
        <v>0</v>
      </c>
      <c r="X564" s="476">
        <f t="shared" si="161"/>
        <v>0</v>
      </c>
      <c r="Y564" s="476">
        <f t="shared" si="161"/>
        <v>0</v>
      </c>
      <c r="AQ564" s="88"/>
    </row>
    <row r="565" spans="4:43" x14ac:dyDescent="0.25">
      <c r="E565" s="39"/>
      <c r="F565" s="98" t="s">
        <v>1095</v>
      </c>
      <c r="G565" s="293" t="s">
        <v>170</v>
      </c>
      <c r="J565" s="476">
        <f>J82</f>
        <v>0</v>
      </c>
      <c r="K565" s="476">
        <f t="shared" ref="K565:Y565" si="162">K82</f>
        <v>0</v>
      </c>
      <c r="L565" s="476">
        <f t="shared" si="162"/>
        <v>0</v>
      </c>
      <c r="M565" s="476">
        <f t="shared" si="162"/>
        <v>0</v>
      </c>
      <c r="N565" s="476">
        <f t="shared" si="162"/>
        <v>75080.063387107744</v>
      </c>
      <c r="O565" s="476">
        <f t="shared" si="162"/>
        <v>1243.4434940015826</v>
      </c>
      <c r="P565" s="476">
        <f t="shared" si="162"/>
        <v>73253.29420960162</v>
      </c>
      <c r="Q565" s="476">
        <f t="shared" si="162"/>
        <v>0</v>
      </c>
      <c r="R565" s="476">
        <f t="shared" si="162"/>
        <v>0</v>
      </c>
      <c r="S565" s="476">
        <f t="shared" si="162"/>
        <v>0</v>
      </c>
      <c r="T565" s="476">
        <f t="shared" si="162"/>
        <v>0</v>
      </c>
      <c r="U565" s="476">
        <f t="shared" si="162"/>
        <v>0</v>
      </c>
      <c r="V565" s="476">
        <f t="shared" si="162"/>
        <v>0</v>
      </c>
      <c r="W565" s="476">
        <f t="shared" si="162"/>
        <v>0</v>
      </c>
      <c r="X565" s="476">
        <f t="shared" si="162"/>
        <v>0</v>
      </c>
      <c r="Y565" s="476">
        <f t="shared" si="162"/>
        <v>0</v>
      </c>
      <c r="AQ565" s="88"/>
    </row>
    <row r="566" spans="4:43" x14ac:dyDescent="0.25">
      <c r="E566" s="39"/>
      <c r="F566" s="98" t="s">
        <v>1096</v>
      </c>
      <c r="G566" s="293" t="s">
        <v>170</v>
      </c>
      <c r="J566" s="254">
        <f>J91</f>
        <v>0</v>
      </c>
      <c r="K566" s="254">
        <f t="shared" ref="K566:Y566" si="163">K91</f>
        <v>0</v>
      </c>
      <c r="L566" s="254">
        <f t="shared" si="163"/>
        <v>0</v>
      </c>
      <c r="M566" s="254">
        <f t="shared" si="163"/>
        <v>0</v>
      </c>
      <c r="N566" s="254">
        <f t="shared" si="163"/>
        <v>61856.420936773538</v>
      </c>
      <c r="O566" s="254">
        <f t="shared" si="163"/>
        <v>1534.5085806288153</v>
      </c>
      <c r="P566" s="254">
        <f t="shared" si="163"/>
        <v>58142.183270048139</v>
      </c>
      <c r="Q566" s="254">
        <f t="shared" si="163"/>
        <v>0</v>
      </c>
      <c r="R566" s="254">
        <f t="shared" si="163"/>
        <v>0</v>
      </c>
      <c r="S566" s="254">
        <f t="shared" si="163"/>
        <v>0</v>
      </c>
      <c r="T566" s="254">
        <f t="shared" si="163"/>
        <v>0</v>
      </c>
      <c r="U566" s="254">
        <f t="shared" si="163"/>
        <v>0</v>
      </c>
      <c r="V566" s="254">
        <f t="shared" si="163"/>
        <v>0</v>
      </c>
      <c r="W566" s="254">
        <f t="shared" si="163"/>
        <v>0</v>
      </c>
      <c r="X566" s="254">
        <f t="shared" si="163"/>
        <v>0</v>
      </c>
      <c r="Y566" s="254">
        <f t="shared" si="163"/>
        <v>0</v>
      </c>
      <c r="AQ566" s="88"/>
    </row>
    <row r="567" spans="4:43" x14ac:dyDescent="0.25">
      <c r="E567" s="36"/>
      <c r="F567" s="477" t="s">
        <v>1097</v>
      </c>
      <c r="G567" s="93" t="s">
        <v>170</v>
      </c>
      <c r="H567" s="93"/>
      <c r="I567" s="93"/>
      <c r="J567" s="476">
        <f>J100</f>
        <v>0</v>
      </c>
      <c r="K567" s="476">
        <f t="shared" ref="K567:Y567" si="164">K100</f>
        <v>0</v>
      </c>
      <c r="L567" s="476">
        <f t="shared" si="164"/>
        <v>0</v>
      </c>
      <c r="M567" s="476">
        <f t="shared" si="164"/>
        <v>0</v>
      </c>
      <c r="N567" s="476">
        <f t="shared" si="164"/>
        <v>203501.32144017884</v>
      </c>
      <c r="O567" s="476">
        <f t="shared" si="164"/>
        <v>20414.793816887406</v>
      </c>
      <c r="P567" s="476">
        <f t="shared" si="164"/>
        <v>154394.68691858038</v>
      </c>
      <c r="Q567" s="476">
        <f t="shared" si="164"/>
        <v>0</v>
      </c>
      <c r="R567" s="476">
        <f t="shared" si="164"/>
        <v>0</v>
      </c>
      <c r="S567" s="476">
        <f t="shared" si="164"/>
        <v>0</v>
      </c>
      <c r="T567" s="476">
        <f t="shared" si="164"/>
        <v>0</v>
      </c>
      <c r="U567" s="476">
        <f t="shared" si="164"/>
        <v>0</v>
      </c>
      <c r="V567" s="476">
        <f t="shared" si="164"/>
        <v>0</v>
      </c>
      <c r="W567" s="476">
        <f t="shared" si="164"/>
        <v>0</v>
      </c>
      <c r="X567" s="476">
        <f t="shared" si="164"/>
        <v>0</v>
      </c>
      <c r="Y567" s="476">
        <f t="shared" si="164"/>
        <v>0</v>
      </c>
      <c r="AQ567" s="88"/>
    </row>
    <row r="568" spans="4:43" x14ac:dyDescent="0.25">
      <c r="AQ568" s="88"/>
    </row>
    <row r="569" spans="4:43" x14ac:dyDescent="0.25">
      <c r="D569" s="96" t="s">
        <v>1227</v>
      </c>
      <c r="AQ569" s="88"/>
    </row>
    <row r="570" spans="4:43" x14ac:dyDescent="0.25">
      <c r="E570" s="40" t="s">
        <v>199</v>
      </c>
      <c r="F570" s="91"/>
      <c r="G570" s="91"/>
      <c r="H570" s="91"/>
      <c r="I570" s="91"/>
      <c r="J570" s="91"/>
      <c r="K570" s="91"/>
      <c r="L570" s="91"/>
      <c r="M570" s="91"/>
      <c r="N570" s="91"/>
      <c r="O570" s="91"/>
      <c r="P570" s="91"/>
      <c r="Q570" s="91"/>
      <c r="R570" s="91"/>
      <c r="S570" s="91"/>
      <c r="T570" s="91"/>
      <c r="U570" s="91"/>
      <c r="V570" s="91"/>
      <c r="W570" s="91"/>
      <c r="X570" s="91"/>
      <c r="Y570" s="91"/>
      <c r="AQ570" s="88"/>
    </row>
    <row r="571" spans="4:43" x14ac:dyDescent="0.25">
      <c r="E571" s="39"/>
      <c r="F571" s="98" t="s">
        <v>1061</v>
      </c>
      <c r="G571" s="293" t="s">
        <v>120</v>
      </c>
      <c r="J571" s="258">
        <f>J105</f>
        <v>0</v>
      </c>
      <c r="K571" s="258">
        <f t="shared" ref="K571:Y571" si="165">K105</f>
        <v>0</v>
      </c>
      <c r="L571" s="258">
        <f t="shared" si="165"/>
        <v>3.0375372524205455E-2</v>
      </c>
      <c r="M571" s="258">
        <f t="shared" si="165"/>
        <v>29.268702844790479</v>
      </c>
      <c r="N571" s="258">
        <f t="shared" si="165"/>
        <v>0.31107049755657146</v>
      </c>
      <c r="O571" s="258">
        <f t="shared" si="165"/>
        <v>0</v>
      </c>
      <c r="P571" s="258">
        <f t="shared" si="165"/>
        <v>0</v>
      </c>
      <c r="Q571" s="258">
        <f t="shared" si="165"/>
        <v>0</v>
      </c>
      <c r="R571" s="258">
        <f t="shared" si="165"/>
        <v>26.613504917281357</v>
      </c>
      <c r="S571" s="258">
        <f t="shared" si="165"/>
        <v>0</v>
      </c>
      <c r="T571" s="258">
        <f t="shared" si="165"/>
        <v>0</v>
      </c>
      <c r="U571" s="258">
        <f t="shared" si="165"/>
        <v>0</v>
      </c>
      <c r="V571" s="258">
        <f t="shared" si="165"/>
        <v>0</v>
      </c>
      <c r="W571" s="258">
        <f t="shared" si="165"/>
        <v>0</v>
      </c>
      <c r="X571" s="258">
        <f t="shared" si="165"/>
        <v>0</v>
      </c>
      <c r="Y571" s="258">
        <f t="shared" si="165"/>
        <v>0</v>
      </c>
      <c r="AQ571" s="88"/>
    </row>
    <row r="572" spans="4:43" x14ac:dyDescent="0.25">
      <c r="E572" s="39"/>
      <c r="F572" s="98" t="s">
        <v>1094</v>
      </c>
      <c r="G572" s="293" t="s">
        <v>120</v>
      </c>
      <c r="J572" s="476">
        <f>J114</f>
        <v>12427.22138594751</v>
      </c>
      <c r="K572" s="476">
        <f t="shared" ref="K572:Y572" si="166">K114</f>
        <v>0</v>
      </c>
      <c r="L572" s="476">
        <f t="shared" si="166"/>
        <v>37.872262004414956</v>
      </c>
      <c r="M572" s="476">
        <f t="shared" si="166"/>
        <v>0</v>
      </c>
      <c r="N572" s="476">
        <f t="shared" si="166"/>
        <v>310.12514089933438</v>
      </c>
      <c r="O572" s="476">
        <f t="shared" si="166"/>
        <v>0</v>
      </c>
      <c r="P572" s="476">
        <f t="shared" si="166"/>
        <v>0</v>
      </c>
      <c r="Q572" s="476">
        <f t="shared" si="166"/>
        <v>8.385521972809924</v>
      </c>
      <c r="R572" s="476">
        <f t="shared" si="166"/>
        <v>0</v>
      </c>
      <c r="S572" s="476">
        <f t="shared" si="166"/>
        <v>0</v>
      </c>
      <c r="T572" s="476">
        <f t="shared" si="166"/>
        <v>0</v>
      </c>
      <c r="U572" s="476">
        <f t="shared" si="166"/>
        <v>0</v>
      </c>
      <c r="V572" s="476">
        <f t="shared" si="166"/>
        <v>0</v>
      </c>
      <c r="W572" s="476">
        <f t="shared" si="166"/>
        <v>0</v>
      </c>
      <c r="X572" s="476">
        <f t="shared" si="166"/>
        <v>0</v>
      </c>
      <c r="Y572" s="476">
        <f t="shared" si="166"/>
        <v>0</v>
      </c>
      <c r="AQ572" s="88"/>
    </row>
    <row r="573" spans="4:43" x14ac:dyDescent="0.25">
      <c r="E573" s="39"/>
      <c r="F573" s="98" t="s">
        <v>1095</v>
      </c>
      <c r="G573" s="293" t="s">
        <v>120</v>
      </c>
      <c r="J573" s="476">
        <f>J123</f>
        <v>0</v>
      </c>
      <c r="K573" s="476">
        <f t="shared" ref="K573:Y573" si="167">K123</f>
        <v>0</v>
      </c>
      <c r="L573" s="476">
        <f t="shared" si="167"/>
        <v>93.482105172584014</v>
      </c>
      <c r="M573" s="476">
        <f t="shared" si="167"/>
        <v>0</v>
      </c>
      <c r="N573" s="476">
        <f t="shared" si="167"/>
        <v>294.58408343574632</v>
      </c>
      <c r="O573" s="476">
        <f t="shared" si="167"/>
        <v>0</v>
      </c>
      <c r="P573" s="476">
        <f t="shared" si="167"/>
        <v>0</v>
      </c>
      <c r="Q573" s="476">
        <f t="shared" si="167"/>
        <v>0</v>
      </c>
      <c r="R573" s="476">
        <f t="shared" si="167"/>
        <v>0</v>
      </c>
      <c r="S573" s="476">
        <f t="shared" si="167"/>
        <v>0</v>
      </c>
      <c r="T573" s="476">
        <f t="shared" si="167"/>
        <v>0</v>
      </c>
      <c r="U573" s="476">
        <f t="shared" si="167"/>
        <v>0</v>
      </c>
      <c r="V573" s="476">
        <f t="shared" si="167"/>
        <v>0</v>
      </c>
      <c r="W573" s="476">
        <f t="shared" si="167"/>
        <v>0</v>
      </c>
      <c r="X573" s="476">
        <f t="shared" si="167"/>
        <v>0</v>
      </c>
      <c r="Y573" s="476">
        <f t="shared" si="167"/>
        <v>0</v>
      </c>
      <c r="AQ573" s="88"/>
    </row>
    <row r="574" spans="4:43" x14ac:dyDescent="0.25">
      <c r="E574" s="39"/>
      <c r="F574" s="98" t="s">
        <v>1096</v>
      </c>
      <c r="G574" s="293" t="s">
        <v>120</v>
      </c>
      <c r="J574" s="254">
        <f>J132</f>
        <v>0</v>
      </c>
      <c r="K574" s="254">
        <f t="shared" ref="K574:Y574" si="168">K132</f>
        <v>0</v>
      </c>
      <c r="L574" s="254">
        <f t="shared" si="168"/>
        <v>112.16171165127392</v>
      </c>
      <c r="M574" s="254">
        <f t="shared" si="168"/>
        <v>0</v>
      </c>
      <c r="N574" s="254">
        <f t="shared" si="168"/>
        <v>242.69980929989586</v>
      </c>
      <c r="O574" s="254">
        <f t="shared" si="168"/>
        <v>0</v>
      </c>
      <c r="P574" s="254">
        <f t="shared" si="168"/>
        <v>0</v>
      </c>
      <c r="Q574" s="254">
        <f t="shared" si="168"/>
        <v>0</v>
      </c>
      <c r="R574" s="254">
        <f t="shared" si="168"/>
        <v>0</v>
      </c>
      <c r="S574" s="254">
        <f t="shared" si="168"/>
        <v>0</v>
      </c>
      <c r="T574" s="254">
        <f t="shared" si="168"/>
        <v>0</v>
      </c>
      <c r="U574" s="254">
        <f t="shared" si="168"/>
        <v>0</v>
      </c>
      <c r="V574" s="254">
        <f t="shared" si="168"/>
        <v>0</v>
      </c>
      <c r="W574" s="254">
        <f t="shared" si="168"/>
        <v>0</v>
      </c>
      <c r="X574" s="254">
        <f t="shared" si="168"/>
        <v>0</v>
      </c>
      <c r="Y574" s="254">
        <f t="shared" si="168"/>
        <v>0</v>
      </c>
      <c r="AQ574" s="88"/>
    </row>
    <row r="575" spans="4:43" x14ac:dyDescent="0.25">
      <c r="E575" s="39"/>
      <c r="F575" s="98" t="s">
        <v>1097</v>
      </c>
      <c r="G575" s="293" t="s">
        <v>120</v>
      </c>
      <c r="J575" s="254">
        <f>J141</f>
        <v>0</v>
      </c>
      <c r="K575" s="254">
        <f t="shared" ref="K575:Y575" si="169">K141</f>
        <v>0</v>
      </c>
      <c r="L575" s="254">
        <f t="shared" si="169"/>
        <v>282.29158270378559</v>
      </c>
      <c r="M575" s="254">
        <f t="shared" si="169"/>
        <v>0</v>
      </c>
      <c r="N575" s="254">
        <f t="shared" si="169"/>
        <v>798.45764041685936</v>
      </c>
      <c r="O575" s="254">
        <f t="shared" si="169"/>
        <v>0</v>
      </c>
      <c r="P575" s="254">
        <f t="shared" si="169"/>
        <v>0</v>
      </c>
      <c r="Q575" s="254">
        <f t="shared" si="169"/>
        <v>0</v>
      </c>
      <c r="R575" s="254">
        <f t="shared" si="169"/>
        <v>0</v>
      </c>
      <c r="S575" s="254">
        <f t="shared" si="169"/>
        <v>0</v>
      </c>
      <c r="T575" s="254">
        <f t="shared" si="169"/>
        <v>0</v>
      </c>
      <c r="U575" s="254">
        <f t="shared" si="169"/>
        <v>0</v>
      </c>
      <c r="V575" s="254">
        <f t="shared" si="169"/>
        <v>0</v>
      </c>
      <c r="W575" s="254">
        <f t="shared" si="169"/>
        <v>0</v>
      </c>
      <c r="X575" s="254">
        <f t="shared" si="169"/>
        <v>0</v>
      </c>
      <c r="Y575" s="254">
        <f t="shared" si="169"/>
        <v>0</v>
      </c>
      <c r="AQ575" s="88"/>
    </row>
    <row r="576" spans="4:43" x14ac:dyDescent="0.25">
      <c r="E576" s="109" t="s">
        <v>200</v>
      </c>
      <c r="F576" s="98"/>
      <c r="J576" s="152"/>
      <c r="K576" s="152"/>
      <c r="L576" s="152"/>
      <c r="M576" s="152"/>
      <c r="N576" s="152"/>
      <c r="O576" s="152"/>
      <c r="P576" s="152"/>
      <c r="Q576" s="152"/>
      <c r="R576" s="152"/>
      <c r="S576" s="152"/>
      <c r="T576" s="152"/>
      <c r="U576" s="152"/>
      <c r="V576" s="152"/>
      <c r="W576" s="152"/>
      <c r="X576" s="152"/>
      <c r="Y576" s="152"/>
      <c r="AQ576" s="88"/>
    </row>
    <row r="577" spans="5:43" x14ac:dyDescent="0.25">
      <c r="E577" s="39"/>
      <c r="F577" s="98" t="s">
        <v>1061</v>
      </c>
      <c r="G577" s="293" t="s">
        <v>120</v>
      </c>
      <c r="J577" s="258">
        <f>J106</f>
        <v>0</v>
      </c>
      <c r="K577" s="258">
        <f t="shared" ref="K577:Y577" si="170">K106</f>
        <v>0</v>
      </c>
      <c r="L577" s="258">
        <f t="shared" si="170"/>
        <v>0.19289983188688145</v>
      </c>
      <c r="M577" s="258">
        <f t="shared" si="170"/>
        <v>179.17889035465157</v>
      </c>
      <c r="N577" s="258">
        <f t="shared" si="170"/>
        <v>1.8226331011284325</v>
      </c>
      <c r="O577" s="258">
        <f t="shared" si="170"/>
        <v>0</v>
      </c>
      <c r="P577" s="258">
        <f t="shared" si="170"/>
        <v>0</v>
      </c>
      <c r="Q577" s="258">
        <f t="shared" si="170"/>
        <v>0</v>
      </c>
      <c r="R577" s="258">
        <f t="shared" si="170"/>
        <v>222.99704050037963</v>
      </c>
      <c r="S577" s="258">
        <f t="shared" si="170"/>
        <v>0</v>
      </c>
      <c r="T577" s="258">
        <f t="shared" si="170"/>
        <v>0</v>
      </c>
      <c r="U577" s="258">
        <f t="shared" si="170"/>
        <v>0</v>
      </c>
      <c r="V577" s="258">
        <f t="shared" si="170"/>
        <v>0</v>
      </c>
      <c r="W577" s="258">
        <f t="shared" si="170"/>
        <v>0</v>
      </c>
      <c r="X577" s="258">
        <f t="shared" si="170"/>
        <v>0</v>
      </c>
      <c r="Y577" s="258">
        <f t="shared" si="170"/>
        <v>0</v>
      </c>
      <c r="AQ577" s="88"/>
    </row>
    <row r="578" spans="5:43" x14ac:dyDescent="0.25">
      <c r="E578" s="39"/>
      <c r="F578" s="98" t="s">
        <v>1094</v>
      </c>
      <c r="G578" s="293" t="s">
        <v>120</v>
      </c>
      <c r="J578" s="476">
        <f>J115</f>
        <v>51168.232381723828</v>
      </c>
      <c r="K578" s="476">
        <f t="shared" ref="K578:Y578" si="171">K115</f>
        <v>0</v>
      </c>
      <c r="L578" s="476">
        <f t="shared" si="171"/>
        <v>240.50908241556351</v>
      </c>
      <c r="M578" s="476">
        <f t="shared" si="171"/>
        <v>0</v>
      </c>
      <c r="N578" s="476">
        <f t="shared" si="171"/>
        <v>1817.0940405316005</v>
      </c>
      <c r="O578" s="476">
        <f t="shared" si="171"/>
        <v>0</v>
      </c>
      <c r="P578" s="476">
        <f t="shared" si="171"/>
        <v>0</v>
      </c>
      <c r="Q578" s="476">
        <f t="shared" si="171"/>
        <v>52.712365653495674</v>
      </c>
      <c r="R578" s="476">
        <f t="shared" si="171"/>
        <v>0</v>
      </c>
      <c r="S578" s="476">
        <f t="shared" si="171"/>
        <v>0</v>
      </c>
      <c r="T578" s="476">
        <f t="shared" si="171"/>
        <v>0</v>
      </c>
      <c r="U578" s="476">
        <f t="shared" si="171"/>
        <v>0</v>
      </c>
      <c r="V578" s="476">
        <f t="shared" si="171"/>
        <v>0</v>
      </c>
      <c r="W578" s="476">
        <f t="shared" si="171"/>
        <v>0</v>
      </c>
      <c r="X578" s="476">
        <f t="shared" si="171"/>
        <v>0</v>
      </c>
      <c r="Y578" s="476">
        <f t="shared" si="171"/>
        <v>0</v>
      </c>
      <c r="AQ578" s="88"/>
    </row>
    <row r="579" spans="5:43" x14ac:dyDescent="0.25">
      <c r="E579" s="39"/>
      <c r="F579" s="98" t="s">
        <v>1095</v>
      </c>
      <c r="G579" s="293" t="s">
        <v>120</v>
      </c>
      <c r="J579" s="476">
        <f>J124</f>
        <v>0</v>
      </c>
      <c r="K579" s="476">
        <f t="shared" ref="K579:Y579" si="172">K124</f>
        <v>0</v>
      </c>
      <c r="L579" s="476">
        <f t="shared" si="172"/>
        <v>593.66127470052868</v>
      </c>
      <c r="M579" s="476">
        <f t="shared" si="172"/>
        <v>0</v>
      </c>
      <c r="N579" s="476">
        <f t="shared" si="172"/>
        <v>1726.0354349030699</v>
      </c>
      <c r="O579" s="476">
        <f t="shared" si="172"/>
        <v>0</v>
      </c>
      <c r="P579" s="476">
        <f t="shared" si="172"/>
        <v>0</v>
      </c>
      <c r="Q579" s="476">
        <f t="shared" si="172"/>
        <v>0</v>
      </c>
      <c r="R579" s="476">
        <f t="shared" si="172"/>
        <v>0</v>
      </c>
      <c r="S579" s="476">
        <f t="shared" si="172"/>
        <v>0</v>
      </c>
      <c r="T579" s="476">
        <f t="shared" si="172"/>
        <v>0</v>
      </c>
      <c r="U579" s="476">
        <f t="shared" si="172"/>
        <v>0</v>
      </c>
      <c r="V579" s="476">
        <f t="shared" si="172"/>
        <v>0</v>
      </c>
      <c r="W579" s="476">
        <f t="shared" si="172"/>
        <v>0</v>
      </c>
      <c r="X579" s="476">
        <f t="shared" si="172"/>
        <v>0</v>
      </c>
      <c r="Y579" s="476">
        <f t="shared" si="172"/>
        <v>0</v>
      </c>
      <c r="AQ579" s="88"/>
    </row>
    <row r="580" spans="5:43" x14ac:dyDescent="0.25">
      <c r="E580" s="39"/>
      <c r="F580" s="98" t="s">
        <v>1096</v>
      </c>
      <c r="G580" s="293" t="s">
        <v>120</v>
      </c>
      <c r="J580" s="254">
        <f>J133</f>
        <v>0</v>
      </c>
      <c r="K580" s="254">
        <f t="shared" ref="K580:Y580" si="173">K133</f>
        <v>0</v>
      </c>
      <c r="L580" s="254">
        <f t="shared" si="173"/>
        <v>712.28674823442532</v>
      </c>
      <c r="M580" s="254">
        <f t="shared" si="173"/>
        <v>0</v>
      </c>
      <c r="N580" s="254">
        <f t="shared" si="173"/>
        <v>1422.0336211314986</v>
      </c>
      <c r="O580" s="254">
        <f t="shared" si="173"/>
        <v>0</v>
      </c>
      <c r="P580" s="254">
        <f t="shared" si="173"/>
        <v>0</v>
      </c>
      <c r="Q580" s="254">
        <f t="shared" si="173"/>
        <v>0</v>
      </c>
      <c r="R580" s="254">
        <f t="shared" si="173"/>
        <v>0</v>
      </c>
      <c r="S580" s="254">
        <f t="shared" si="173"/>
        <v>0</v>
      </c>
      <c r="T580" s="254">
        <f t="shared" si="173"/>
        <v>0</v>
      </c>
      <c r="U580" s="254">
        <f t="shared" si="173"/>
        <v>0</v>
      </c>
      <c r="V580" s="254">
        <f t="shared" si="173"/>
        <v>0</v>
      </c>
      <c r="W580" s="254">
        <f t="shared" si="173"/>
        <v>0</v>
      </c>
      <c r="X580" s="254">
        <f t="shared" si="173"/>
        <v>0</v>
      </c>
      <c r="Y580" s="254">
        <f t="shared" si="173"/>
        <v>0</v>
      </c>
      <c r="AQ580" s="88"/>
    </row>
    <row r="581" spans="5:43" x14ac:dyDescent="0.25">
      <c r="E581" s="39"/>
      <c r="F581" s="98" t="s">
        <v>1097</v>
      </c>
      <c r="G581" s="293" t="s">
        <v>120</v>
      </c>
      <c r="J581" s="254">
        <f>J142</f>
        <v>0</v>
      </c>
      <c r="K581" s="254">
        <f t="shared" ref="K581:Y581" si="174">K142</f>
        <v>0</v>
      </c>
      <c r="L581" s="254">
        <f t="shared" si="174"/>
        <v>1792.7022558570684</v>
      </c>
      <c r="M581" s="254">
        <f t="shared" si="174"/>
        <v>0</v>
      </c>
      <c r="N581" s="254">
        <f t="shared" si="174"/>
        <v>4678.3457020317728</v>
      </c>
      <c r="O581" s="254">
        <f t="shared" si="174"/>
        <v>0</v>
      </c>
      <c r="P581" s="254">
        <f t="shared" si="174"/>
        <v>0</v>
      </c>
      <c r="Q581" s="254">
        <f t="shared" si="174"/>
        <v>0</v>
      </c>
      <c r="R581" s="254">
        <f t="shared" si="174"/>
        <v>0</v>
      </c>
      <c r="S581" s="254">
        <f t="shared" si="174"/>
        <v>0</v>
      </c>
      <c r="T581" s="254">
        <f t="shared" si="174"/>
        <v>0</v>
      </c>
      <c r="U581" s="254">
        <f t="shared" si="174"/>
        <v>0</v>
      </c>
      <c r="V581" s="254">
        <f t="shared" si="174"/>
        <v>0</v>
      </c>
      <c r="W581" s="254">
        <f t="shared" si="174"/>
        <v>0</v>
      </c>
      <c r="X581" s="254">
        <f t="shared" si="174"/>
        <v>0</v>
      </c>
      <c r="Y581" s="254">
        <f t="shared" si="174"/>
        <v>0</v>
      </c>
      <c r="AQ581" s="88"/>
    </row>
    <row r="582" spans="5:43" x14ac:dyDescent="0.25">
      <c r="E582" s="109" t="s">
        <v>201</v>
      </c>
      <c r="F582" s="98"/>
      <c r="J582" s="152"/>
      <c r="K582" s="152"/>
      <c r="L582" s="152"/>
      <c r="M582" s="152"/>
      <c r="N582" s="152"/>
      <c r="O582" s="152"/>
      <c r="P582" s="152"/>
      <c r="Q582" s="152"/>
      <c r="R582" s="152"/>
      <c r="S582" s="152"/>
      <c r="T582" s="152"/>
      <c r="U582" s="152"/>
      <c r="V582" s="152"/>
      <c r="W582" s="152"/>
      <c r="X582" s="152"/>
      <c r="Y582" s="152"/>
      <c r="AQ582" s="88"/>
    </row>
    <row r="583" spans="5:43" x14ac:dyDescent="0.25">
      <c r="E583" s="39"/>
      <c r="F583" s="98" t="s">
        <v>1061</v>
      </c>
      <c r="G583" s="293" t="s">
        <v>120</v>
      </c>
      <c r="J583" s="258">
        <f>J107</f>
        <v>0</v>
      </c>
      <c r="K583" s="258">
        <f t="shared" ref="K583:Y583" si="175">K107</f>
        <v>0</v>
      </c>
      <c r="L583" s="258">
        <f t="shared" si="175"/>
        <v>8.6786395358914928E-2</v>
      </c>
      <c r="M583" s="258">
        <f t="shared" si="175"/>
        <v>94.027914478237506</v>
      </c>
      <c r="N583" s="258">
        <f t="shared" si="175"/>
        <v>1.0806857353958756</v>
      </c>
      <c r="O583" s="258">
        <f t="shared" si="175"/>
        <v>0</v>
      </c>
      <c r="P583" s="258">
        <f t="shared" si="175"/>
        <v>0</v>
      </c>
      <c r="Q583" s="258">
        <f t="shared" si="175"/>
        <v>0</v>
      </c>
      <c r="R583" s="258">
        <f t="shared" si="175"/>
        <v>20.758512136782162</v>
      </c>
      <c r="S583" s="258">
        <f t="shared" si="175"/>
        <v>0</v>
      </c>
      <c r="T583" s="258">
        <f t="shared" si="175"/>
        <v>0</v>
      </c>
      <c r="U583" s="258">
        <f t="shared" si="175"/>
        <v>0</v>
      </c>
      <c r="V583" s="258">
        <f t="shared" si="175"/>
        <v>0</v>
      </c>
      <c r="W583" s="258">
        <f t="shared" si="175"/>
        <v>0</v>
      </c>
      <c r="X583" s="258">
        <f t="shared" si="175"/>
        <v>0</v>
      </c>
      <c r="Y583" s="258">
        <f t="shared" si="175"/>
        <v>0</v>
      </c>
      <c r="AQ583" s="88"/>
    </row>
    <row r="584" spans="5:43" x14ac:dyDescent="0.25">
      <c r="E584" s="39"/>
      <c r="F584" s="98" t="s">
        <v>1094</v>
      </c>
      <c r="G584" s="293" t="s">
        <v>120</v>
      </c>
      <c r="J584" s="476">
        <f>J116</f>
        <v>24902.513907975921</v>
      </c>
      <c r="K584" s="476">
        <f t="shared" ref="K584:Y584" si="176">K116</f>
        <v>0</v>
      </c>
      <c r="L584" s="476">
        <f t="shared" si="176"/>
        <v>108.20598499104474</v>
      </c>
      <c r="M584" s="476">
        <f t="shared" si="176"/>
        <v>0</v>
      </c>
      <c r="N584" s="476">
        <f t="shared" si="176"/>
        <v>1077.4014848405757</v>
      </c>
      <c r="O584" s="476">
        <f t="shared" si="176"/>
        <v>0</v>
      </c>
      <c r="P584" s="476">
        <f t="shared" si="176"/>
        <v>0</v>
      </c>
      <c r="Q584" s="476">
        <f t="shared" si="176"/>
        <v>45.853087148916899</v>
      </c>
      <c r="R584" s="476">
        <f t="shared" si="176"/>
        <v>0</v>
      </c>
      <c r="S584" s="476">
        <f t="shared" si="176"/>
        <v>0</v>
      </c>
      <c r="T584" s="476">
        <f t="shared" si="176"/>
        <v>0</v>
      </c>
      <c r="U584" s="476">
        <f t="shared" si="176"/>
        <v>0</v>
      </c>
      <c r="V584" s="476">
        <f t="shared" si="176"/>
        <v>0</v>
      </c>
      <c r="W584" s="476">
        <f t="shared" si="176"/>
        <v>0</v>
      </c>
      <c r="X584" s="476">
        <f t="shared" si="176"/>
        <v>0</v>
      </c>
      <c r="Y584" s="476">
        <f t="shared" si="176"/>
        <v>0</v>
      </c>
      <c r="AQ584" s="88"/>
    </row>
    <row r="585" spans="5:43" x14ac:dyDescent="0.25">
      <c r="E585" s="39"/>
      <c r="F585" s="98" t="s">
        <v>1095</v>
      </c>
      <c r="G585" s="293" t="s">
        <v>120</v>
      </c>
      <c r="J585" s="476">
        <f>J125</f>
        <v>0</v>
      </c>
      <c r="K585" s="476">
        <f t="shared" ref="K585:Y585" si="177">K125</f>
        <v>0</v>
      </c>
      <c r="L585" s="476">
        <f t="shared" si="177"/>
        <v>267.09054949125294</v>
      </c>
      <c r="M585" s="476">
        <f t="shared" si="177"/>
        <v>0</v>
      </c>
      <c r="N585" s="476">
        <f t="shared" si="177"/>
        <v>1023.4105109430498</v>
      </c>
      <c r="O585" s="476">
        <f t="shared" si="177"/>
        <v>0</v>
      </c>
      <c r="P585" s="476">
        <f t="shared" si="177"/>
        <v>0</v>
      </c>
      <c r="Q585" s="476">
        <f t="shared" si="177"/>
        <v>0</v>
      </c>
      <c r="R585" s="476">
        <f t="shared" si="177"/>
        <v>0</v>
      </c>
      <c r="S585" s="476">
        <f t="shared" si="177"/>
        <v>0</v>
      </c>
      <c r="T585" s="476">
        <f t="shared" si="177"/>
        <v>0</v>
      </c>
      <c r="U585" s="476">
        <f t="shared" si="177"/>
        <v>0</v>
      </c>
      <c r="V585" s="476">
        <f t="shared" si="177"/>
        <v>0</v>
      </c>
      <c r="W585" s="476">
        <f t="shared" si="177"/>
        <v>0</v>
      </c>
      <c r="X585" s="476">
        <f t="shared" si="177"/>
        <v>0</v>
      </c>
      <c r="Y585" s="476">
        <f t="shared" si="177"/>
        <v>0</v>
      </c>
      <c r="AQ585" s="88"/>
    </row>
    <row r="586" spans="5:43" x14ac:dyDescent="0.25">
      <c r="E586" s="39"/>
      <c r="F586" s="98" t="s">
        <v>1096</v>
      </c>
      <c r="G586" s="293" t="s">
        <v>120</v>
      </c>
      <c r="J586" s="254">
        <f>J134</f>
        <v>0</v>
      </c>
      <c r="K586" s="254">
        <f t="shared" ref="K586:Y586" si="178">K134</f>
        <v>0</v>
      </c>
      <c r="L586" s="254">
        <f t="shared" si="178"/>
        <v>320.46061801359565</v>
      </c>
      <c r="M586" s="254">
        <f t="shared" si="178"/>
        <v>0</v>
      </c>
      <c r="N586" s="254">
        <f t="shared" si="178"/>
        <v>843.16006806784355</v>
      </c>
      <c r="O586" s="254">
        <f t="shared" si="178"/>
        <v>0</v>
      </c>
      <c r="P586" s="254">
        <f t="shared" si="178"/>
        <v>0</v>
      </c>
      <c r="Q586" s="254">
        <f t="shared" si="178"/>
        <v>0</v>
      </c>
      <c r="R586" s="254">
        <f t="shared" si="178"/>
        <v>0</v>
      </c>
      <c r="S586" s="254">
        <f t="shared" si="178"/>
        <v>0</v>
      </c>
      <c r="T586" s="254">
        <f t="shared" si="178"/>
        <v>0</v>
      </c>
      <c r="U586" s="254">
        <f t="shared" si="178"/>
        <v>0</v>
      </c>
      <c r="V586" s="254">
        <f t="shared" si="178"/>
        <v>0</v>
      </c>
      <c r="W586" s="254">
        <f t="shared" si="178"/>
        <v>0</v>
      </c>
      <c r="X586" s="254">
        <f t="shared" si="178"/>
        <v>0</v>
      </c>
      <c r="Y586" s="254">
        <f t="shared" si="178"/>
        <v>0</v>
      </c>
      <c r="AQ586" s="88"/>
    </row>
    <row r="587" spans="5:43" x14ac:dyDescent="0.25">
      <c r="E587" s="39"/>
      <c r="F587" s="98" t="s">
        <v>1097</v>
      </c>
      <c r="G587" s="293" t="s">
        <v>120</v>
      </c>
      <c r="J587" s="254">
        <f>J143</f>
        <v>0</v>
      </c>
      <c r="K587" s="254">
        <f t="shared" ref="K587:Y587" si="179">K143</f>
        <v>0</v>
      </c>
      <c r="L587" s="254">
        <f t="shared" si="179"/>
        <v>806.54381714995623</v>
      </c>
      <c r="M587" s="254">
        <f t="shared" si="179"/>
        <v>0</v>
      </c>
      <c r="N587" s="254">
        <f t="shared" si="179"/>
        <v>2773.9107022176709</v>
      </c>
      <c r="O587" s="254">
        <f t="shared" si="179"/>
        <v>0</v>
      </c>
      <c r="P587" s="254">
        <f t="shared" si="179"/>
        <v>0</v>
      </c>
      <c r="Q587" s="254">
        <f t="shared" si="179"/>
        <v>0</v>
      </c>
      <c r="R587" s="254">
        <f t="shared" si="179"/>
        <v>0</v>
      </c>
      <c r="S587" s="254">
        <f t="shared" si="179"/>
        <v>0</v>
      </c>
      <c r="T587" s="254">
        <f t="shared" si="179"/>
        <v>0</v>
      </c>
      <c r="U587" s="254">
        <f t="shared" si="179"/>
        <v>0</v>
      </c>
      <c r="V587" s="254">
        <f t="shared" si="179"/>
        <v>0</v>
      </c>
      <c r="W587" s="254">
        <f t="shared" si="179"/>
        <v>0</v>
      </c>
      <c r="X587" s="254">
        <f t="shared" si="179"/>
        <v>0</v>
      </c>
      <c r="Y587" s="254">
        <f t="shared" si="179"/>
        <v>0</v>
      </c>
      <c r="AQ587" s="88"/>
    </row>
    <row r="588" spans="5:43" x14ac:dyDescent="0.25">
      <c r="E588" s="109" t="s">
        <v>74</v>
      </c>
      <c r="F588" s="98"/>
      <c r="J588" s="152"/>
      <c r="K588" s="152"/>
      <c r="L588" s="152"/>
      <c r="M588" s="152"/>
      <c r="N588" s="152"/>
      <c r="O588" s="152"/>
      <c r="P588" s="152"/>
      <c r="Q588" s="152"/>
      <c r="R588" s="152"/>
      <c r="S588" s="152"/>
      <c r="T588" s="152"/>
      <c r="U588" s="152"/>
      <c r="V588" s="152"/>
      <c r="W588" s="152"/>
      <c r="X588" s="152"/>
      <c r="Y588" s="152"/>
      <c r="AQ588" s="88"/>
    </row>
    <row r="589" spans="5:43" x14ac:dyDescent="0.25">
      <c r="E589" s="39"/>
      <c r="F589" s="98" t="s">
        <v>1061</v>
      </c>
      <c r="G589" s="293" t="s">
        <v>74</v>
      </c>
      <c r="J589" s="258">
        <f>J108</f>
        <v>0</v>
      </c>
      <c r="K589" s="258">
        <f t="shared" ref="K589:Y589" si="180">K108</f>
        <v>0</v>
      </c>
      <c r="L589" s="258">
        <f t="shared" si="180"/>
        <v>1.562562276581243E-2</v>
      </c>
      <c r="M589" s="258">
        <f t="shared" si="180"/>
        <v>4</v>
      </c>
      <c r="N589" s="258">
        <f t="shared" si="180"/>
        <v>7.7906285467221531E-2</v>
      </c>
      <c r="O589" s="258">
        <f t="shared" si="180"/>
        <v>0</v>
      </c>
      <c r="P589" s="258">
        <f t="shared" si="180"/>
        <v>0</v>
      </c>
      <c r="Q589" s="258">
        <f t="shared" si="180"/>
        <v>0</v>
      </c>
      <c r="R589" s="258">
        <f t="shared" si="180"/>
        <v>50.451612903225801</v>
      </c>
      <c r="S589" s="258">
        <f t="shared" si="180"/>
        <v>0</v>
      </c>
      <c r="T589" s="258">
        <f t="shared" si="180"/>
        <v>0</v>
      </c>
      <c r="U589" s="258">
        <f t="shared" si="180"/>
        <v>0</v>
      </c>
      <c r="V589" s="258">
        <f t="shared" si="180"/>
        <v>0</v>
      </c>
      <c r="W589" s="258">
        <f t="shared" si="180"/>
        <v>0</v>
      </c>
      <c r="X589" s="258">
        <f t="shared" si="180"/>
        <v>0</v>
      </c>
      <c r="Y589" s="258">
        <f t="shared" si="180"/>
        <v>0</v>
      </c>
      <c r="AQ589" s="88"/>
    </row>
    <row r="590" spans="5:43" x14ac:dyDescent="0.25">
      <c r="E590" s="39"/>
      <c r="F590" s="98" t="s">
        <v>1094</v>
      </c>
      <c r="G590" s="293" t="s">
        <v>74</v>
      </c>
      <c r="J590" s="476">
        <f>J117</f>
        <v>30423.599820316216</v>
      </c>
      <c r="K590" s="476">
        <f t="shared" ref="K590:Y590" si="181">K117</f>
        <v>0</v>
      </c>
      <c r="L590" s="476">
        <f t="shared" si="181"/>
        <v>171.23464721002364</v>
      </c>
      <c r="M590" s="476">
        <f t="shared" si="181"/>
        <v>0</v>
      </c>
      <c r="N590" s="476">
        <f t="shared" si="181"/>
        <v>64.342214775982271</v>
      </c>
      <c r="O590" s="476">
        <f t="shared" si="181"/>
        <v>0</v>
      </c>
      <c r="P590" s="476">
        <f t="shared" si="181"/>
        <v>0</v>
      </c>
      <c r="Q590" s="476">
        <f t="shared" si="181"/>
        <v>122</v>
      </c>
      <c r="R590" s="476">
        <f t="shared" si="181"/>
        <v>0</v>
      </c>
      <c r="S590" s="476">
        <f t="shared" si="181"/>
        <v>0</v>
      </c>
      <c r="T590" s="476">
        <f t="shared" si="181"/>
        <v>0</v>
      </c>
      <c r="U590" s="476">
        <f t="shared" si="181"/>
        <v>0</v>
      </c>
      <c r="V590" s="476">
        <f t="shared" si="181"/>
        <v>0</v>
      </c>
      <c r="W590" s="476">
        <f t="shared" si="181"/>
        <v>0</v>
      </c>
      <c r="X590" s="476">
        <f t="shared" si="181"/>
        <v>0</v>
      </c>
      <c r="Y590" s="476">
        <f t="shared" si="181"/>
        <v>0</v>
      </c>
      <c r="AQ590" s="88"/>
    </row>
    <row r="591" spans="5:43" x14ac:dyDescent="0.25">
      <c r="E591" s="39"/>
      <c r="F591" s="98" t="s">
        <v>1095</v>
      </c>
      <c r="G591" s="293" t="s">
        <v>74</v>
      </c>
      <c r="J591" s="476">
        <f>J126</f>
        <v>0</v>
      </c>
      <c r="K591" s="476">
        <f t="shared" ref="K591:Y591" si="182">K126</f>
        <v>0</v>
      </c>
      <c r="L591" s="476">
        <f t="shared" si="182"/>
        <v>128.67108086138472</v>
      </c>
      <c r="M591" s="476">
        <f t="shared" si="182"/>
        <v>0</v>
      </c>
      <c r="N591" s="476">
        <f t="shared" si="182"/>
        <v>33.259701129546549</v>
      </c>
      <c r="O591" s="476">
        <f t="shared" si="182"/>
        <v>0</v>
      </c>
      <c r="P591" s="476">
        <f t="shared" si="182"/>
        <v>0</v>
      </c>
      <c r="Q591" s="476">
        <f t="shared" si="182"/>
        <v>0</v>
      </c>
      <c r="R591" s="476">
        <f t="shared" si="182"/>
        <v>0</v>
      </c>
      <c r="S591" s="476">
        <f t="shared" si="182"/>
        <v>0</v>
      </c>
      <c r="T591" s="476">
        <f t="shared" si="182"/>
        <v>0</v>
      </c>
      <c r="U591" s="476">
        <f t="shared" si="182"/>
        <v>0</v>
      </c>
      <c r="V591" s="476">
        <f t="shared" si="182"/>
        <v>0</v>
      </c>
      <c r="W591" s="476">
        <f t="shared" si="182"/>
        <v>0</v>
      </c>
      <c r="X591" s="476">
        <f t="shared" si="182"/>
        <v>0</v>
      </c>
      <c r="Y591" s="476">
        <f t="shared" si="182"/>
        <v>0</v>
      </c>
      <c r="AQ591" s="88"/>
    </row>
    <row r="592" spans="5:43" x14ac:dyDescent="0.25">
      <c r="E592" s="39"/>
      <c r="F592" s="98" t="s">
        <v>1096</v>
      </c>
      <c r="G592" s="293" t="s">
        <v>74</v>
      </c>
      <c r="J592" s="254">
        <f>J135</f>
        <v>0</v>
      </c>
      <c r="K592" s="254">
        <f t="shared" ref="K592:Y592" si="183">K135</f>
        <v>0</v>
      </c>
      <c r="L592" s="254">
        <f t="shared" si="183"/>
        <v>68.11643708767167</v>
      </c>
      <c r="M592" s="254">
        <f t="shared" si="183"/>
        <v>0</v>
      </c>
      <c r="N592" s="254">
        <f t="shared" si="183"/>
        <v>17.713627519861646</v>
      </c>
      <c r="O592" s="254">
        <f t="shared" si="183"/>
        <v>0</v>
      </c>
      <c r="P592" s="254">
        <f t="shared" si="183"/>
        <v>0</v>
      </c>
      <c r="Q592" s="254">
        <f t="shared" si="183"/>
        <v>0</v>
      </c>
      <c r="R592" s="254">
        <f t="shared" si="183"/>
        <v>0</v>
      </c>
      <c r="S592" s="254">
        <f t="shared" si="183"/>
        <v>0</v>
      </c>
      <c r="T592" s="254">
        <f t="shared" si="183"/>
        <v>0</v>
      </c>
      <c r="U592" s="254">
        <f t="shared" si="183"/>
        <v>0</v>
      </c>
      <c r="V592" s="254">
        <f t="shared" si="183"/>
        <v>0</v>
      </c>
      <c r="W592" s="254">
        <f t="shared" si="183"/>
        <v>0</v>
      </c>
      <c r="X592" s="254">
        <f t="shared" si="183"/>
        <v>0</v>
      </c>
      <c r="Y592" s="254">
        <f t="shared" si="183"/>
        <v>0</v>
      </c>
      <c r="AQ592" s="88"/>
    </row>
    <row r="593" spans="5:43" x14ac:dyDescent="0.25">
      <c r="E593" s="39"/>
      <c r="F593" s="98" t="s">
        <v>1097</v>
      </c>
      <c r="G593" s="293" t="s">
        <v>74</v>
      </c>
      <c r="J593" s="254">
        <f>J144</f>
        <v>0</v>
      </c>
      <c r="K593" s="254">
        <f t="shared" ref="K593:Y593" si="184">K144</f>
        <v>0</v>
      </c>
      <c r="L593" s="254">
        <f t="shared" si="184"/>
        <v>63.012024979810668</v>
      </c>
      <c r="M593" s="254">
        <f t="shared" si="184"/>
        <v>0</v>
      </c>
      <c r="N593" s="254">
        <f t="shared" si="184"/>
        <v>24.106550289142305</v>
      </c>
      <c r="O593" s="254">
        <f t="shared" si="184"/>
        <v>0</v>
      </c>
      <c r="P593" s="254">
        <f t="shared" si="184"/>
        <v>0</v>
      </c>
      <c r="Q593" s="254">
        <f t="shared" si="184"/>
        <v>0</v>
      </c>
      <c r="R593" s="254">
        <f t="shared" si="184"/>
        <v>0</v>
      </c>
      <c r="S593" s="254">
        <f t="shared" si="184"/>
        <v>0</v>
      </c>
      <c r="T593" s="254">
        <f t="shared" si="184"/>
        <v>0</v>
      </c>
      <c r="U593" s="254">
        <f t="shared" si="184"/>
        <v>0</v>
      </c>
      <c r="V593" s="254">
        <f t="shared" si="184"/>
        <v>0</v>
      </c>
      <c r="W593" s="254">
        <f t="shared" si="184"/>
        <v>0</v>
      </c>
      <c r="X593" s="254">
        <f t="shared" si="184"/>
        <v>0</v>
      </c>
      <c r="Y593" s="254">
        <f t="shared" si="184"/>
        <v>0</v>
      </c>
      <c r="AQ593" s="88"/>
    </row>
    <row r="594" spans="5:43" x14ac:dyDescent="0.25">
      <c r="E594" s="109" t="s">
        <v>202</v>
      </c>
      <c r="F594" s="98"/>
      <c r="J594" s="152"/>
      <c r="K594" s="152"/>
      <c r="L594" s="152"/>
      <c r="M594" s="152"/>
      <c r="N594" s="152"/>
      <c r="O594" s="152"/>
      <c r="P594" s="152"/>
      <c r="Q594" s="152"/>
      <c r="R594" s="152"/>
      <c r="S594" s="152"/>
      <c r="T594" s="152"/>
      <c r="U594" s="152"/>
      <c r="V594" s="152"/>
      <c r="W594" s="152"/>
      <c r="X594" s="152"/>
      <c r="Y594" s="152"/>
      <c r="AQ594" s="88"/>
    </row>
    <row r="595" spans="5:43" x14ac:dyDescent="0.25">
      <c r="E595" s="39"/>
      <c r="F595" s="98" t="s">
        <v>1061</v>
      </c>
      <c r="G595" s="293" t="s">
        <v>169</v>
      </c>
      <c r="J595" s="258">
        <f>J109</f>
        <v>0</v>
      </c>
      <c r="K595" s="258">
        <f t="shared" ref="K595:Y595" si="185">K109</f>
        <v>0</v>
      </c>
      <c r="L595" s="258">
        <f t="shared" si="185"/>
        <v>0</v>
      </c>
      <c r="M595" s="258">
        <f t="shared" si="185"/>
        <v>0</v>
      </c>
      <c r="N595" s="258">
        <f t="shared" si="185"/>
        <v>3.9060851734454922</v>
      </c>
      <c r="O595" s="258">
        <f t="shared" si="185"/>
        <v>0</v>
      </c>
      <c r="P595" s="258">
        <f t="shared" si="185"/>
        <v>0</v>
      </c>
      <c r="Q595" s="258">
        <f t="shared" si="185"/>
        <v>0</v>
      </c>
      <c r="R595" s="258">
        <f t="shared" si="185"/>
        <v>0</v>
      </c>
      <c r="S595" s="258">
        <f t="shared" si="185"/>
        <v>0</v>
      </c>
      <c r="T595" s="258">
        <f t="shared" si="185"/>
        <v>0</v>
      </c>
      <c r="U595" s="258">
        <f t="shared" si="185"/>
        <v>0</v>
      </c>
      <c r="V595" s="258">
        <f t="shared" si="185"/>
        <v>0</v>
      </c>
      <c r="W595" s="258">
        <f t="shared" si="185"/>
        <v>0</v>
      </c>
      <c r="X595" s="258">
        <f t="shared" si="185"/>
        <v>0</v>
      </c>
      <c r="Y595" s="258">
        <f t="shared" si="185"/>
        <v>0</v>
      </c>
      <c r="AQ595" s="88"/>
    </row>
    <row r="596" spans="5:43" x14ac:dyDescent="0.25">
      <c r="E596" s="39"/>
      <c r="F596" s="98" t="s">
        <v>1094</v>
      </c>
      <c r="G596" s="293" t="s">
        <v>169</v>
      </c>
      <c r="J596" s="476">
        <f>J118</f>
        <v>0</v>
      </c>
      <c r="K596" s="476">
        <f t="shared" ref="K596:Y596" si="186">K118</f>
        <v>0</v>
      </c>
      <c r="L596" s="476">
        <f t="shared" si="186"/>
        <v>0</v>
      </c>
      <c r="M596" s="476">
        <f t="shared" si="186"/>
        <v>0</v>
      </c>
      <c r="N596" s="476">
        <f t="shared" si="186"/>
        <v>3894.2144121503607</v>
      </c>
      <c r="O596" s="476">
        <f t="shared" si="186"/>
        <v>0</v>
      </c>
      <c r="P596" s="476">
        <f t="shared" si="186"/>
        <v>0</v>
      </c>
      <c r="Q596" s="476">
        <f t="shared" si="186"/>
        <v>0</v>
      </c>
      <c r="R596" s="476">
        <f t="shared" si="186"/>
        <v>0</v>
      </c>
      <c r="S596" s="476">
        <f t="shared" si="186"/>
        <v>0</v>
      </c>
      <c r="T596" s="476">
        <f t="shared" si="186"/>
        <v>0</v>
      </c>
      <c r="U596" s="476">
        <f t="shared" si="186"/>
        <v>0</v>
      </c>
      <c r="V596" s="476">
        <f t="shared" si="186"/>
        <v>0</v>
      </c>
      <c r="W596" s="476">
        <f t="shared" si="186"/>
        <v>0</v>
      </c>
      <c r="X596" s="476">
        <f t="shared" si="186"/>
        <v>0</v>
      </c>
      <c r="Y596" s="476">
        <f t="shared" si="186"/>
        <v>0</v>
      </c>
      <c r="AQ596" s="88"/>
    </row>
    <row r="597" spans="5:43" x14ac:dyDescent="0.25">
      <c r="E597" s="39"/>
      <c r="F597" s="98" t="s">
        <v>1095</v>
      </c>
      <c r="G597" s="293" t="s">
        <v>169</v>
      </c>
      <c r="J597" s="476">
        <f>J127</f>
        <v>0</v>
      </c>
      <c r="K597" s="476">
        <f t="shared" ref="K597:Y597" si="187">K127</f>
        <v>0</v>
      </c>
      <c r="L597" s="476">
        <f t="shared" si="187"/>
        <v>0</v>
      </c>
      <c r="M597" s="476">
        <f t="shared" si="187"/>
        <v>0</v>
      </c>
      <c r="N597" s="476">
        <f t="shared" si="187"/>
        <v>3699.0667057139899</v>
      </c>
      <c r="O597" s="476">
        <f t="shared" si="187"/>
        <v>0</v>
      </c>
      <c r="P597" s="476">
        <f t="shared" si="187"/>
        <v>0</v>
      </c>
      <c r="Q597" s="476">
        <f t="shared" si="187"/>
        <v>0</v>
      </c>
      <c r="R597" s="476">
        <f t="shared" si="187"/>
        <v>0</v>
      </c>
      <c r="S597" s="476">
        <f t="shared" si="187"/>
        <v>0</v>
      </c>
      <c r="T597" s="476">
        <f t="shared" si="187"/>
        <v>0</v>
      </c>
      <c r="U597" s="476">
        <f t="shared" si="187"/>
        <v>0</v>
      </c>
      <c r="V597" s="476">
        <f t="shared" si="187"/>
        <v>0</v>
      </c>
      <c r="W597" s="476">
        <f t="shared" si="187"/>
        <v>0</v>
      </c>
      <c r="X597" s="476">
        <f t="shared" si="187"/>
        <v>0</v>
      </c>
      <c r="Y597" s="476">
        <f t="shared" si="187"/>
        <v>0</v>
      </c>
      <c r="AQ597" s="88"/>
    </row>
    <row r="598" spans="5:43" x14ac:dyDescent="0.25">
      <c r="E598" s="39"/>
      <c r="F598" s="98" t="s">
        <v>1096</v>
      </c>
      <c r="G598" s="293" t="s">
        <v>169</v>
      </c>
      <c r="J598" s="254">
        <f>J136</f>
        <v>0</v>
      </c>
      <c r="K598" s="254">
        <f t="shared" ref="K598:Y598" si="188">K136</f>
        <v>0</v>
      </c>
      <c r="L598" s="254">
        <f t="shared" si="188"/>
        <v>0</v>
      </c>
      <c r="M598" s="254">
        <f t="shared" si="188"/>
        <v>0</v>
      </c>
      <c r="N598" s="254">
        <f t="shared" si="188"/>
        <v>3047.5603895286363</v>
      </c>
      <c r="O598" s="254">
        <f t="shared" si="188"/>
        <v>0</v>
      </c>
      <c r="P598" s="254">
        <f t="shared" si="188"/>
        <v>0</v>
      </c>
      <c r="Q598" s="254">
        <f t="shared" si="188"/>
        <v>0</v>
      </c>
      <c r="R598" s="254">
        <f t="shared" si="188"/>
        <v>0</v>
      </c>
      <c r="S598" s="254">
        <f t="shared" si="188"/>
        <v>0</v>
      </c>
      <c r="T598" s="254">
        <f t="shared" si="188"/>
        <v>0</v>
      </c>
      <c r="U598" s="254">
        <f t="shared" si="188"/>
        <v>0</v>
      </c>
      <c r="V598" s="254">
        <f t="shared" si="188"/>
        <v>0</v>
      </c>
      <c r="W598" s="254">
        <f t="shared" si="188"/>
        <v>0</v>
      </c>
      <c r="X598" s="254">
        <f t="shared" si="188"/>
        <v>0</v>
      </c>
      <c r="Y598" s="254">
        <f t="shared" si="188"/>
        <v>0</v>
      </c>
      <c r="AQ598" s="88"/>
    </row>
    <row r="599" spans="5:43" x14ac:dyDescent="0.25">
      <c r="E599" s="39"/>
      <c r="F599" s="98" t="s">
        <v>1097</v>
      </c>
      <c r="G599" s="293" t="s">
        <v>169</v>
      </c>
      <c r="J599" s="254">
        <f>J145</f>
        <v>0</v>
      </c>
      <c r="K599" s="254">
        <f t="shared" ref="K599:Y599" si="189">K145</f>
        <v>0</v>
      </c>
      <c r="L599" s="254">
        <f t="shared" si="189"/>
        <v>0</v>
      </c>
      <c r="M599" s="254">
        <f t="shared" si="189"/>
        <v>0</v>
      </c>
      <c r="N599" s="254">
        <f t="shared" si="189"/>
        <v>10026.163121719288</v>
      </c>
      <c r="O599" s="254">
        <f t="shared" si="189"/>
        <v>0</v>
      </c>
      <c r="P599" s="254">
        <f t="shared" si="189"/>
        <v>0</v>
      </c>
      <c r="Q599" s="254">
        <f t="shared" si="189"/>
        <v>0</v>
      </c>
      <c r="R599" s="254">
        <f t="shared" si="189"/>
        <v>0</v>
      </c>
      <c r="S599" s="254">
        <f t="shared" si="189"/>
        <v>0</v>
      </c>
      <c r="T599" s="254">
        <f t="shared" si="189"/>
        <v>0</v>
      </c>
      <c r="U599" s="254">
        <f t="shared" si="189"/>
        <v>0</v>
      </c>
      <c r="V599" s="254">
        <f t="shared" si="189"/>
        <v>0</v>
      </c>
      <c r="W599" s="254">
        <f t="shared" si="189"/>
        <v>0</v>
      </c>
      <c r="X599" s="254">
        <f t="shared" si="189"/>
        <v>0</v>
      </c>
      <c r="Y599" s="254">
        <f t="shared" si="189"/>
        <v>0</v>
      </c>
      <c r="AQ599" s="88"/>
    </row>
    <row r="600" spans="5:43" x14ac:dyDescent="0.25">
      <c r="E600" s="109" t="s">
        <v>203</v>
      </c>
      <c r="F600" s="98"/>
      <c r="J600" s="152"/>
      <c r="K600" s="152"/>
      <c r="L600" s="152"/>
      <c r="M600" s="152"/>
      <c r="N600" s="152"/>
      <c r="O600" s="152"/>
      <c r="P600" s="152"/>
      <c r="Q600" s="152"/>
      <c r="R600" s="152"/>
      <c r="S600" s="152"/>
      <c r="T600" s="152"/>
      <c r="U600" s="152"/>
      <c r="V600" s="152"/>
      <c r="W600" s="152"/>
      <c r="X600" s="152"/>
      <c r="Y600" s="152"/>
      <c r="AQ600" s="88"/>
    </row>
    <row r="601" spans="5:43" x14ac:dyDescent="0.25">
      <c r="E601" s="39"/>
      <c r="F601" s="98" t="s">
        <v>1061</v>
      </c>
      <c r="G601" s="293" t="s">
        <v>169</v>
      </c>
      <c r="J601" s="258">
        <f>J110</f>
        <v>0</v>
      </c>
      <c r="K601" s="258">
        <f t="shared" ref="K601:Y601" si="190">K110</f>
        <v>0</v>
      </c>
      <c r="L601" s="258">
        <f t="shared" si="190"/>
        <v>0</v>
      </c>
      <c r="M601" s="258">
        <f t="shared" si="190"/>
        <v>0</v>
      </c>
      <c r="N601" s="258">
        <f t="shared" si="190"/>
        <v>3.5304457460642526E-3</v>
      </c>
      <c r="O601" s="258">
        <f t="shared" si="190"/>
        <v>0</v>
      </c>
      <c r="P601" s="258">
        <f t="shared" si="190"/>
        <v>0</v>
      </c>
      <c r="Q601" s="258">
        <f t="shared" si="190"/>
        <v>0</v>
      </c>
      <c r="R601" s="258">
        <f t="shared" si="190"/>
        <v>0</v>
      </c>
      <c r="S601" s="258">
        <f t="shared" si="190"/>
        <v>0</v>
      </c>
      <c r="T601" s="258">
        <f t="shared" si="190"/>
        <v>0</v>
      </c>
      <c r="U601" s="258">
        <f t="shared" si="190"/>
        <v>0</v>
      </c>
      <c r="V601" s="258">
        <f t="shared" si="190"/>
        <v>0</v>
      </c>
      <c r="W601" s="258">
        <f t="shared" si="190"/>
        <v>0</v>
      </c>
      <c r="X601" s="258">
        <f t="shared" si="190"/>
        <v>0</v>
      </c>
      <c r="Y601" s="258">
        <f t="shared" si="190"/>
        <v>0</v>
      </c>
      <c r="AQ601" s="88"/>
    </row>
    <row r="602" spans="5:43" x14ac:dyDescent="0.25">
      <c r="E602" s="39"/>
      <c r="F602" s="98" t="s">
        <v>1094</v>
      </c>
      <c r="G602" s="293" t="s">
        <v>169</v>
      </c>
      <c r="J602" s="476">
        <f>J119</f>
        <v>0</v>
      </c>
      <c r="K602" s="476">
        <f t="shared" ref="K602:Y602" si="191">K119</f>
        <v>0</v>
      </c>
      <c r="L602" s="476">
        <f t="shared" si="191"/>
        <v>0</v>
      </c>
      <c r="M602" s="476">
        <f t="shared" si="191"/>
        <v>0</v>
      </c>
      <c r="N602" s="476">
        <f t="shared" si="191"/>
        <v>3.5197165691886818</v>
      </c>
      <c r="O602" s="476">
        <f t="shared" si="191"/>
        <v>0</v>
      </c>
      <c r="P602" s="476">
        <f t="shared" si="191"/>
        <v>0</v>
      </c>
      <c r="Q602" s="476">
        <f t="shared" si="191"/>
        <v>0</v>
      </c>
      <c r="R602" s="476">
        <f t="shared" si="191"/>
        <v>0</v>
      </c>
      <c r="S602" s="476">
        <f t="shared" si="191"/>
        <v>0</v>
      </c>
      <c r="T602" s="476">
        <f t="shared" si="191"/>
        <v>0</v>
      </c>
      <c r="U602" s="476">
        <f t="shared" si="191"/>
        <v>0</v>
      </c>
      <c r="V602" s="476">
        <f t="shared" si="191"/>
        <v>0</v>
      </c>
      <c r="W602" s="476">
        <f t="shared" si="191"/>
        <v>0</v>
      </c>
      <c r="X602" s="476">
        <f t="shared" si="191"/>
        <v>0</v>
      </c>
      <c r="Y602" s="476">
        <f t="shared" si="191"/>
        <v>0</v>
      </c>
      <c r="AQ602" s="88"/>
    </row>
    <row r="603" spans="5:43" x14ac:dyDescent="0.25">
      <c r="E603" s="39"/>
      <c r="F603" s="98" t="s">
        <v>1095</v>
      </c>
      <c r="G603" s="293" t="s">
        <v>169</v>
      </c>
      <c r="J603" s="476">
        <f>J128</f>
        <v>0</v>
      </c>
      <c r="K603" s="476">
        <f t="shared" ref="K603:Y603" si="192">K128</f>
        <v>0</v>
      </c>
      <c r="L603" s="476">
        <f t="shared" si="192"/>
        <v>0</v>
      </c>
      <c r="M603" s="476">
        <f t="shared" si="192"/>
        <v>0</v>
      </c>
      <c r="N603" s="476">
        <f t="shared" si="192"/>
        <v>3.3433357788448905</v>
      </c>
      <c r="O603" s="476">
        <f t="shared" si="192"/>
        <v>0</v>
      </c>
      <c r="P603" s="476">
        <f t="shared" si="192"/>
        <v>0</v>
      </c>
      <c r="Q603" s="476">
        <f t="shared" si="192"/>
        <v>0</v>
      </c>
      <c r="R603" s="476">
        <f t="shared" si="192"/>
        <v>0</v>
      </c>
      <c r="S603" s="476">
        <f t="shared" si="192"/>
        <v>0</v>
      </c>
      <c r="T603" s="476">
        <f t="shared" si="192"/>
        <v>0</v>
      </c>
      <c r="U603" s="476">
        <f t="shared" si="192"/>
        <v>0</v>
      </c>
      <c r="V603" s="476">
        <f t="shared" si="192"/>
        <v>0</v>
      </c>
      <c r="W603" s="476">
        <f t="shared" si="192"/>
        <v>0</v>
      </c>
      <c r="X603" s="476">
        <f t="shared" si="192"/>
        <v>0</v>
      </c>
      <c r="Y603" s="476">
        <f t="shared" si="192"/>
        <v>0</v>
      </c>
      <c r="AQ603" s="88"/>
    </row>
    <row r="604" spans="5:43" x14ac:dyDescent="0.25">
      <c r="E604" s="39"/>
      <c r="F604" s="98" t="s">
        <v>1096</v>
      </c>
      <c r="G604" s="293" t="s">
        <v>169</v>
      </c>
      <c r="J604" s="254">
        <f>J137</f>
        <v>0</v>
      </c>
      <c r="K604" s="254">
        <f t="shared" ref="K604:Y604" si="193">K137</f>
        <v>0</v>
      </c>
      <c r="L604" s="254">
        <f t="shared" si="193"/>
        <v>0</v>
      </c>
      <c r="M604" s="254">
        <f t="shared" si="193"/>
        <v>0</v>
      </c>
      <c r="N604" s="254">
        <f t="shared" si="193"/>
        <v>2.7544833600222645</v>
      </c>
      <c r="O604" s="254">
        <f t="shared" si="193"/>
        <v>0</v>
      </c>
      <c r="P604" s="254">
        <f t="shared" si="193"/>
        <v>0</v>
      </c>
      <c r="Q604" s="254">
        <f t="shared" si="193"/>
        <v>0</v>
      </c>
      <c r="R604" s="254">
        <f t="shared" si="193"/>
        <v>0</v>
      </c>
      <c r="S604" s="254">
        <f t="shared" si="193"/>
        <v>0</v>
      </c>
      <c r="T604" s="254">
        <f t="shared" si="193"/>
        <v>0</v>
      </c>
      <c r="U604" s="254">
        <f t="shared" si="193"/>
        <v>0</v>
      </c>
      <c r="V604" s="254">
        <f t="shared" si="193"/>
        <v>0</v>
      </c>
      <c r="W604" s="254">
        <f t="shared" si="193"/>
        <v>0</v>
      </c>
      <c r="X604" s="254">
        <f t="shared" si="193"/>
        <v>0</v>
      </c>
      <c r="Y604" s="254">
        <f t="shared" si="193"/>
        <v>0</v>
      </c>
      <c r="AQ604" s="88"/>
    </row>
    <row r="605" spans="5:43" x14ac:dyDescent="0.25">
      <c r="E605" s="39"/>
      <c r="F605" s="98" t="s">
        <v>1097</v>
      </c>
      <c r="G605" s="293" t="s">
        <v>169</v>
      </c>
      <c r="J605" s="254">
        <f>J146</f>
        <v>0</v>
      </c>
      <c r="K605" s="254">
        <f t="shared" ref="K605:Y605" si="194">K146</f>
        <v>0</v>
      </c>
      <c r="L605" s="254">
        <f t="shared" si="194"/>
        <v>0</v>
      </c>
      <c r="M605" s="254">
        <f t="shared" si="194"/>
        <v>0</v>
      </c>
      <c r="N605" s="254">
        <f t="shared" si="194"/>
        <v>9.0619695604838029</v>
      </c>
      <c r="O605" s="254">
        <f t="shared" si="194"/>
        <v>0</v>
      </c>
      <c r="P605" s="254">
        <f t="shared" si="194"/>
        <v>0</v>
      </c>
      <c r="Q605" s="254">
        <f t="shared" si="194"/>
        <v>0</v>
      </c>
      <c r="R605" s="254">
        <f t="shared" si="194"/>
        <v>0</v>
      </c>
      <c r="S605" s="254">
        <f t="shared" si="194"/>
        <v>0</v>
      </c>
      <c r="T605" s="254">
        <f t="shared" si="194"/>
        <v>0</v>
      </c>
      <c r="U605" s="254">
        <f t="shared" si="194"/>
        <v>0</v>
      </c>
      <c r="V605" s="254">
        <f t="shared" si="194"/>
        <v>0</v>
      </c>
      <c r="W605" s="254">
        <f t="shared" si="194"/>
        <v>0</v>
      </c>
      <c r="X605" s="254">
        <f t="shared" si="194"/>
        <v>0</v>
      </c>
      <c r="Y605" s="254">
        <f t="shared" si="194"/>
        <v>0</v>
      </c>
      <c r="AQ605" s="88"/>
    </row>
    <row r="606" spans="5:43" x14ac:dyDescent="0.25">
      <c r="E606" s="39" t="s">
        <v>204</v>
      </c>
      <c r="F606" s="98"/>
      <c r="J606" s="152"/>
      <c r="K606" s="152"/>
      <c r="L606" s="152"/>
      <c r="M606" s="152"/>
      <c r="N606" s="152"/>
      <c r="O606" s="152"/>
      <c r="P606" s="152"/>
      <c r="Q606" s="152"/>
      <c r="R606" s="152"/>
      <c r="S606" s="152"/>
      <c r="T606" s="152"/>
      <c r="U606" s="152"/>
      <c r="V606" s="152"/>
      <c r="W606" s="152"/>
      <c r="X606" s="152"/>
      <c r="Y606" s="152"/>
      <c r="AQ606" s="88"/>
    </row>
    <row r="607" spans="5:43" x14ac:dyDescent="0.25">
      <c r="E607" s="39"/>
      <c r="F607" s="98" t="s">
        <v>1061</v>
      </c>
      <c r="G607" s="293" t="s">
        <v>170</v>
      </c>
      <c r="J607" s="258">
        <f>J111</f>
        <v>0</v>
      </c>
      <c r="K607" s="258">
        <f t="shared" ref="K607:Y607" si="195">K111</f>
        <v>0</v>
      </c>
      <c r="L607" s="258">
        <f t="shared" si="195"/>
        <v>0</v>
      </c>
      <c r="M607" s="258">
        <f t="shared" si="195"/>
        <v>0</v>
      </c>
      <c r="N607" s="258">
        <f t="shared" si="195"/>
        <v>0.37449607950128161</v>
      </c>
      <c r="O607" s="258">
        <f t="shared" si="195"/>
        <v>0</v>
      </c>
      <c r="P607" s="258">
        <f t="shared" si="195"/>
        <v>0</v>
      </c>
      <c r="Q607" s="258">
        <f t="shared" si="195"/>
        <v>0</v>
      </c>
      <c r="R607" s="258">
        <f t="shared" si="195"/>
        <v>0</v>
      </c>
      <c r="S607" s="258">
        <f t="shared" si="195"/>
        <v>0</v>
      </c>
      <c r="T607" s="258">
        <f t="shared" si="195"/>
        <v>0</v>
      </c>
      <c r="U607" s="258">
        <f t="shared" si="195"/>
        <v>0</v>
      </c>
      <c r="V607" s="258">
        <f t="shared" si="195"/>
        <v>0</v>
      </c>
      <c r="W607" s="258">
        <f t="shared" si="195"/>
        <v>0</v>
      </c>
      <c r="X607" s="258">
        <f t="shared" si="195"/>
        <v>0</v>
      </c>
      <c r="Y607" s="258">
        <f t="shared" si="195"/>
        <v>0</v>
      </c>
      <c r="AQ607" s="88"/>
    </row>
    <row r="608" spans="5:43" x14ac:dyDescent="0.25">
      <c r="E608" s="39"/>
      <c r="F608" s="98" t="s">
        <v>1094</v>
      </c>
      <c r="G608" s="293" t="s">
        <v>170</v>
      </c>
      <c r="J608" s="476">
        <f>J120</f>
        <v>0</v>
      </c>
      <c r="K608" s="476">
        <f t="shared" ref="K608:Y608" si="196">K120</f>
        <v>0</v>
      </c>
      <c r="L608" s="476">
        <f t="shared" si="196"/>
        <v>0</v>
      </c>
      <c r="M608" s="476">
        <f t="shared" si="196"/>
        <v>0</v>
      </c>
      <c r="N608" s="476">
        <f t="shared" si="196"/>
        <v>373.35796976523585</v>
      </c>
      <c r="O608" s="476">
        <f t="shared" si="196"/>
        <v>0</v>
      </c>
      <c r="P608" s="476">
        <f t="shared" si="196"/>
        <v>0</v>
      </c>
      <c r="Q608" s="476">
        <f t="shared" si="196"/>
        <v>0</v>
      </c>
      <c r="R608" s="476">
        <f t="shared" si="196"/>
        <v>0</v>
      </c>
      <c r="S608" s="476">
        <f t="shared" si="196"/>
        <v>0</v>
      </c>
      <c r="T608" s="476">
        <f t="shared" si="196"/>
        <v>0</v>
      </c>
      <c r="U608" s="476">
        <f t="shared" si="196"/>
        <v>0</v>
      </c>
      <c r="V608" s="476">
        <f t="shared" si="196"/>
        <v>0</v>
      </c>
      <c r="W608" s="476">
        <f t="shared" si="196"/>
        <v>0</v>
      </c>
      <c r="X608" s="476">
        <f t="shared" si="196"/>
        <v>0</v>
      </c>
      <c r="Y608" s="476">
        <f t="shared" si="196"/>
        <v>0</v>
      </c>
      <c r="AQ608" s="88"/>
    </row>
    <row r="609" spans="4:43" x14ac:dyDescent="0.25">
      <c r="E609" s="39"/>
      <c r="F609" s="98" t="s">
        <v>1095</v>
      </c>
      <c r="G609" s="293" t="s">
        <v>170</v>
      </c>
      <c r="J609" s="476">
        <f>J129</f>
        <v>0</v>
      </c>
      <c r="K609" s="476">
        <f t="shared" ref="K609:Y609" si="197">K129</f>
        <v>0</v>
      </c>
      <c r="L609" s="476">
        <f t="shared" si="197"/>
        <v>0</v>
      </c>
      <c r="M609" s="476">
        <f t="shared" si="197"/>
        <v>0</v>
      </c>
      <c r="N609" s="476">
        <f t="shared" si="197"/>
        <v>354.64817524234184</v>
      </c>
      <c r="O609" s="476">
        <f t="shared" si="197"/>
        <v>0</v>
      </c>
      <c r="P609" s="476">
        <f t="shared" si="197"/>
        <v>0</v>
      </c>
      <c r="Q609" s="476">
        <f t="shared" si="197"/>
        <v>0</v>
      </c>
      <c r="R609" s="476">
        <f t="shared" si="197"/>
        <v>0</v>
      </c>
      <c r="S609" s="476">
        <f t="shared" si="197"/>
        <v>0</v>
      </c>
      <c r="T609" s="476">
        <f t="shared" si="197"/>
        <v>0</v>
      </c>
      <c r="U609" s="476">
        <f t="shared" si="197"/>
        <v>0</v>
      </c>
      <c r="V609" s="476">
        <f t="shared" si="197"/>
        <v>0</v>
      </c>
      <c r="W609" s="476">
        <f t="shared" si="197"/>
        <v>0</v>
      </c>
      <c r="X609" s="476">
        <f t="shared" si="197"/>
        <v>0</v>
      </c>
      <c r="Y609" s="476">
        <f t="shared" si="197"/>
        <v>0</v>
      </c>
      <c r="AQ609" s="88"/>
    </row>
    <row r="610" spans="4:43" x14ac:dyDescent="0.25">
      <c r="E610" s="39"/>
      <c r="F610" s="98" t="s">
        <v>1096</v>
      </c>
      <c r="G610" s="293" t="s">
        <v>170</v>
      </c>
      <c r="J610" s="254">
        <f>J138</f>
        <v>0</v>
      </c>
      <c r="K610" s="254">
        <f t="shared" ref="K610:Y610" si="198">K138</f>
        <v>0</v>
      </c>
      <c r="L610" s="254">
        <f t="shared" si="198"/>
        <v>0</v>
      </c>
      <c r="M610" s="254">
        <f t="shared" si="198"/>
        <v>0</v>
      </c>
      <c r="N610" s="254">
        <f t="shared" si="198"/>
        <v>292.18497990793986</v>
      </c>
      <c r="O610" s="254">
        <f t="shared" si="198"/>
        <v>0</v>
      </c>
      <c r="P610" s="254">
        <f t="shared" si="198"/>
        <v>0</v>
      </c>
      <c r="Q610" s="254">
        <f t="shared" si="198"/>
        <v>0</v>
      </c>
      <c r="R610" s="254">
        <f t="shared" si="198"/>
        <v>0</v>
      </c>
      <c r="S610" s="254">
        <f t="shared" si="198"/>
        <v>0</v>
      </c>
      <c r="T610" s="254">
        <f t="shared" si="198"/>
        <v>0</v>
      </c>
      <c r="U610" s="254">
        <f t="shared" si="198"/>
        <v>0</v>
      </c>
      <c r="V610" s="254">
        <f t="shared" si="198"/>
        <v>0</v>
      </c>
      <c r="W610" s="254">
        <f t="shared" si="198"/>
        <v>0</v>
      </c>
      <c r="X610" s="254">
        <f t="shared" si="198"/>
        <v>0</v>
      </c>
      <c r="Y610" s="254">
        <f t="shared" si="198"/>
        <v>0</v>
      </c>
      <c r="AQ610" s="88"/>
    </row>
    <row r="611" spans="4:43" x14ac:dyDescent="0.25">
      <c r="E611" s="36"/>
      <c r="F611" s="477" t="s">
        <v>1097</v>
      </c>
      <c r="G611" s="93" t="s">
        <v>170</v>
      </c>
      <c r="H611" s="93"/>
      <c r="I611" s="93"/>
      <c r="J611" s="476">
        <f>J147</f>
        <v>0</v>
      </c>
      <c r="K611" s="476">
        <f t="shared" ref="K611:Y611" si="199">K147</f>
        <v>0</v>
      </c>
      <c r="L611" s="476">
        <f t="shared" si="199"/>
        <v>0</v>
      </c>
      <c r="M611" s="476">
        <f t="shared" si="199"/>
        <v>0</v>
      </c>
      <c r="N611" s="476">
        <f t="shared" si="199"/>
        <v>961.25880896042884</v>
      </c>
      <c r="O611" s="476">
        <f t="shared" si="199"/>
        <v>0</v>
      </c>
      <c r="P611" s="476">
        <f t="shared" si="199"/>
        <v>0</v>
      </c>
      <c r="Q611" s="476">
        <f t="shared" si="199"/>
        <v>0</v>
      </c>
      <c r="R611" s="476">
        <f t="shared" si="199"/>
        <v>0</v>
      </c>
      <c r="S611" s="476">
        <f t="shared" si="199"/>
        <v>0</v>
      </c>
      <c r="T611" s="476">
        <f t="shared" si="199"/>
        <v>0</v>
      </c>
      <c r="U611" s="476">
        <f t="shared" si="199"/>
        <v>0</v>
      </c>
      <c r="V611" s="476">
        <f t="shared" si="199"/>
        <v>0</v>
      </c>
      <c r="W611" s="476">
        <f t="shared" si="199"/>
        <v>0</v>
      </c>
      <c r="X611" s="476">
        <f t="shared" si="199"/>
        <v>0</v>
      </c>
      <c r="Y611" s="476">
        <f t="shared" si="199"/>
        <v>0</v>
      </c>
      <c r="AQ611" s="88"/>
    </row>
    <row r="612" spans="4:43" x14ac:dyDescent="0.25">
      <c r="AQ612" s="88"/>
    </row>
    <row r="613" spans="4:43" x14ac:dyDescent="0.25">
      <c r="D613" s="96" t="s">
        <v>1228</v>
      </c>
      <c r="AQ613" s="88"/>
    </row>
    <row r="614" spans="4:43" x14ac:dyDescent="0.25">
      <c r="E614" s="40" t="s">
        <v>199</v>
      </c>
      <c r="F614" s="91"/>
      <c r="G614" s="91"/>
      <c r="H614" s="91"/>
      <c r="I614" s="91"/>
      <c r="J614" s="91"/>
      <c r="K614" s="91"/>
      <c r="L614" s="91"/>
      <c r="M614" s="91"/>
      <c r="N614" s="91"/>
      <c r="O614" s="91"/>
      <c r="P614" s="91"/>
      <c r="Q614" s="91"/>
      <c r="R614" s="91"/>
      <c r="S614" s="91"/>
      <c r="T614" s="91"/>
      <c r="U614" s="91"/>
      <c r="V614" s="91"/>
      <c r="W614" s="91"/>
      <c r="X614" s="91"/>
      <c r="Y614" s="91"/>
      <c r="AQ614" s="88"/>
    </row>
    <row r="615" spans="4:43" x14ac:dyDescent="0.25">
      <c r="E615" s="39"/>
      <c r="F615" s="98" t="s">
        <v>1061</v>
      </c>
      <c r="G615" s="293" t="s">
        <v>120</v>
      </c>
      <c r="J615" s="258">
        <f>J152</f>
        <v>0</v>
      </c>
      <c r="K615" s="258">
        <f t="shared" ref="K615:Y615" si="200">K152</f>
        <v>179.77446786950873</v>
      </c>
      <c r="L615" s="258">
        <f t="shared" si="200"/>
        <v>8.5000605450719816E-2</v>
      </c>
      <c r="M615" s="258">
        <f t="shared" si="200"/>
        <v>50.994806112427376</v>
      </c>
      <c r="N615" s="258">
        <f t="shared" si="200"/>
        <v>2.5727093827384553</v>
      </c>
      <c r="O615" s="258">
        <f t="shared" si="200"/>
        <v>0</v>
      </c>
      <c r="P615" s="258">
        <f t="shared" si="200"/>
        <v>1.946449261641106</v>
      </c>
      <c r="Q615" s="258">
        <f t="shared" si="200"/>
        <v>0</v>
      </c>
      <c r="R615" s="258">
        <f t="shared" si="200"/>
        <v>5.4054629554655884</v>
      </c>
      <c r="S615" s="258">
        <f t="shared" si="200"/>
        <v>3.2511697241080468</v>
      </c>
      <c r="T615" s="258">
        <f t="shared" si="200"/>
        <v>10.272978968253968</v>
      </c>
      <c r="U615" s="258">
        <f t="shared" si="200"/>
        <v>0</v>
      </c>
      <c r="V615" s="258">
        <f t="shared" si="200"/>
        <v>0</v>
      </c>
      <c r="W615" s="258">
        <f t="shared" si="200"/>
        <v>0</v>
      </c>
      <c r="X615" s="258">
        <f t="shared" si="200"/>
        <v>25.409700000000001</v>
      </c>
      <c r="Y615" s="258">
        <f t="shared" si="200"/>
        <v>0</v>
      </c>
      <c r="AQ615" s="88"/>
    </row>
    <row r="616" spans="4:43" x14ac:dyDescent="0.25">
      <c r="E616" s="39"/>
      <c r="F616" s="98" t="s">
        <v>1094</v>
      </c>
      <c r="G616" s="293" t="s">
        <v>120</v>
      </c>
      <c r="J616" s="476">
        <f>J161</f>
        <v>44670.593528846104</v>
      </c>
      <c r="K616" s="476">
        <f t="shared" ref="K616:Y616" si="201">K161</f>
        <v>0</v>
      </c>
      <c r="L616" s="476">
        <f t="shared" si="201"/>
        <v>105.97944758038054</v>
      </c>
      <c r="M616" s="476">
        <f t="shared" si="201"/>
        <v>0</v>
      </c>
      <c r="N616" s="476">
        <f t="shared" si="201"/>
        <v>2564.8908079741745</v>
      </c>
      <c r="O616" s="476">
        <f t="shared" si="201"/>
        <v>10.208910205854352</v>
      </c>
      <c r="P616" s="476">
        <f t="shared" si="201"/>
        <v>215.5864947703501</v>
      </c>
      <c r="Q616" s="476">
        <f t="shared" si="201"/>
        <v>93.792650881413181</v>
      </c>
      <c r="R616" s="476">
        <f t="shared" si="201"/>
        <v>0</v>
      </c>
      <c r="S616" s="476">
        <f t="shared" si="201"/>
        <v>0</v>
      </c>
      <c r="T616" s="476">
        <f t="shared" si="201"/>
        <v>0</v>
      </c>
      <c r="U616" s="476">
        <f t="shared" si="201"/>
        <v>0</v>
      </c>
      <c r="V616" s="476">
        <f t="shared" si="201"/>
        <v>0</v>
      </c>
      <c r="W616" s="476">
        <f t="shared" si="201"/>
        <v>0</v>
      </c>
      <c r="X616" s="476">
        <f t="shared" si="201"/>
        <v>0</v>
      </c>
      <c r="Y616" s="476">
        <f t="shared" si="201"/>
        <v>0</v>
      </c>
      <c r="AQ616" s="88"/>
    </row>
    <row r="617" spans="4:43" x14ac:dyDescent="0.25">
      <c r="E617" s="39"/>
      <c r="F617" s="98" t="s">
        <v>1095</v>
      </c>
      <c r="G617" s="293" t="s">
        <v>120</v>
      </c>
      <c r="J617" s="476">
        <f>J170</f>
        <v>0</v>
      </c>
      <c r="K617" s="476">
        <f t="shared" ref="K617:Y617" si="202">K170</f>
        <v>0</v>
      </c>
      <c r="L617" s="476">
        <f t="shared" si="202"/>
        <v>261.59466956810127</v>
      </c>
      <c r="M617" s="476">
        <f t="shared" si="202"/>
        <v>0</v>
      </c>
      <c r="N617" s="476">
        <f t="shared" si="202"/>
        <v>2436.3584506201018</v>
      </c>
      <c r="O617" s="476">
        <f t="shared" si="202"/>
        <v>129.46571530946113</v>
      </c>
      <c r="P617" s="476">
        <f t="shared" si="202"/>
        <v>747.76435380860607</v>
      </c>
      <c r="Q617" s="476">
        <f t="shared" si="202"/>
        <v>0</v>
      </c>
      <c r="R617" s="476">
        <f t="shared" si="202"/>
        <v>0</v>
      </c>
      <c r="S617" s="476">
        <f t="shared" si="202"/>
        <v>0</v>
      </c>
      <c r="T617" s="476">
        <f t="shared" si="202"/>
        <v>0</v>
      </c>
      <c r="U617" s="476">
        <f t="shared" si="202"/>
        <v>0</v>
      </c>
      <c r="V617" s="476">
        <f t="shared" si="202"/>
        <v>0</v>
      </c>
      <c r="W617" s="476">
        <f t="shared" si="202"/>
        <v>0</v>
      </c>
      <c r="X617" s="476">
        <f t="shared" si="202"/>
        <v>0</v>
      </c>
      <c r="Y617" s="476">
        <f t="shared" si="202"/>
        <v>0</v>
      </c>
      <c r="AQ617" s="88"/>
    </row>
    <row r="618" spans="4:43" x14ac:dyDescent="0.25">
      <c r="E618" s="39"/>
      <c r="F618" s="98" t="s">
        <v>1096</v>
      </c>
      <c r="G618" s="293" t="s">
        <v>120</v>
      </c>
      <c r="J618" s="254">
        <f>J179</f>
        <v>0</v>
      </c>
      <c r="K618" s="254">
        <f t="shared" ref="K618:Y618" si="203">K179</f>
        <v>0</v>
      </c>
      <c r="L618" s="254">
        <f t="shared" si="203"/>
        <v>313.86655064559477</v>
      </c>
      <c r="M618" s="254">
        <f t="shared" si="203"/>
        <v>0</v>
      </c>
      <c r="N618" s="254">
        <f t="shared" si="203"/>
        <v>2007.2494224918353</v>
      </c>
      <c r="O618" s="254">
        <f t="shared" si="203"/>
        <v>159.77103261868257</v>
      </c>
      <c r="P618" s="254">
        <f t="shared" si="203"/>
        <v>593.51122118205615</v>
      </c>
      <c r="Q618" s="254">
        <f t="shared" si="203"/>
        <v>0</v>
      </c>
      <c r="R618" s="254">
        <f t="shared" si="203"/>
        <v>0</v>
      </c>
      <c r="S618" s="254">
        <f t="shared" si="203"/>
        <v>0</v>
      </c>
      <c r="T618" s="254">
        <f t="shared" si="203"/>
        <v>0</v>
      </c>
      <c r="U618" s="254">
        <f t="shared" si="203"/>
        <v>0</v>
      </c>
      <c r="V618" s="254">
        <f t="shared" si="203"/>
        <v>0</v>
      </c>
      <c r="W618" s="254">
        <f t="shared" si="203"/>
        <v>0</v>
      </c>
      <c r="X618" s="254">
        <f t="shared" si="203"/>
        <v>0</v>
      </c>
      <c r="Y618" s="254">
        <f t="shared" si="203"/>
        <v>0</v>
      </c>
      <c r="AQ618" s="88"/>
    </row>
    <row r="619" spans="4:43" x14ac:dyDescent="0.25">
      <c r="E619" s="39"/>
      <c r="F619" s="98" t="s">
        <v>1097</v>
      </c>
      <c r="G619" s="293" t="s">
        <v>120</v>
      </c>
      <c r="J619" s="254">
        <f>J188</f>
        <v>0</v>
      </c>
      <c r="K619" s="254">
        <f t="shared" ref="K619:Y619" si="204">K188</f>
        <v>0</v>
      </c>
      <c r="L619" s="254">
        <f t="shared" si="204"/>
        <v>789.94769280089258</v>
      </c>
      <c r="M619" s="254">
        <f t="shared" si="204"/>
        <v>0</v>
      </c>
      <c r="N619" s="254">
        <f t="shared" si="204"/>
        <v>6603.6460524389131</v>
      </c>
      <c r="O619" s="254">
        <f t="shared" si="204"/>
        <v>2125.561714021183</v>
      </c>
      <c r="P619" s="254">
        <f t="shared" si="204"/>
        <v>1576.0498492369738</v>
      </c>
      <c r="Q619" s="254">
        <f t="shared" si="204"/>
        <v>0</v>
      </c>
      <c r="R619" s="254">
        <f t="shared" si="204"/>
        <v>0</v>
      </c>
      <c r="S619" s="254">
        <f t="shared" si="204"/>
        <v>0</v>
      </c>
      <c r="T619" s="254">
        <f t="shared" si="204"/>
        <v>0</v>
      </c>
      <c r="U619" s="254">
        <f t="shared" si="204"/>
        <v>0</v>
      </c>
      <c r="V619" s="254">
        <f t="shared" si="204"/>
        <v>0</v>
      </c>
      <c r="W619" s="254">
        <f t="shared" si="204"/>
        <v>0</v>
      </c>
      <c r="X619" s="254">
        <f t="shared" si="204"/>
        <v>0</v>
      </c>
      <c r="Y619" s="254">
        <f t="shared" si="204"/>
        <v>0</v>
      </c>
      <c r="AQ619" s="88"/>
    </row>
    <row r="620" spans="4:43" x14ac:dyDescent="0.25">
      <c r="E620" s="109" t="s">
        <v>200</v>
      </c>
      <c r="F620" s="98"/>
      <c r="J620" s="152"/>
      <c r="K620" s="152"/>
      <c r="L620" s="152"/>
      <c r="M620" s="152"/>
      <c r="N620" s="152"/>
      <c r="O620" s="152"/>
      <c r="P620" s="152"/>
      <c r="Q620" s="152"/>
      <c r="R620" s="152"/>
      <c r="S620" s="152"/>
      <c r="T620" s="152"/>
      <c r="U620" s="152"/>
      <c r="V620" s="152"/>
      <c r="W620" s="152"/>
      <c r="X620" s="152"/>
      <c r="Y620" s="152"/>
      <c r="AQ620" s="88"/>
    </row>
    <row r="621" spans="4:43" x14ac:dyDescent="0.25">
      <c r="E621" s="39"/>
      <c r="F621" s="98" t="s">
        <v>1061</v>
      </c>
      <c r="G621" s="293" t="s">
        <v>120</v>
      </c>
      <c r="J621" s="258">
        <f>J153</f>
        <v>0</v>
      </c>
      <c r="K621" s="258">
        <f t="shared" ref="K621:Y621" si="205">K153</f>
        <v>844.36342956518479</v>
      </c>
      <c r="L621" s="258">
        <f t="shared" si="205"/>
        <v>0.58630721734623636</v>
      </c>
      <c r="M621" s="258">
        <f t="shared" si="205"/>
        <v>311.10576867355189</v>
      </c>
      <c r="N621" s="258">
        <f t="shared" si="205"/>
        <v>13.832706372048838</v>
      </c>
      <c r="O621" s="258">
        <f t="shared" si="205"/>
        <v>0</v>
      </c>
      <c r="P621" s="258">
        <f t="shared" si="205"/>
        <v>8.0794601484360076</v>
      </c>
      <c r="Q621" s="258">
        <f t="shared" si="205"/>
        <v>0</v>
      </c>
      <c r="R621" s="258">
        <f t="shared" si="205"/>
        <v>46.327257006571251</v>
      </c>
      <c r="S621" s="258">
        <f t="shared" si="205"/>
        <v>12.776181565765997</v>
      </c>
      <c r="T621" s="258">
        <f t="shared" si="205"/>
        <v>44.359057142857147</v>
      </c>
      <c r="U621" s="258">
        <f t="shared" si="205"/>
        <v>0</v>
      </c>
      <c r="V621" s="258">
        <f t="shared" si="205"/>
        <v>0</v>
      </c>
      <c r="W621" s="258">
        <f t="shared" si="205"/>
        <v>0</v>
      </c>
      <c r="X621" s="258">
        <f t="shared" si="205"/>
        <v>1.0569</v>
      </c>
      <c r="Y621" s="258">
        <f t="shared" si="205"/>
        <v>0</v>
      </c>
      <c r="AQ621" s="88"/>
    </row>
    <row r="622" spans="4:43" x14ac:dyDescent="0.25">
      <c r="E622" s="39"/>
      <c r="F622" s="98" t="s">
        <v>1094</v>
      </c>
      <c r="G622" s="293" t="s">
        <v>120</v>
      </c>
      <c r="J622" s="476">
        <f>J162</f>
        <v>188586.48344018924</v>
      </c>
      <c r="K622" s="476">
        <f t="shared" ref="K622:Y622" si="206">K162</f>
        <v>0</v>
      </c>
      <c r="L622" s="476">
        <f t="shared" si="206"/>
        <v>731.01261664269748</v>
      </c>
      <c r="M622" s="476">
        <f t="shared" si="206"/>
        <v>0</v>
      </c>
      <c r="N622" s="476">
        <f t="shared" si="206"/>
        <v>13790.668180837714</v>
      </c>
      <c r="O622" s="476">
        <f t="shared" si="206"/>
        <v>57.966016181635908</v>
      </c>
      <c r="P622" s="476">
        <f t="shared" si="206"/>
        <v>894.87176848857177</v>
      </c>
      <c r="Q622" s="476">
        <f t="shared" si="206"/>
        <v>576.08956419110757</v>
      </c>
      <c r="R622" s="476">
        <f t="shared" si="206"/>
        <v>0</v>
      </c>
      <c r="S622" s="476">
        <f t="shared" si="206"/>
        <v>0</v>
      </c>
      <c r="T622" s="476">
        <f t="shared" si="206"/>
        <v>0</v>
      </c>
      <c r="U622" s="476">
        <f t="shared" si="206"/>
        <v>0</v>
      </c>
      <c r="V622" s="476">
        <f t="shared" si="206"/>
        <v>0</v>
      </c>
      <c r="W622" s="476">
        <f t="shared" si="206"/>
        <v>0</v>
      </c>
      <c r="X622" s="476">
        <f t="shared" si="206"/>
        <v>0</v>
      </c>
      <c r="Y622" s="476">
        <f t="shared" si="206"/>
        <v>0</v>
      </c>
      <c r="AQ622" s="88"/>
    </row>
    <row r="623" spans="4:43" x14ac:dyDescent="0.25">
      <c r="E623" s="39"/>
      <c r="F623" s="98" t="s">
        <v>1095</v>
      </c>
      <c r="G623" s="293" t="s">
        <v>120</v>
      </c>
      <c r="J623" s="476">
        <f>J171</f>
        <v>0</v>
      </c>
      <c r="K623" s="476">
        <f t="shared" ref="K623:Y623" si="207">K171</f>
        <v>0</v>
      </c>
      <c r="L623" s="476">
        <f t="shared" si="207"/>
        <v>1804.397062512721</v>
      </c>
      <c r="M623" s="476">
        <f t="shared" si="207"/>
        <v>0</v>
      </c>
      <c r="N623" s="476">
        <f t="shared" si="207"/>
        <v>13099.587264153046</v>
      </c>
      <c r="O623" s="476">
        <f t="shared" si="207"/>
        <v>735.10409997452359</v>
      </c>
      <c r="P623" s="476">
        <f t="shared" si="207"/>
        <v>3103.8735075600434</v>
      </c>
      <c r="Q623" s="476">
        <f t="shared" si="207"/>
        <v>0</v>
      </c>
      <c r="R623" s="476">
        <f t="shared" si="207"/>
        <v>0</v>
      </c>
      <c r="S623" s="476">
        <f t="shared" si="207"/>
        <v>0</v>
      </c>
      <c r="T623" s="476">
        <f t="shared" si="207"/>
        <v>0</v>
      </c>
      <c r="U623" s="476">
        <f t="shared" si="207"/>
        <v>0</v>
      </c>
      <c r="V623" s="476">
        <f t="shared" si="207"/>
        <v>0</v>
      </c>
      <c r="W623" s="476">
        <f t="shared" si="207"/>
        <v>0</v>
      </c>
      <c r="X623" s="476">
        <f t="shared" si="207"/>
        <v>0</v>
      </c>
      <c r="Y623" s="476">
        <f t="shared" si="207"/>
        <v>0</v>
      </c>
      <c r="AQ623" s="88"/>
    </row>
    <row r="624" spans="4:43" x14ac:dyDescent="0.25">
      <c r="E624" s="39"/>
      <c r="F624" s="98" t="s">
        <v>1096</v>
      </c>
      <c r="G624" s="293" t="s">
        <v>120</v>
      </c>
      <c r="J624" s="254">
        <f>J180</f>
        <v>0</v>
      </c>
      <c r="K624" s="254">
        <f t="shared" ref="K624:Y624" si="208">K180</f>
        <v>0</v>
      </c>
      <c r="L624" s="254">
        <f t="shared" si="208"/>
        <v>2164.9519194750847</v>
      </c>
      <c r="M624" s="254">
        <f t="shared" si="208"/>
        <v>0</v>
      </c>
      <c r="N624" s="254">
        <f t="shared" si="208"/>
        <v>10792.393444470463</v>
      </c>
      <c r="O624" s="254">
        <f t="shared" si="208"/>
        <v>907.17716929474977</v>
      </c>
      <c r="P624" s="254">
        <f t="shared" si="208"/>
        <v>2463.5886245228921</v>
      </c>
      <c r="Q624" s="254">
        <f t="shared" si="208"/>
        <v>0</v>
      </c>
      <c r="R624" s="254">
        <f t="shared" si="208"/>
        <v>0</v>
      </c>
      <c r="S624" s="254">
        <f t="shared" si="208"/>
        <v>0</v>
      </c>
      <c r="T624" s="254">
        <f t="shared" si="208"/>
        <v>0</v>
      </c>
      <c r="U624" s="254">
        <f t="shared" si="208"/>
        <v>0</v>
      </c>
      <c r="V624" s="254">
        <f t="shared" si="208"/>
        <v>0</v>
      </c>
      <c r="W624" s="254">
        <f t="shared" si="208"/>
        <v>0</v>
      </c>
      <c r="X624" s="254">
        <f t="shared" si="208"/>
        <v>0</v>
      </c>
      <c r="Y624" s="254">
        <f t="shared" si="208"/>
        <v>0</v>
      </c>
      <c r="AQ624" s="88"/>
    </row>
    <row r="625" spans="5:43" x14ac:dyDescent="0.25">
      <c r="E625" s="39"/>
      <c r="F625" s="98" t="s">
        <v>1097</v>
      </c>
      <c r="G625" s="293" t="s">
        <v>120</v>
      </c>
      <c r="J625" s="254">
        <f>J189</f>
        <v>0</v>
      </c>
      <c r="K625" s="254">
        <f t="shared" ref="K625:Y625" si="209">K189</f>
        <v>0</v>
      </c>
      <c r="L625" s="254">
        <f t="shared" si="209"/>
        <v>5448.8086427065409</v>
      </c>
      <c r="M625" s="254">
        <f t="shared" si="209"/>
        <v>0</v>
      </c>
      <c r="N625" s="254">
        <f t="shared" si="209"/>
        <v>35505.874639869216</v>
      </c>
      <c r="O625" s="254">
        <f t="shared" si="209"/>
        <v>12068.902774692056</v>
      </c>
      <c r="P625" s="254">
        <f t="shared" si="209"/>
        <v>6541.9799014553437</v>
      </c>
      <c r="Q625" s="254">
        <f t="shared" si="209"/>
        <v>0</v>
      </c>
      <c r="R625" s="254">
        <f t="shared" si="209"/>
        <v>0</v>
      </c>
      <c r="S625" s="254">
        <f t="shared" si="209"/>
        <v>0</v>
      </c>
      <c r="T625" s="254">
        <f t="shared" si="209"/>
        <v>0</v>
      </c>
      <c r="U625" s="254">
        <f t="shared" si="209"/>
        <v>0</v>
      </c>
      <c r="V625" s="254">
        <f t="shared" si="209"/>
        <v>0</v>
      </c>
      <c r="W625" s="254">
        <f t="shared" si="209"/>
        <v>0</v>
      </c>
      <c r="X625" s="254">
        <f t="shared" si="209"/>
        <v>0</v>
      </c>
      <c r="Y625" s="254">
        <f t="shared" si="209"/>
        <v>0</v>
      </c>
      <c r="AQ625" s="88"/>
    </row>
    <row r="626" spans="5:43" x14ac:dyDescent="0.25">
      <c r="E626" s="109" t="s">
        <v>201</v>
      </c>
      <c r="F626" s="98"/>
      <c r="J626" s="152"/>
      <c r="K626" s="152"/>
      <c r="L626" s="152"/>
      <c r="M626" s="152"/>
      <c r="N626" s="152"/>
      <c r="O626" s="152"/>
      <c r="P626" s="152"/>
      <c r="Q626" s="152"/>
      <c r="R626" s="152"/>
      <c r="S626" s="152"/>
      <c r="T626" s="152"/>
      <c r="U626" s="152"/>
      <c r="V626" s="152"/>
      <c r="W626" s="152"/>
      <c r="X626" s="152"/>
      <c r="Y626" s="152"/>
      <c r="AQ626" s="88"/>
    </row>
    <row r="627" spans="5:43" x14ac:dyDescent="0.25">
      <c r="E627" s="39"/>
      <c r="F627" s="98" t="s">
        <v>1061</v>
      </c>
      <c r="G627" s="293" t="s">
        <v>120</v>
      </c>
      <c r="J627" s="258">
        <f>J154</f>
        <v>0</v>
      </c>
      <c r="K627" s="258">
        <f t="shared" ref="K627:Y627" si="210">K154</f>
        <v>757.85400103071845</v>
      </c>
      <c r="L627" s="258">
        <f t="shared" si="210"/>
        <v>0.22915121924768586</v>
      </c>
      <c r="M627" s="258">
        <f t="shared" si="210"/>
        <v>157.64075203394657</v>
      </c>
      <c r="N627" s="258">
        <f t="shared" si="210"/>
        <v>7.6232102440074456</v>
      </c>
      <c r="O627" s="258">
        <f t="shared" si="210"/>
        <v>0</v>
      </c>
      <c r="P627" s="258">
        <f t="shared" si="210"/>
        <v>5.7613474219684608</v>
      </c>
      <c r="Q627" s="258">
        <f t="shared" si="210"/>
        <v>0</v>
      </c>
      <c r="R627" s="258">
        <f t="shared" si="210"/>
        <v>4.5925501092132963</v>
      </c>
      <c r="S627" s="258">
        <f t="shared" si="210"/>
        <v>4.3867903210204036</v>
      </c>
      <c r="T627" s="258">
        <f t="shared" si="210"/>
        <v>30.278270238095242</v>
      </c>
      <c r="U627" s="258">
        <f t="shared" si="210"/>
        <v>0</v>
      </c>
      <c r="V627" s="258">
        <f t="shared" si="210"/>
        <v>0</v>
      </c>
      <c r="W627" s="258">
        <f t="shared" si="210"/>
        <v>0</v>
      </c>
      <c r="X627" s="258">
        <f t="shared" si="210"/>
        <v>0</v>
      </c>
      <c r="Y627" s="258">
        <f t="shared" si="210"/>
        <v>0</v>
      </c>
      <c r="AQ627" s="88"/>
    </row>
    <row r="628" spans="5:43" x14ac:dyDescent="0.25">
      <c r="E628" s="39"/>
      <c r="F628" s="98" t="s">
        <v>1094</v>
      </c>
      <c r="G628" s="293" t="s">
        <v>120</v>
      </c>
      <c r="J628" s="476">
        <f>J163</f>
        <v>86625.588105867108</v>
      </c>
      <c r="K628" s="476">
        <f t="shared" ref="K628:Y628" si="211">K163</f>
        <v>0</v>
      </c>
      <c r="L628" s="476">
        <f t="shared" si="211"/>
        <v>285.70760760427919</v>
      </c>
      <c r="M628" s="476">
        <f t="shared" si="211"/>
        <v>0</v>
      </c>
      <c r="N628" s="476">
        <f t="shared" si="211"/>
        <v>7600.0429793189005</v>
      </c>
      <c r="O628" s="476">
        <f t="shared" si="211"/>
        <v>32.406666317748588</v>
      </c>
      <c r="P628" s="476">
        <f t="shared" si="211"/>
        <v>638.12025329093376</v>
      </c>
      <c r="Q628" s="476">
        <f t="shared" si="211"/>
        <v>467.62435887244271</v>
      </c>
      <c r="R628" s="476">
        <f t="shared" si="211"/>
        <v>0</v>
      </c>
      <c r="S628" s="476">
        <f t="shared" si="211"/>
        <v>0</v>
      </c>
      <c r="T628" s="476">
        <f t="shared" si="211"/>
        <v>0</v>
      </c>
      <c r="U628" s="476">
        <f t="shared" si="211"/>
        <v>0</v>
      </c>
      <c r="V628" s="476">
        <f t="shared" si="211"/>
        <v>0</v>
      </c>
      <c r="W628" s="476">
        <f t="shared" si="211"/>
        <v>0</v>
      </c>
      <c r="X628" s="476">
        <f t="shared" si="211"/>
        <v>0</v>
      </c>
      <c r="Y628" s="476">
        <f t="shared" si="211"/>
        <v>0</v>
      </c>
      <c r="AQ628" s="88"/>
    </row>
    <row r="629" spans="5:43" x14ac:dyDescent="0.25">
      <c r="E629" s="39"/>
      <c r="F629" s="98" t="s">
        <v>1095</v>
      </c>
      <c r="G629" s="293" t="s">
        <v>120</v>
      </c>
      <c r="J629" s="476">
        <f>J172</f>
        <v>0</v>
      </c>
      <c r="K629" s="476">
        <f t="shared" ref="K629:Y629" si="212">K172</f>
        <v>0</v>
      </c>
      <c r="L629" s="476">
        <f t="shared" si="212"/>
        <v>705.22718235200853</v>
      </c>
      <c r="M629" s="476">
        <f t="shared" si="212"/>
        <v>0</v>
      </c>
      <c r="N629" s="476">
        <f t="shared" si="212"/>
        <v>7219.1879982463633</v>
      </c>
      <c r="O629" s="476">
        <f t="shared" si="212"/>
        <v>410.96964818207346</v>
      </c>
      <c r="P629" s="476">
        <f t="shared" si="212"/>
        <v>2213.327784574677</v>
      </c>
      <c r="Q629" s="476">
        <f t="shared" si="212"/>
        <v>0</v>
      </c>
      <c r="R629" s="476">
        <f t="shared" si="212"/>
        <v>0</v>
      </c>
      <c r="S629" s="476">
        <f t="shared" si="212"/>
        <v>0</v>
      </c>
      <c r="T629" s="476">
        <f t="shared" si="212"/>
        <v>0</v>
      </c>
      <c r="U629" s="476">
        <f t="shared" si="212"/>
        <v>0</v>
      </c>
      <c r="V629" s="476">
        <f t="shared" si="212"/>
        <v>0</v>
      </c>
      <c r="W629" s="476">
        <f t="shared" si="212"/>
        <v>0</v>
      </c>
      <c r="X629" s="476">
        <f t="shared" si="212"/>
        <v>0</v>
      </c>
      <c r="Y629" s="476">
        <f t="shared" si="212"/>
        <v>0</v>
      </c>
      <c r="AQ629" s="88"/>
    </row>
    <row r="630" spans="5:43" x14ac:dyDescent="0.25">
      <c r="E630" s="39"/>
      <c r="F630" s="98" t="s">
        <v>1096</v>
      </c>
      <c r="G630" s="293" t="s">
        <v>120</v>
      </c>
      <c r="J630" s="254">
        <f>J181</f>
        <v>0</v>
      </c>
      <c r="K630" s="254">
        <f t="shared" ref="K630:Y630" si="213">K181</f>
        <v>0</v>
      </c>
      <c r="L630" s="254">
        <f t="shared" si="213"/>
        <v>846.14577014044687</v>
      </c>
      <c r="M630" s="254">
        <f t="shared" si="213"/>
        <v>0</v>
      </c>
      <c r="N630" s="254">
        <f t="shared" si="213"/>
        <v>5947.6925230980796</v>
      </c>
      <c r="O630" s="254">
        <f t="shared" si="213"/>
        <v>507.16936841570254</v>
      </c>
      <c r="P630" s="254">
        <f t="shared" si="213"/>
        <v>1756.7497963874894</v>
      </c>
      <c r="Q630" s="254">
        <f t="shared" si="213"/>
        <v>0</v>
      </c>
      <c r="R630" s="254">
        <f t="shared" si="213"/>
        <v>0</v>
      </c>
      <c r="S630" s="254">
        <f t="shared" si="213"/>
        <v>0</v>
      </c>
      <c r="T630" s="254">
        <f t="shared" si="213"/>
        <v>0</v>
      </c>
      <c r="U630" s="254">
        <f t="shared" si="213"/>
        <v>0</v>
      </c>
      <c r="V630" s="254">
        <f t="shared" si="213"/>
        <v>0</v>
      </c>
      <c r="W630" s="254">
        <f t="shared" si="213"/>
        <v>0</v>
      </c>
      <c r="X630" s="254">
        <f t="shared" si="213"/>
        <v>0</v>
      </c>
      <c r="Y630" s="254">
        <f t="shared" si="213"/>
        <v>0</v>
      </c>
      <c r="AQ630" s="88"/>
    </row>
    <row r="631" spans="5:43" x14ac:dyDescent="0.25">
      <c r="E631" s="39"/>
      <c r="F631" s="98" t="s">
        <v>1097</v>
      </c>
      <c r="G631" s="293" t="s">
        <v>120</v>
      </c>
      <c r="J631" s="254">
        <f>J190</f>
        <v>0</v>
      </c>
      <c r="K631" s="254">
        <f t="shared" ref="K631:Y631" si="214">K190</f>
        <v>0</v>
      </c>
      <c r="L631" s="254">
        <f t="shared" si="214"/>
        <v>2129.6022068003754</v>
      </c>
      <c r="M631" s="254">
        <f t="shared" si="214"/>
        <v>0</v>
      </c>
      <c r="N631" s="254">
        <f t="shared" si="214"/>
        <v>19567.302304921617</v>
      </c>
      <c r="O631" s="254">
        <f t="shared" si="214"/>
        <v>6747.2793682292622</v>
      </c>
      <c r="P631" s="254">
        <f t="shared" si="214"/>
        <v>4664.992257820003</v>
      </c>
      <c r="Q631" s="254">
        <f t="shared" si="214"/>
        <v>0</v>
      </c>
      <c r="R631" s="254">
        <f t="shared" si="214"/>
        <v>0</v>
      </c>
      <c r="S631" s="254">
        <f t="shared" si="214"/>
        <v>0</v>
      </c>
      <c r="T631" s="254">
        <f t="shared" si="214"/>
        <v>0</v>
      </c>
      <c r="U631" s="254">
        <f t="shared" si="214"/>
        <v>0</v>
      </c>
      <c r="V631" s="254">
        <f t="shared" si="214"/>
        <v>0</v>
      </c>
      <c r="W631" s="254">
        <f t="shared" si="214"/>
        <v>0</v>
      </c>
      <c r="X631" s="254">
        <f t="shared" si="214"/>
        <v>0</v>
      </c>
      <c r="Y631" s="254">
        <f t="shared" si="214"/>
        <v>0</v>
      </c>
      <c r="AQ631" s="88"/>
    </row>
    <row r="632" spans="5:43" x14ac:dyDescent="0.25">
      <c r="E632" s="109" t="s">
        <v>74</v>
      </c>
      <c r="F632" s="98"/>
      <c r="J632" s="152"/>
      <c r="K632" s="152"/>
      <c r="L632" s="152"/>
      <c r="M632" s="152"/>
      <c r="N632" s="152"/>
      <c r="O632" s="152"/>
      <c r="P632" s="152"/>
      <c r="Q632" s="152"/>
      <c r="R632" s="152"/>
      <c r="S632" s="152"/>
      <c r="T632" s="152"/>
      <c r="U632" s="152"/>
      <c r="V632" s="152"/>
      <c r="W632" s="152"/>
      <c r="X632" s="152"/>
      <c r="Y632" s="152"/>
      <c r="AQ632" s="88"/>
    </row>
    <row r="633" spans="5:43" x14ac:dyDescent="0.25">
      <c r="E633" s="39"/>
      <c r="F633" s="98" t="s">
        <v>1061</v>
      </c>
      <c r="G633" s="293" t="s">
        <v>74</v>
      </c>
      <c r="J633" s="258">
        <f>J155</f>
        <v>0</v>
      </c>
      <c r="K633" s="258">
        <f t="shared" ref="K633:Y633" si="215">K155</f>
        <v>532</v>
      </c>
      <c r="L633" s="258">
        <f t="shared" si="215"/>
        <v>5.6530833804223767E-2</v>
      </c>
      <c r="M633" s="258">
        <f t="shared" si="215"/>
        <v>9.5483870967741939</v>
      </c>
      <c r="N633" s="258">
        <f t="shared" si="215"/>
        <v>0.35071356901386325</v>
      </c>
      <c r="O633" s="258">
        <f t="shared" si="215"/>
        <v>0</v>
      </c>
      <c r="P633" s="258">
        <f t="shared" si="215"/>
        <v>0.59631521013407429</v>
      </c>
      <c r="Q633" s="258">
        <f t="shared" si="215"/>
        <v>0</v>
      </c>
      <c r="R633" s="258">
        <f t="shared" si="215"/>
        <v>6</v>
      </c>
      <c r="S633" s="258">
        <f t="shared" si="215"/>
        <v>6</v>
      </c>
      <c r="T633" s="258">
        <f t="shared" si="215"/>
        <v>1</v>
      </c>
      <c r="U633" s="258">
        <f t="shared" si="215"/>
        <v>0</v>
      </c>
      <c r="V633" s="258">
        <f t="shared" si="215"/>
        <v>1</v>
      </c>
      <c r="W633" s="258">
        <f t="shared" si="215"/>
        <v>0</v>
      </c>
      <c r="X633" s="258">
        <f t="shared" si="215"/>
        <v>1</v>
      </c>
      <c r="Y633" s="258">
        <f t="shared" si="215"/>
        <v>0</v>
      </c>
      <c r="AQ633" s="88"/>
    </row>
    <row r="634" spans="5:43" x14ac:dyDescent="0.25">
      <c r="E634" s="39"/>
      <c r="F634" s="98" t="s">
        <v>1094</v>
      </c>
      <c r="G634" s="293" t="s">
        <v>74</v>
      </c>
      <c r="J634" s="476">
        <f>J164</f>
        <v>115145.92079188582</v>
      </c>
      <c r="K634" s="476">
        <f t="shared" ref="K634:Y634" si="216">K164</f>
        <v>0</v>
      </c>
      <c r="L634" s="476">
        <f t="shared" si="216"/>
        <v>619.49770118179629</v>
      </c>
      <c r="M634" s="476">
        <f t="shared" si="216"/>
        <v>0</v>
      </c>
      <c r="N634" s="476">
        <f t="shared" si="216"/>
        <v>289.65169686899787</v>
      </c>
      <c r="O634" s="476">
        <f t="shared" si="216"/>
        <v>0.875</v>
      </c>
      <c r="P634" s="476">
        <f t="shared" si="216"/>
        <v>3.849071584531822</v>
      </c>
      <c r="Q634" s="476">
        <f t="shared" si="216"/>
        <v>502</v>
      </c>
      <c r="R634" s="476">
        <f t="shared" si="216"/>
        <v>0</v>
      </c>
      <c r="S634" s="476">
        <f t="shared" si="216"/>
        <v>0</v>
      </c>
      <c r="T634" s="476">
        <f t="shared" si="216"/>
        <v>0</v>
      </c>
      <c r="U634" s="476">
        <f t="shared" si="216"/>
        <v>0</v>
      </c>
      <c r="V634" s="476">
        <f t="shared" si="216"/>
        <v>0</v>
      </c>
      <c r="W634" s="476">
        <f t="shared" si="216"/>
        <v>0</v>
      </c>
      <c r="X634" s="476">
        <f t="shared" si="216"/>
        <v>0</v>
      </c>
      <c r="Y634" s="476">
        <f t="shared" si="216"/>
        <v>0</v>
      </c>
      <c r="AQ634" s="88"/>
    </row>
    <row r="635" spans="5:43" x14ac:dyDescent="0.25">
      <c r="E635" s="39"/>
      <c r="F635" s="98" t="s">
        <v>1095</v>
      </c>
      <c r="G635" s="293" t="s">
        <v>74</v>
      </c>
      <c r="J635" s="476">
        <f>J173</f>
        <v>0</v>
      </c>
      <c r="K635" s="476">
        <f t="shared" ref="K635:Y635" si="217">K173</f>
        <v>0</v>
      </c>
      <c r="L635" s="476">
        <f t="shared" si="217"/>
        <v>465.5099893681957</v>
      </c>
      <c r="M635" s="476">
        <f t="shared" si="217"/>
        <v>0</v>
      </c>
      <c r="N635" s="476">
        <f t="shared" si="217"/>
        <v>149.72641061657978</v>
      </c>
      <c r="O635" s="476">
        <f t="shared" si="217"/>
        <v>6.6499999999999995</v>
      </c>
      <c r="P635" s="476">
        <f t="shared" si="217"/>
        <v>4.5758160853167809</v>
      </c>
      <c r="Q635" s="476">
        <f t="shared" si="217"/>
        <v>0</v>
      </c>
      <c r="R635" s="476">
        <f t="shared" si="217"/>
        <v>0</v>
      </c>
      <c r="S635" s="476">
        <f t="shared" si="217"/>
        <v>0</v>
      </c>
      <c r="T635" s="476">
        <f t="shared" si="217"/>
        <v>0</v>
      </c>
      <c r="U635" s="476">
        <f t="shared" si="217"/>
        <v>0</v>
      </c>
      <c r="V635" s="476">
        <f t="shared" si="217"/>
        <v>0</v>
      </c>
      <c r="W635" s="476">
        <f t="shared" si="217"/>
        <v>0</v>
      </c>
      <c r="X635" s="476">
        <f t="shared" si="217"/>
        <v>0</v>
      </c>
      <c r="Y635" s="476">
        <f t="shared" si="217"/>
        <v>0</v>
      </c>
      <c r="AQ635" s="88"/>
    </row>
    <row r="636" spans="5:43" x14ac:dyDescent="0.25">
      <c r="E636" s="39"/>
      <c r="F636" s="98" t="s">
        <v>1096</v>
      </c>
      <c r="G636" s="293" t="s">
        <v>74</v>
      </c>
      <c r="J636" s="254">
        <f>J182</f>
        <v>0</v>
      </c>
      <c r="K636" s="254">
        <f t="shared" ref="K636:Y636" si="218">K182</f>
        <v>0</v>
      </c>
      <c r="L636" s="254">
        <f t="shared" si="218"/>
        <v>246.43363288943598</v>
      </c>
      <c r="M636" s="254">
        <f t="shared" si="218"/>
        <v>0</v>
      </c>
      <c r="N636" s="254">
        <f t="shared" si="218"/>
        <v>79.742083586910155</v>
      </c>
      <c r="O636" s="254">
        <f t="shared" si="218"/>
        <v>7.875</v>
      </c>
      <c r="P636" s="254">
        <f t="shared" si="218"/>
        <v>1.978724940000361</v>
      </c>
      <c r="Q636" s="254">
        <f t="shared" si="218"/>
        <v>0</v>
      </c>
      <c r="R636" s="254">
        <f t="shared" si="218"/>
        <v>0</v>
      </c>
      <c r="S636" s="254">
        <f t="shared" si="218"/>
        <v>0</v>
      </c>
      <c r="T636" s="254">
        <f t="shared" si="218"/>
        <v>0</v>
      </c>
      <c r="U636" s="254">
        <f t="shared" si="218"/>
        <v>0</v>
      </c>
      <c r="V636" s="254">
        <f t="shared" si="218"/>
        <v>0</v>
      </c>
      <c r="W636" s="254">
        <f t="shared" si="218"/>
        <v>0</v>
      </c>
      <c r="X636" s="254">
        <f t="shared" si="218"/>
        <v>0</v>
      </c>
      <c r="Y636" s="254">
        <f t="shared" si="218"/>
        <v>0</v>
      </c>
      <c r="AQ636" s="88"/>
    </row>
    <row r="637" spans="5:43" x14ac:dyDescent="0.25">
      <c r="E637" s="39"/>
      <c r="F637" s="98" t="s">
        <v>1097</v>
      </c>
      <c r="G637" s="293" t="s">
        <v>74</v>
      </c>
      <c r="J637" s="254">
        <f>J191</f>
        <v>0</v>
      </c>
      <c r="K637" s="254">
        <f t="shared" ref="K637:Y637" si="219">K191</f>
        <v>0</v>
      </c>
      <c r="L637" s="254">
        <f t="shared" si="219"/>
        <v>227.96674188211585</v>
      </c>
      <c r="M637" s="254">
        <f t="shared" si="219"/>
        <v>0</v>
      </c>
      <c r="N637" s="254">
        <f t="shared" si="219"/>
        <v>108.52133737109615</v>
      </c>
      <c r="O637" s="254">
        <f t="shared" si="219"/>
        <v>30.099999999999998</v>
      </c>
      <c r="P637" s="254">
        <f t="shared" si="219"/>
        <v>2.0000721800169625</v>
      </c>
      <c r="Q637" s="254">
        <f t="shared" si="219"/>
        <v>0</v>
      </c>
      <c r="R637" s="254">
        <f t="shared" si="219"/>
        <v>0</v>
      </c>
      <c r="S637" s="254">
        <f t="shared" si="219"/>
        <v>0</v>
      </c>
      <c r="T637" s="254">
        <f t="shared" si="219"/>
        <v>0</v>
      </c>
      <c r="U637" s="254">
        <f t="shared" si="219"/>
        <v>0</v>
      </c>
      <c r="V637" s="254">
        <f t="shared" si="219"/>
        <v>0</v>
      </c>
      <c r="W637" s="254">
        <f t="shared" si="219"/>
        <v>0</v>
      </c>
      <c r="X637" s="254">
        <f t="shared" si="219"/>
        <v>0</v>
      </c>
      <c r="Y637" s="254">
        <f t="shared" si="219"/>
        <v>0</v>
      </c>
      <c r="AQ637" s="88"/>
    </row>
    <row r="638" spans="5:43" x14ac:dyDescent="0.25">
      <c r="E638" s="109" t="s">
        <v>202</v>
      </c>
      <c r="F638" s="98"/>
      <c r="J638" s="152"/>
      <c r="K638" s="152"/>
      <c r="L638" s="152"/>
      <c r="M638" s="152"/>
      <c r="N638" s="152"/>
      <c r="O638" s="152"/>
      <c r="P638" s="152"/>
      <c r="Q638" s="152"/>
      <c r="R638" s="152"/>
      <c r="S638" s="152"/>
      <c r="T638" s="152"/>
      <c r="U638" s="152"/>
      <c r="V638" s="152"/>
      <c r="W638" s="152"/>
      <c r="X638" s="152"/>
      <c r="Y638" s="152"/>
      <c r="AQ638" s="88"/>
    </row>
    <row r="639" spans="5:43" x14ac:dyDescent="0.25">
      <c r="E639" s="39"/>
      <c r="F639" s="98" t="s">
        <v>1061</v>
      </c>
      <c r="G639" s="293" t="s">
        <v>169</v>
      </c>
      <c r="J639" s="258">
        <f>J156</f>
        <v>0</v>
      </c>
      <c r="K639" s="258">
        <f t="shared" ref="K639:Y639" si="220">K156</f>
        <v>0</v>
      </c>
      <c r="L639" s="258">
        <f t="shared" si="220"/>
        <v>0</v>
      </c>
      <c r="M639" s="258">
        <f t="shared" si="220"/>
        <v>0</v>
      </c>
      <c r="N639" s="258">
        <f t="shared" si="220"/>
        <v>28.28566208954037</v>
      </c>
      <c r="O639" s="258">
        <f t="shared" si="220"/>
        <v>0</v>
      </c>
      <c r="P639" s="258">
        <f t="shared" si="220"/>
        <v>15.015345819402729</v>
      </c>
      <c r="Q639" s="258">
        <f t="shared" si="220"/>
        <v>0</v>
      </c>
      <c r="R639" s="258">
        <f t="shared" si="220"/>
        <v>0</v>
      </c>
      <c r="S639" s="258">
        <f t="shared" si="220"/>
        <v>0</v>
      </c>
      <c r="T639" s="258">
        <f t="shared" si="220"/>
        <v>0</v>
      </c>
      <c r="U639" s="258">
        <f t="shared" si="220"/>
        <v>0</v>
      </c>
      <c r="V639" s="258">
        <f t="shared" si="220"/>
        <v>0</v>
      </c>
      <c r="W639" s="258">
        <f t="shared" si="220"/>
        <v>0</v>
      </c>
      <c r="X639" s="258">
        <f t="shared" si="220"/>
        <v>0</v>
      </c>
      <c r="Y639" s="258">
        <f t="shared" si="220"/>
        <v>0</v>
      </c>
      <c r="AQ639" s="88"/>
    </row>
    <row r="640" spans="5:43" x14ac:dyDescent="0.25">
      <c r="E640" s="39"/>
      <c r="F640" s="98" t="s">
        <v>1094</v>
      </c>
      <c r="G640" s="293" t="s">
        <v>169</v>
      </c>
      <c r="J640" s="476">
        <f>J165</f>
        <v>0</v>
      </c>
      <c r="K640" s="476">
        <f t="shared" ref="K640:Y640" si="221">K165</f>
        <v>0</v>
      </c>
      <c r="L640" s="476">
        <f t="shared" si="221"/>
        <v>0</v>
      </c>
      <c r="M640" s="476">
        <f t="shared" si="221"/>
        <v>0</v>
      </c>
      <c r="N640" s="476">
        <f t="shared" si="221"/>
        <v>28199.700742608577</v>
      </c>
      <c r="O640" s="476">
        <f t="shared" si="221"/>
        <v>118.53631342500071</v>
      </c>
      <c r="P640" s="476">
        <f t="shared" si="221"/>
        <v>1663.0825353445739</v>
      </c>
      <c r="Q640" s="476">
        <f t="shared" si="221"/>
        <v>0</v>
      </c>
      <c r="R640" s="476">
        <f t="shared" si="221"/>
        <v>0</v>
      </c>
      <c r="S640" s="476">
        <f t="shared" si="221"/>
        <v>0</v>
      </c>
      <c r="T640" s="476">
        <f t="shared" si="221"/>
        <v>0</v>
      </c>
      <c r="U640" s="476">
        <f t="shared" si="221"/>
        <v>0</v>
      </c>
      <c r="V640" s="476">
        <f t="shared" si="221"/>
        <v>0</v>
      </c>
      <c r="W640" s="476">
        <f t="shared" si="221"/>
        <v>0</v>
      </c>
      <c r="X640" s="476">
        <f t="shared" si="221"/>
        <v>0</v>
      </c>
      <c r="Y640" s="476">
        <f t="shared" si="221"/>
        <v>0</v>
      </c>
      <c r="AQ640" s="88"/>
    </row>
    <row r="641" spans="5:43" x14ac:dyDescent="0.25">
      <c r="E641" s="39"/>
      <c r="F641" s="98" t="s">
        <v>1095</v>
      </c>
      <c r="G641" s="293" t="s">
        <v>169</v>
      </c>
      <c r="J641" s="476">
        <f>J174</f>
        <v>0</v>
      </c>
      <c r="K641" s="476">
        <f t="shared" ref="K641:Y641" si="222">K174</f>
        <v>0</v>
      </c>
      <c r="L641" s="476">
        <f t="shared" si="222"/>
        <v>0</v>
      </c>
      <c r="M641" s="476">
        <f t="shared" si="222"/>
        <v>0</v>
      </c>
      <c r="N641" s="476">
        <f t="shared" si="222"/>
        <v>26786.551300980038</v>
      </c>
      <c r="O641" s="476">
        <f t="shared" si="222"/>
        <v>1503.2347526099047</v>
      </c>
      <c r="P641" s="476">
        <f t="shared" si="222"/>
        <v>5768.4218053502436</v>
      </c>
      <c r="Q641" s="476">
        <f t="shared" si="222"/>
        <v>0</v>
      </c>
      <c r="R641" s="476">
        <f t="shared" si="222"/>
        <v>0</v>
      </c>
      <c r="S641" s="476">
        <f t="shared" si="222"/>
        <v>0</v>
      </c>
      <c r="T641" s="476">
        <f t="shared" si="222"/>
        <v>0</v>
      </c>
      <c r="U641" s="476">
        <f t="shared" si="222"/>
        <v>0</v>
      </c>
      <c r="V641" s="476">
        <f t="shared" si="222"/>
        <v>0</v>
      </c>
      <c r="W641" s="476">
        <f t="shared" si="222"/>
        <v>0</v>
      </c>
      <c r="X641" s="476">
        <f t="shared" si="222"/>
        <v>0</v>
      </c>
      <c r="Y641" s="476">
        <f t="shared" si="222"/>
        <v>0</v>
      </c>
      <c r="AQ641" s="88"/>
    </row>
    <row r="642" spans="5:43" x14ac:dyDescent="0.25">
      <c r="E642" s="39"/>
      <c r="F642" s="98" t="s">
        <v>1096</v>
      </c>
      <c r="G642" s="293" t="s">
        <v>169</v>
      </c>
      <c r="J642" s="254">
        <f>J183</f>
        <v>0</v>
      </c>
      <c r="K642" s="254">
        <f t="shared" ref="K642:Y642" si="223">K183</f>
        <v>0</v>
      </c>
      <c r="L642" s="254">
        <f t="shared" si="223"/>
        <v>0</v>
      </c>
      <c r="M642" s="254">
        <f t="shared" si="223"/>
        <v>0</v>
      </c>
      <c r="N642" s="254">
        <f t="shared" si="223"/>
        <v>22068.710626613771</v>
      </c>
      <c r="O642" s="254">
        <f t="shared" si="223"/>
        <v>1855.1117422762413</v>
      </c>
      <c r="P642" s="254">
        <f t="shared" si="223"/>
        <v>4578.4785708880108</v>
      </c>
      <c r="Q642" s="254">
        <f t="shared" si="223"/>
        <v>0</v>
      </c>
      <c r="R642" s="254">
        <f t="shared" si="223"/>
        <v>0</v>
      </c>
      <c r="S642" s="254">
        <f t="shared" si="223"/>
        <v>0</v>
      </c>
      <c r="T642" s="254">
        <f t="shared" si="223"/>
        <v>0</v>
      </c>
      <c r="U642" s="254">
        <f t="shared" si="223"/>
        <v>0</v>
      </c>
      <c r="V642" s="254">
        <f t="shared" si="223"/>
        <v>0</v>
      </c>
      <c r="W642" s="254">
        <f t="shared" si="223"/>
        <v>0</v>
      </c>
      <c r="X642" s="254">
        <f t="shared" si="223"/>
        <v>0</v>
      </c>
      <c r="Y642" s="254">
        <f t="shared" si="223"/>
        <v>0</v>
      </c>
      <c r="AQ642" s="88"/>
    </row>
    <row r="643" spans="5:43" x14ac:dyDescent="0.25">
      <c r="E643" s="39"/>
      <c r="F643" s="98" t="s">
        <v>1097</v>
      </c>
      <c r="G643" s="293" t="s">
        <v>169</v>
      </c>
      <c r="J643" s="254">
        <f>J192</f>
        <v>0</v>
      </c>
      <c r="K643" s="254">
        <f t="shared" ref="K643:Y643" si="224">K192</f>
        <v>0</v>
      </c>
      <c r="L643" s="254">
        <f t="shared" si="224"/>
        <v>0</v>
      </c>
      <c r="M643" s="254">
        <f t="shared" si="224"/>
        <v>0</v>
      </c>
      <c r="N643" s="254">
        <f t="shared" si="224"/>
        <v>72603.809062721266</v>
      </c>
      <c r="O643" s="254">
        <f t="shared" si="224"/>
        <v>24680.03385835552</v>
      </c>
      <c r="P643" s="254">
        <f t="shared" si="224"/>
        <v>12158.001742597764</v>
      </c>
      <c r="Q643" s="254">
        <f t="shared" si="224"/>
        <v>0</v>
      </c>
      <c r="R643" s="254">
        <f t="shared" si="224"/>
        <v>0</v>
      </c>
      <c r="S643" s="254">
        <f t="shared" si="224"/>
        <v>0</v>
      </c>
      <c r="T643" s="254">
        <f t="shared" si="224"/>
        <v>0</v>
      </c>
      <c r="U643" s="254">
        <f t="shared" si="224"/>
        <v>0</v>
      </c>
      <c r="V643" s="254">
        <f t="shared" si="224"/>
        <v>0</v>
      </c>
      <c r="W643" s="254">
        <f t="shared" si="224"/>
        <v>0</v>
      </c>
      <c r="X643" s="254">
        <f t="shared" si="224"/>
        <v>0</v>
      </c>
      <c r="Y643" s="254">
        <f t="shared" si="224"/>
        <v>0</v>
      </c>
      <c r="AQ643" s="88"/>
    </row>
    <row r="644" spans="5:43" x14ac:dyDescent="0.25">
      <c r="E644" s="109" t="s">
        <v>203</v>
      </c>
      <c r="F644" s="98"/>
      <c r="J644" s="152"/>
      <c r="K644" s="152"/>
      <c r="L644" s="152"/>
      <c r="M644" s="152"/>
      <c r="N644" s="152"/>
      <c r="O644" s="152"/>
      <c r="P644" s="152"/>
      <c r="Q644" s="152"/>
      <c r="R644" s="152"/>
      <c r="S644" s="152"/>
      <c r="T644" s="152"/>
      <c r="U644" s="152"/>
      <c r="V644" s="152"/>
      <c r="W644" s="152"/>
      <c r="X644" s="152"/>
      <c r="Y644" s="152"/>
      <c r="AQ644" s="88"/>
    </row>
    <row r="645" spans="5:43" x14ac:dyDescent="0.25">
      <c r="E645" s="39"/>
      <c r="F645" s="98" t="s">
        <v>1061</v>
      </c>
      <c r="G645" s="293" t="s">
        <v>169</v>
      </c>
      <c r="J645" s="258">
        <f>J157</f>
        <v>0</v>
      </c>
      <c r="K645" s="258">
        <f t="shared" ref="K645:Y645" si="225">K157</f>
        <v>0</v>
      </c>
      <c r="L645" s="258">
        <f t="shared" si="225"/>
        <v>0</v>
      </c>
      <c r="M645" s="258">
        <f t="shared" si="225"/>
        <v>0</v>
      </c>
      <c r="N645" s="258">
        <f t="shared" si="225"/>
        <v>1.6630050077685223E-2</v>
      </c>
      <c r="O645" s="258">
        <f t="shared" si="225"/>
        <v>0</v>
      </c>
      <c r="P645" s="258">
        <f t="shared" si="225"/>
        <v>1.9248055262022282E-2</v>
      </c>
      <c r="Q645" s="258">
        <f t="shared" si="225"/>
        <v>0</v>
      </c>
      <c r="R645" s="258">
        <f t="shared" si="225"/>
        <v>0</v>
      </c>
      <c r="S645" s="258">
        <f t="shared" si="225"/>
        <v>0</v>
      </c>
      <c r="T645" s="258">
        <f t="shared" si="225"/>
        <v>0</v>
      </c>
      <c r="U645" s="258">
        <f t="shared" si="225"/>
        <v>0</v>
      </c>
      <c r="V645" s="258">
        <f t="shared" si="225"/>
        <v>0</v>
      </c>
      <c r="W645" s="258">
        <f t="shared" si="225"/>
        <v>0</v>
      </c>
      <c r="X645" s="258">
        <f t="shared" si="225"/>
        <v>0</v>
      </c>
      <c r="Y645" s="258">
        <f t="shared" si="225"/>
        <v>0</v>
      </c>
      <c r="AQ645" s="88"/>
    </row>
    <row r="646" spans="5:43" x14ac:dyDescent="0.25">
      <c r="E646" s="39"/>
      <c r="F646" s="98" t="s">
        <v>1094</v>
      </c>
      <c r="G646" s="293" t="s">
        <v>169</v>
      </c>
      <c r="J646" s="476">
        <f>J166</f>
        <v>0</v>
      </c>
      <c r="K646" s="476">
        <f t="shared" ref="K646:Y646" si="226">K166</f>
        <v>0</v>
      </c>
      <c r="L646" s="476">
        <f t="shared" si="226"/>
        <v>0</v>
      </c>
      <c r="M646" s="476">
        <f t="shared" si="226"/>
        <v>0</v>
      </c>
      <c r="N646" s="476">
        <f t="shared" si="226"/>
        <v>16.579510638314996</v>
      </c>
      <c r="O646" s="476">
        <f t="shared" si="226"/>
        <v>0.64913503177350218</v>
      </c>
      <c r="P646" s="476">
        <f t="shared" si="226"/>
        <v>2.1318925937924087</v>
      </c>
      <c r="Q646" s="476">
        <f t="shared" si="226"/>
        <v>0</v>
      </c>
      <c r="R646" s="476">
        <f t="shared" si="226"/>
        <v>0</v>
      </c>
      <c r="S646" s="476">
        <f t="shared" si="226"/>
        <v>0</v>
      </c>
      <c r="T646" s="476">
        <f t="shared" si="226"/>
        <v>0</v>
      </c>
      <c r="U646" s="476">
        <f t="shared" si="226"/>
        <v>0</v>
      </c>
      <c r="V646" s="476">
        <f t="shared" si="226"/>
        <v>0</v>
      </c>
      <c r="W646" s="476">
        <f t="shared" si="226"/>
        <v>0</v>
      </c>
      <c r="X646" s="476">
        <f t="shared" si="226"/>
        <v>0</v>
      </c>
      <c r="Y646" s="476">
        <f t="shared" si="226"/>
        <v>0</v>
      </c>
      <c r="AQ646" s="88"/>
    </row>
    <row r="647" spans="5:43" x14ac:dyDescent="0.25">
      <c r="E647" s="39"/>
      <c r="F647" s="98" t="s">
        <v>1095</v>
      </c>
      <c r="G647" s="293" t="s">
        <v>169</v>
      </c>
      <c r="J647" s="476">
        <f>J175</f>
        <v>0</v>
      </c>
      <c r="K647" s="476">
        <f t="shared" ref="K647:Y647" si="227">K175</f>
        <v>0</v>
      </c>
      <c r="L647" s="476">
        <f t="shared" si="227"/>
        <v>0</v>
      </c>
      <c r="M647" s="476">
        <f t="shared" si="227"/>
        <v>0</v>
      </c>
      <c r="N647" s="476">
        <f t="shared" si="227"/>
        <v>15.748674651264663</v>
      </c>
      <c r="O647" s="476">
        <f t="shared" si="227"/>
        <v>8.2320962302903453</v>
      </c>
      <c r="P647" s="476">
        <f t="shared" si="227"/>
        <v>7.3944951398030696</v>
      </c>
      <c r="Q647" s="476">
        <f t="shared" si="227"/>
        <v>0</v>
      </c>
      <c r="R647" s="476">
        <f t="shared" si="227"/>
        <v>0</v>
      </c>
      <c r="S647" s="476">
        <f t="shared" si="227"/>
        <v>0</v>
      </c>
      <c r="T647" s="476">
        <f t="shared" si="227"/>
        <v>0</v>
      </c>
      <c r="U647" s="476">
        <f t="shared" si="227"/>
        <v>0</v>
      </c>
      <c r="V647" s="476">
        <f t="shared" si="227"/>
        <v>0</v>
      </c>
      <c r="W647" s="476">
        <f t="shared" si="227"/>
        <v>0</v>
      </c>
      <c r="X647" s="476">
        <f t="shared" si="227"/>
        <v>0</v>
      </c>
      <c r="Y647" s="476">
        <f t="shared" si="227"/>
        <v>0</v>
      </c>
      <c r="AQ647" s="88"/>
    </row>
    <row r="648" spans="5:43" x14ac:dyDescent="0.25">
      <c r="E648" s="39"/>
      <c r="F648" s="98" t="s">
        <v>1096</v>
      </c>
      <c r="G648" s="293" t="s">
        <v>169</v>
      </c>
      <c r="J648" s="254">
        <f>J184</f>
        <v>0</v>
      </c>
      <c r="K648" s="254">
        <f t="shared" ref="K648:Y648" si="228">K184</f>
        <v>0</v>
      </c>
      <c r="L648" s="254">
        <f t="shared" si="228"/>
        <v>0</v>
      </c>
      <c r="M648" s="254">
        <f t="shared" si="228"/>
        <v>0</v>
      </c>
      <c r="N648" s="254">
        <f t="shared" si="228"/>
        <v>12.974904448365157</v>
      </c>
      <c r="O648" s="254">
        <f t="shared" si="228"/>
        <v>10.159064213919624</v>
      </c>
      <c r="P648" s="254">
        <f t="shared" si="228"/>
        <v>5.8691161434697268</v>
      </c>
      <c r="Q648" s="254">
        <f t="shared" si="228"/>
        <v>0</v>
      </c>
      <c r="R648" s="254">
        <f t="shared" si="228"/>
        <v>0</v>
      </c>
      <c r="S648" s="254">
        <f t="shared" si="228"/>
        <v>0</v>
      </c>
      <c r="T648" s="254">
        <f t="shared" si="228"/>
        <v>0</v>
      </c>
      <c r="U648" s="254">
        <f t="shared" si="228"/>
        <v>0</v>
      </c>
      <c r="V648" s="254">
        <f t="shared" si="228"/>
        <v>0</v>
      </c>
      <c r="W648" s="254">
        <f t="shared" si="228"/>
        <v>0</v>
      </c>
      <c r="X648" s="254">
        <f t="shared" si="228"/>
        <v>0</v>
      </c>
      <c r="Y648" s="254">
        <f t="shared" si="228"/>
        <v>0</v>
      </c>
      <c r="AQ648" s="88"/>
    </row>
    <row r="649" spans="5:43" x14ac:dyDescent="0.25">
      <c r="E649" s="39"/>
      <c r="F649" s="98" t="s">
        <v>1097</v>
      </c>
      <c r="G649" s="293" t="s">
        <v>169</v>
      </c>
      <c r="J649" s="254">
        <f>J193</f>
        <v>0</v>
      </c>
      <c r="K649" s="254">
        <f t="shared" ref="K649:Y649" si="229">K193</f>
        <v>0</v>
      </c>
      <c r="L649" s="254">
        <f t="shared" si="229"/>
        <v>0</v>
      </c>
      <c r="M649" s="254">
        <f t="shared" si="229"/>
        <v>0</v>
      </c>
      <c r="N649" s="254">
        <f t="shared" si="229"/>
        <v>42.686113435196262</v>
      </c>
      <c r="O649" s="254">
        <f t="shared" si="229"/>
        <v>135.15414896846093</v>
      </c>
      <c r="P649" s="254">
        <f t="shared" si="229"/>
        <v>15.585248067672781</v>
      </c>
      <c r="Q649" s="254">
        <f t="shared" si="229"/>
        <v>0</v>
      </c>
      <c r="R649" s="254">
        <f t="shared" si="229"/>
        <v>0</v>
      </c>
      <c r="S649" s="254">
        <f t="shared" si="229"/>
        <v>0</v>
      </c>
      <c r="T649" s="254">
        <f t="shared" si="229"/>
        <v>0</v>
      </c>
      <c r="U649" s="254">
        <f t="shared" si="229"/>
        <v>0</v>
      </c>
      <c r="V649" s="254">
        <f t="shared" si="229"/>
        <v>0</v>
      </c>
      <c r="W649" s="254">
        <f t="shared" si="229"/>
        <v>0</v>
      </c>
      <c r="X649" s="254">
        <f t="shared" si="229"/>
        <v>0</v>
      </c>
      <c r="Y649" s="254">
        <f t="shared" si="229"/>
        <v>0</v>
      </c>
      <c r="AQ649" s="88"/>
    </row>
    <row r="650" spans="5:43" x14ac:dyDescent="0.25">
      <c r="E650" s="39" t="s">
        <v>204</v>
      </c>
      <c r="F650" s="98"/>
      <c r="J650" s="152"/>
      <c r="K650" s="152"/>
      <c r="L650" s="152"/>
      <c r="M650" s="152"/>
      <c r="N650" s="152"/>
      <c r="O650" s="152"/>
      <c r="P650" s="152"/>
      <c r="Q650" s="152"/>
      <c r="R650" s="152"/>
      <c r="S650" s="152"/>
      <c r="T650" s="152"/>
      <c r="U650" s="152"/>
      <c r="V650" s="152"/>
      <c r="W650" s="152"/>
      <c r="X650" s="152"/>
      <c r="Y650" s="152"/>
      <c r="AQ650" s="88"/>
    </row>
    <row r="651" spans="5:43" x14ac:dyDescent="0.25">
      <c r="E651" s="39"/>
      <c r="F651" s="98" t="s">
        <v>1061</v>
      </c>
      <c r="G651" s="293" t="s">
        <v>170</v>
      </c>
      <c r="J651" s="258">
        <f>J158</f>
        <v>0</v>
      </c>
      <c r="K651" s="258">
        <f t="shared" ref="K651:Y651" si="230">K158</f>
        <v>0</v>
      </c>
      <c r="L651" s="258">
        <f t="shared" si="230"/>
        <v>0</v>
      </c>
      <c r="M651" s="258">
        <f t="shared" si="230"/>
        <v>0</v>
      </c>
      <c r="N651" s="258">
        <f t="shared" si="230"/>
        <v>2.4262549284479116</v>
      </c>
      <c r="O651" s="258">
        <f t="shared" si="230"/>
        <v>0</v>
      </c>
      <c r="P651" s="258">
        <f t="shared" si="230"/>
        <v>0.94088390787221343</v>
      </c>
      <c r="Q651" s="258">
        <f t="shared" si="230"/>
        <v>0</v>
      </c>
      <c r="R651" s="258">
        <f t="shared" si="230"/>
        <v>0</v>
      </c>
      <c r="S651" s="258">
        <f t="shared" si="230"/>
        <v>0</v>
      </c>
      <c r="T651" s="258">
        <f t="shared" si="230"/>
        <v>0</v>
      </c>
      <c r="U651" s="258">
        <f t="shared" si="230"/>
        <v>0</v>
      </c>
      <c r="V651" s="258">
        <f t="shared" si="230"/>
        <v>0</v>
      </c>
      <c r="W651" s="258">
        <f t="shared" si="230"/>
        <v>0</v>
      </c>
      <c r="X651" s="258">
        <f t="shared" si="230"/>
        <v>0</v>
      </c>
      <c r="Y651" s="258">
        <f t="shared" si="230"/>
        <v>0</v>
      </c>
      <c r="AQ651" s="88"/>
    </row>
    <row r="652" spans="5:43" x14ac:dyDescent="0.25">
      <c r="E652" s="39"/>
      <c r="F652" s="98" t="s">
        <v>1094</v>
      </c>
      <c r="G652" s="293" t="s">
        <v>170</v>
      </c>
      <c r="J652" s="476">
        <f>J167</f>
        <v>0</v>
      </c>
      <c r="K652" s="476">
        <f t="shared" ref="K652:Y652" si="231">K167</f>
        <v>0</v>
      </c>
      <c r="L652" s="476">
        <f t="shared" si="231"/>
        <v>0</v>
      </c>
      <c r="M652" s="476">
        <f t="shared" si="231"/>
        <v>0</v>
      </c>
      <c r="N652" s="476">
        <f t="shared" si="231"/>
        <v>2418.8814350861844</v>
      </c>
      <c r="O652" s="476">
        <f t="shared" si="231"/>
        <v>8.9737326867486686</v>
      </c>
      <c r="P652" s="476">
        <f t="shared" si="231"/>
        <v>104.21122588778802</v>
      </c>
      <c r="Q652" s="476">
        <f t="shared" si="231"/>
        <v>0</v>
      </c>
      <c r="R652" s="476">
        <f t="shared" si="231"/>
        <v>0</v>
      </c>
      <c r="S652" s="476">
        <f t="shared" si="231"/>
        <v>0</v>
      </c>
      <c r="T652" s="476">
        <f t="shared" si="231"/>
        <v>0</v>
      </c>
      <c r="U652" s="476">
        <f t="shared" si="231"/>
        <v>0</v>
      </c>
      <c r="V652" s="476">
        <f t="shared" si="231"/>
        <v>0</v>
      </c>
      <c r="W652" s="476">
        <f t="shared" si="231"/>
        <v>0</v>
      </c>
      <c r="X652" s="476">
        <f t="shared" si="231"/>
        <v>0</v>
      </c>
      <c r="Y652" s="476">
        <f t="shared" si="231"/>
        <v>0</v>
      </c>
      <c r="AQ652" s="88"/>
    </row>
    <row r="653" spans="5:43" x14ac:dyDescent="0.25">
      <c r="E653" s="39"/>
      <c r="F653" s="98" t="s">
        <v>1095</v>
      </c>
      <c r="G653" s="293" t="s">
        <v>170</v>
      </c>
      <c r="J653" s="476">
        <f>J176</f>
        <v>0</v>
      </c>
      <c r="K653" s="476">
        <f t="shared" ref="K653:Y653" si="232">K176</f>
        <v>0</v>
      </c>
      <c r="L653" s="476">
        <f t="shared" si="232"/>
        <v>0</v>
      </c>
      <c r="M653" s="476">
        <f t="shared" si="232"/>
        <v>0</v>
      </c>
      <c r="N653" s="476">
        <f t="shared" si="232"/>
        <v>2297.6659306892579</v>
      </c>
      <c r="O653" s="476">
        <f t="shared" si="232"/>
        <v>113.80163973031853</v>
      </c>
      <c r="P653" s="476">
        <f t="shared" si="232"/>
        <v>361.45789219585976</v>
      </c>
      <c r="Q653" s="476">
        <f t="shared" si="232"/>
        <v>0</v>
      </c>
      <c r="R653" s="476">
        <f t="shared" si="232"/>
        <v>0</v>
      </c>
      <c r="S653" s="476">
        <f t="shared" si="232"/>
        <v>0</v>
      </c>
      <c r="T653" s="476">
        <f t="shared" si="232"/>
        <v>0</v>
      </c>
      <c r="U653" s="476">
        <f t="shared" si="232"/>
        <v>0</v>
      </c>
      <c r="V653" s="476">
        <f t="shared" si="232"/>
        <v>0</v>
      </c>
      <c r="W653" s="476">
        <f t="shared" si="232"/>
        <v>0</v>
      </c>
      <c r="X653" s="476">
        <f t="shared" si="232"/>
        <v>0</v>
      </c>
      <c r="Y653" s="476">
        <f t="shared" si="232"/>
        <v>0</v>
      </c>
      <c r="AQ653" s="88"/>
    </row>
    <row r="654" spans="5:43" x14ac:dyDescent="0.25">
      <c r="E654" s="39"/>
      <c r="F654" s="98" t="s">
        <v>1096</v>
      </c>
      <c r="G654" s="293" t="s">
        <v>170</v>
      </c>
      <c r="J654" s="254">
        <f>J185</f>
        <v>0</v>
      </c>
      <c r="K654" s="254">
        <f t="shared" ref="K654:Y654" si="233">K185</f>
        <v>0</v>
      </c>
      <c r="L654" s="254">
        <f t="shared" si="233"/>
        <v>0</v>
      </c>
      <c r="M654" s="254">
        <f t="shared" si="233"/>
        <v>0</v>
      </c>
      <c r="N654" s="254">
        <f t="shared" si="233"/>
        <v>1892.984429808075</v>
      </c>
      <c r="O654" s="254">
        <f t="shared" si="233"/>
        <v>140.44031232478395</v>
      </c>
      <c r="P654" s="254">
        <f t="shared" si="233"/>
        <v>286.89427880640397</v>
      </c>
      <c r="Q654" s="254">
        <f t="shared" si="233"/>
        <v>0</v>
      </c>
      <c r="R654" s="254">
        <f t="shared" si="233"/>
        <v>0</v>
      </c>
      <c r="S654" s="254">
        <f t="shared" si="233"/>
        <v>0</v>
      </c>
      <c r="T654" s="254">
        <f t="shared" si="233"/>
        <v>0</v>
      </c>
      <c r="U654" s="254">
        <f t="shared" si="233"/>
        <v>0</v>
      </c>
      <c r="V654" s="254">
        <f t="shared" si="233"/>
        <v>0</v>
      </c>
      <c r="W654" s="254">
        <f t="shared" si="233"/>
        <v>0</v>
      </c>
      <c r="X654" s="254">
        <f t="shared" si="233"/>
        <v>0</v>
      </c>
      <c r="Y654" s="254">
        <f t="shared" si="233"/>
        <v>0</v>
      </c>
      <c r="AQ654" s="88"/>
    </row>
    <row r="655" spans="5:43" x14ac:dyDescent="0.25">
      <c r="E655" s="36"/>
      <c r="F655" s="477" t="s">
        <v>1097</v>
      </c>
      <c r="G655" s="93" t="s">
        <v>170</v>
      </c>
      <c r="H655" s="93"/>
      <c r="I655" s="93"/>
      <c r="J655" s="476">
        <f>J194</f>
        <v>0</v>
      </c>
      <c r="K655" s="476">
        <f t="shared" ref="K655:Y655" si="234">K194</f>
        <v>0</v>
      </c>
      <c r="L655" s="476">
        <f t="shared" si="234"/>
        <v>0</v>
      </c>
      <c r="M655" s="476">
        <f t="shared" si="234"/>
        <v>0</v>
      </c>
      <c r="N655" s="476">
        <f t="shared" si="234"/>
        <v>6227.7258706154989</v>
      </c>
      <c r="O655" s="476">
        <f t="shared" si="234"/>
        <v>1868.3896954912193</v>
      </c>
      <c r="P655" s="476">
        <f t="shared" si="234"/>
        <v>761.83847705397625</v>
      </c>
      <c r="Q655" s="476">
        <f t="shared" si="234"/>
        <v>0</v>
      </c>
      <c r="R655" s="476">
        <f t="shared" si="234"/>
        <v>0</v>
      </c>
      <c r="S655" s="476">
        <f t="shared" si="234"/>
        <v>0</v>
      </c>
      <c r="T655" s="476">
        <f t="shared" si="234"/>
        <v>0</v>
      </c>
      <c r="U655" s="476">
        <f t="shared" si="234"/>
        <v>0</v>
      </c>
      <c r="V655" s="476">
        <f t="shared" si="234"/>
        <v>0</v>
      </c>
      <c r="W655" s="476">
        <f t="shared" si="234"/>
        <v>0</v>
      </c>
      <c r="X655" s="476">
        <f t="shared" si="234"/>
        <v>0</v>
      </c>
      <c r="Y655" s="476">
        <f t="shared" si="234"/>
        <v>0</v>
      </c>
      <c r="AQ655" s="88"/>
    </row>
    <row r="656" spans="5:43" x14ac:dyDescent="0.25">
      <c r="AQ656" s="88"/>
    </row>
    <row r="657" spans="3:43" x14ac:dyDescent="0.25">
      <c r="C657" s="7" t="str">
        <f ca="1">INDEX('Version control'!$H$35:$H$61,MATCH($A$1,'Version control'!$F$35:$F$61,0),1)&amp;"-K: Non-domestic aggregated (related MPAN) distribution across bands"</f>
        <v>Section 507-K: Non-domestic aggregated (related MPAN) distribution across bands</v>
      </c>
      <c r="D657" s="7"/>
      <c r="E657" s="7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  <c r="AA657" s="7"/>
      <c r="AQ657" s="88"/>
    </row>
    <row r="658" spans="3:43" x14ac:dyDescent="0.25">
      <c r="AQ658" s="88"/>
    </row>
    <row r="659" spans="3:43" x14ac:dyDescent="0.25">
      <c r="D659" s="82" t="s">
        <v>1098</v>
      </c>
      <c r="I659" s="293" t="s">
        <v>359</v>
      </c>
      <c r="AA659" s="293" t="s">
        <v>1234</v>
      </c>
      <c r="AQ659" s="88"/>
    </row>
    <row r="660" spans="3:43" x14ac:dyDescent="0.25">
      <c r="D660" s="82" t="s">
        <v>1099</v>
      </c>
      <c r="AQ660" s="88"/>
    </row>
    <row r="661" spans="3:43" x14ac:dyDescent="0.25">
      <c r="D661" s="82" t="s">
        <v>1100</v>
      </c>
      <c r="AQ661" s="88"/>
    </row>
    <row r="662" spans="3:43" x14ac:dyDescent="0.25">
      <c r="D662" s="82" t="s">
        <v>1101</v>
      </c>
      <c r="AQ662" s="88"/>
    </row>
    <row r="663" spans="3:43" x14ac:dyDescent="0.25">
      <c r="AQ663" s="88"/>
    </row>
    <row r="664" spans="3:43" x14ac:dyDescent="0.25">
      <c r="E664" s="96" t="s">
        <v>1060</v>
      </c>
      <c r="J664" s="478" t="s">
        <v>1061</v>
      </c>
      <c r="K664" s="478" t="s">
        <v>1062</v>
      </c>
      <c r="L664" s="478" t="s">
        <v>1063</v>
      </c>
      <c r="M664" s="478" t="s">
        <v>1064</v>
      </c>
      <c r="N664" s="478" t="s">
        <v>1065</v>
      </c>
      <c r="AQ664" s="88"/>
    </row>
    <row r="665" spans="3:43" x14ac:dyDescent="0.25">
      <c r="E665" s="96"/>
      <c r="F665" s="91" t="s">
        <v>199</v>
      </c>
      <c r="G665" s="91" t="s">
        <v>94</v>
      </c>
      <c r="H665" s="91"/>
      <c r="I665" s="91"/>
      <c r="J665" s="479">
        <f>'Inputs by customer type'!J172</f>
        <v>5.7765643396613575E-5</v>
      </c>
      <c r="K665" s="479">
        <f>'Inputs by customer type'!K172</f>
        <v>7.2022674942564424E-2</v>
      </c>
      <c r="L665" s="479">
        <f>'Inputs by customer type'!L172</f>
        <v>0.17777737366220056</v>
      </c>
      <c r="M665" s="479">
        <f>'Inputs by customer type'!M172</f>
        <v>0.21330087171237957</v>
      </c>
      <c r="N665" s="479">
        <f>'Inputs by customer type'!N172</f>
        <v>0.53684131403945878</v>
      </c>
      <c r="AQ665" s="88"/>
    </row>
    <row r="666" spans="3:43" x14ac:dyDescent="0.25">
      <c r="E666" s="96"/>
      <c r="F666" s="293" t="s">
        <v>200</v>
      </c>
      <c r="G666" s="293" t="s">
        <v>94</v>
      </c>
      <c r="J666" s="480">
        <f>'Inputs by customer type'!J173</f>
        <v>5.7765643396613575E-5</v>
      </c>
      <c r="K666" s="480">
        <f>'Inputs by customer type'!K173</f>
        <v>7.2022674942564424E-2</v>
      </c>
      <c r="L666" s="480">
        <f>'Inputs by customer type'!L173</f>
        <v>0.17777737366220056</v>
      </c>
      <c r="M666" s="480">
        <f>'Inputs by customer type'!M173</f>
        <v>0.21330087171237957</v>
      </c>
      <c r="N666" s="480">
        <f>'Inputs by customer type'!N173</f>
        <v>0.53684131403945878</v>
      </c>
      <c r="AQ666" s="88"/>
    </row>
    <row r="667" spans="3:43" x14ac:dyDescent="0.25">
      <c r="E667" s="96"/>
      <c r="F667" s="93" t="s">
        <v>201</v>
      </c>
      <c r="G667" s="93" t="s">
        <v>94</v>
      </c>
      <c r="H667" s="93"/>
      <c r="I667" s="93"/>
      <c r="J667" s="481">
        <f>'Inputs by customer type'!J174</f>
        <v>5.7765643396613575E-5</v>
      </c>
      <c r="K667" s="481">
        <f>'Inputs by customer type'!K174</f>
        <v>7.2022674942564424E-2</v>
      </c>
      <c r="L667" s="481">
        <f>'Inputs by customer type'!L174</f>
        <v>0.17777737366220056</v>
      </c>
      <c r="M667" s="481">
        <f>'Inputs by customer type'!M174</f>
        <v>0.21330087171237957</v>
      </c>
      <c r="N667" s="481">
        <f>'Inputs by customer type'!N174</f>
        <v>0.53684131403945878</v>
      </c>
      <c r="AQ667" s="88"/>
    </row>
    <row r="668" spans="3:43" x14ac:dyDescent="0.25">
      <c r="E668" s="96"/>
      <c r="AQ668" s="88"/>
    </row>
    <row r="669" spans="3:43" x14ac:dyDescent="0.25">
      <c r="E669" s="96" t="s">
        <v>1066</v>
      </c>
      <c r="J669" s="478" t="s">
        <v>1061</v>
      </c>
      <c r="K669" s="478" t="s">
        <v>1062</v>
      </c>
      <c r="L669" s="478" t="s">
        <v>1063</v>
      </c>
      <c r="M669" s="478" t="s">
        <v>1064</v>
      </c>
      <c r="N669" s="478" t="s">
        <v>1065</v>
      </c>
      <c r="AQ669" s="88"/>
    </row>
    <row r="670" spans="3:43" x14ac:dyDescent="0.25">
      <c r="E670" s="96"/>
      <c r="F670" s="91" t="s">
        <v>199</v>
      </c>
      <c r="G670" s="91" t="s">
        <v>94</v>
      </c>
      <c r="H670" s="91"/>
      <c r="I670" s="91"/>
      <c r="J670" s="479">
        <f>'Inputs by customer type'!J177</f>
        <v>5.7765643396613575E-5</v>
      </c>
      <c r="K670" s="479">
        <f>'Inputs by customer type'!K177</f>
        <v>7.2022674942564424E-2</v>
      </c>
      <c r="L670" s="479">
        <f>'Inputs by customer type'!L177</f>
        <v>0.17777737366220056</v>
      </c>
      <c r="M670" s="479">
        <f>'Inputs by customer type'!M177</f>
        <v>0.21330087171237957</v>
      </c>
      <c r="N670" s="479">
        <f>'Inputs by customer type'!N177</f>
        <v>0.53684131403945878</v>
      </c>
      <c r="AQ670" s="88"/>
    </row>
    <row r="671" spans="3:43" x14ac:dyDescent="0.25">
      <c r="E671" s="96"/>
      <c r="F671" s="293" t="s">
        <v>200</v>
      </c>
      <c r="G671" s="293" t="s">
        <v>94</v>
      </c>
      <c r="J671" s="480">
        <f>'Inputs by customer type'!J178</f>
        <v>5.7765643396613575E-5</v>
      </c>
      <c r="K671" s="480">
        <f>'Inputs by customer type'!K178</f>
        <v>7.2022674942564424E-2</v>
      </c>
      <c r="L671" s="480">
        <f>'Inputs by customer type'!L178</f>
        <v>0.17777737366220056</v>
      </c>
      <c r="M671" s="480">
        <f>'Inputs by customer type'!M178</f>
        <v>0.21330087171237957</v>
      </c>
      <c r="N671" s="480">
        <f>'Inputs by customer type'!N178</f>
        <v>0.53684131403945878</v>
      </c>
      <c r="AQ671" s="88"/>
    </row>
    <row r="672" spans="3:43" x14ac:dyDescent="0.25">
      <c r="E672" s="96"/>
      <c r="F672" s="93" t="s">
        <v>201</v>
      </c>
      <c r="G672" s="93" t="s">
        <v>94</v>
      </c>
      <c r="H672" s="93"/>
      <c r="I672" s="93"/>
      <c r="J672" s="481">
        <f>'Inputs by customer type'!J179</f>
        <v>5.7765643396613575E-5</v>
      </c>
      <c r="K672" s="481">
        <f>'Inputs by customer type'!K179</f>
        <v>7.2022674942564424E-2</v>
      </c>
      <c r="L672" s="481">
        <f>'Inputs by customer type'!L179</f>
        <v>0.17777737366220056</v>
      </c>
      <c r="M672" s="481">
        <f>'Inputs by customer type'!M179</f>
        <v>0.21330087171237957</v>
      </c>
      <c r="N672" s="481">
        <f>'Inputs by customer type'!N179</f>
        <v>0.53684131403945878</v>
      </c>
      <c r="AQ672" s="88"/>
    </row>
    <row r="673" spans="5:43" x14ac:dyDescent="0.25">
      <c r="E673" s="96"/>
      <c r="AQ673" s="88"/>
    </row>
    <row r="674" spans="5:43" x14ac:dyDescent="0.25">
      <c r="E674" s="96" t="s">
        <v>1067</v>
      </c>
      <c r="J674" s="478" t="s">
        <v>1061</v>
      </c>
      <c r="K674" s="478" t="s">
        <v>1062</v>
      </c>
      <c r="L674" s="478" t="s">
        <v>1063</v>
      </c>
      <c r="M674" s="478" t="s">
        <v>1064</v>
      </c>
      <c r="N674" s="478" t="s">
        <v>1065</v>
      </c>
      <c r="AQ674" s="88"/>
    </row>
    <row r="675" spans="5:43" x14ac:dyDescent="0.25">
      <c r="F675" s="91" t="s">
        <v>199</v>
      </c>
      <c r="G675" s="91" t="s">
        <v>94</v>
      </c>
      <c r="H675" s="91"/>
      <c r="I675" s="91"/>
      <c r="J675" s="479">
        <f>'Inputs by customer type'!J182</f>
        <v>5.7765643396613575E-5</v>
      </c>
      <c r="K675" s="479">
        <f>'Inputs by customer type'!K182</f>
        <v>7.2022674942564424E-2</v>
      </c>
      <c r="L675" s="479">
        <f>'Inputs by customer type'!L182</f>
        <v>0.17777737366220056</v>
      </c>
      <c r="M675" s="479">
        <f>'Inputs by customer type'!M182</f>
        <v>0.21330087171237957</v>
      </c>
      <c r="N675" s="479">
        <f>'Inputs by customer type'!N182</f>
        <v>0.53684131403945878</v>
      </c>
      <c r="AQ675" s="88"/>
    </row>
    <row r="676" spans="5:43" x14ac:dyDescent="0.25">
      <c r="F676" s="293" t="s">
        <v>200</v>
      </c>
      <c r="G676" s="293" t="s">
        <v>94</v>
      </c>
      <c r="J676" s="480">
        <f>'Inputs by customer type'!J183</f>
        <v>5.7765643396613575E-5</v>
      </c>
      <c r="K676" s="480">
        <f>'Inputs by customer type'!K183</f>
        <v>7.2022674942564424E-2</v>
      </c>
      <c r="L676" s="480">
        <f>'Inputs by customer type'!L183</f>
        <v>0.17777737366220056</v>
      </c>
      <c r="M676" s="480">
        <f>'Inputs by customer type'!M183</f>
        <v>0.21330087171237957</v>
      </c>
      <c r="N676" s="480">
        <f>'Inputs by customer type'!N183</f>
        <v>0.53684131403945878</v>
      </c>
      <c r="AQ676" s="88"/>
    </row>
    <row r="677" spans="5:43" x14ac:dyDescent="0.25">
      <c r="F677" s="93" t="s">
        <v>201</v>
      </c>
      <c r="G677" s="93" t="s">
        <v>94</v>
      </c>
      <c r="H677" s="93"/>
      <c r="I677" s="93"/>
      <c r="J677" s="481">
        <f>'Inputs by customer type'!J184</f>
        <v>5.7765643396613575E-5</v>
      </c>
      <c r="K677" s="481">
        <f>'Inputs by customer type'!K184</f>
        <v>7.2022674942564424E-2</v>
      </c>
      <c r="L677" s="481">
        <f>'Inputs by customer type'!L184</f>
        <v>0.17777737366220056</v>
      </c>
      <c r="M677" s="481">
        <f>'Inputs by customer type'!M184</f>
        <v>0.21330087171237957</v>
      </c>
      <c r="N677" s="481">
        <f>'Inputs by customer type'!N184</f>
        <v>0.53684131403945878</v>
      </c>
      <c r="AQ677" s="88"/>
    </row>
    <row r="678" spans="5:43" x14ac:dyDescent="0.25">
      <c r="AQ678" s="88"/>
    </row>
    <row r="679" spans="5:43" x14ac:dyDescent="0.25">
      <c r="E679" s="96" t="s">
        <v>1102</v>
      </c>
      <c r="J679" s="478" t="s">
        <v>1061</v>
      </c>
      <c r="K679" s="478" t="s">
        <v>1062</v>
      </c>
      <c r="L679" s="478" t="s">
        <v>1063</v>
      </c>
      <c r="M679" s="478" t="s">
        <v>1064</v>
      </c>
      <c r="N679" s="478" t="s">
        <v>1065</v>
      </c>
      <c r="AQ679" s="88"/>
    </row>
    <row r="680" spans="5:43" x14ac:dyDescent="0.25">
      <c r="F680" s="91" t="s">
        <v>199</v>
      </c>
      <c r="G680" s="91" t="s">
        <v>120</v>
      </c>
      <c r="H680" s="91"/>
      <c r="I680" s="91"/>
      <c r="J680" s="482">
        <f t="shared" ref="J680:N682" si="235" xml:space="preserve"> $M58 * J665  + $M105 * J670 + $M152 * J675</f>
        <v>3.6502294033976125E-2</v>
      </c>
      <c r="K680" s="482">
        <f t="shared" si="235"/>
        <v>45.51135767356643</v>
      </c>
      <c r="L680" s="482">
        <f t="shared" si="235"/>
        <v>112.33808860140061</v>
      </c>
      <c r="M680" s="482">
        <f t="shared" si="235"/>
        <v>134.7855001543208</v>
      </c>
      <c r="N680" s="482">
        <f t="shared" si="235"/>
        <v>339.23173607035807</v>
      </c>
      <c r="AQ680" s="88"/>
    </row>
    <row r="681" spans="5:43" x14ac:dyDescent="0.25">
      <c r="F681" s="293" t="s">
        <v>200</v>
      </c>
      <c r="G681" s="293" t="s">
        <v>120</v>
      </c>
      <c r="J681" s="483">
        <f t="shared" si="235"/>
        <v>0.48840223500664504</v>
      </c>
      <c r="K681" s="483">
        <f t="shared" si="235"/>
        <v>608.94388679426879</v>
      </c>
      <c r="L681" s="483">
        <f t="shared" si="235"/>
        <v>1503.088367493546</v>
      </c>
      <c r="M681" s="483">
        <f t="shared" si="235"/>
        <v>1803.4356816200384</v>
      </c>
      <c r="N681" s="483">
        <f t="shared" si="235"/>
        <v>4538.9349482454936</v>
      </c>
      <c r="AQ681" s="88"/>
    </row>
    <row r="682" spans="5:43" x14ac:dyDescent="0.25">
      <c r="F682" s="93" t="s">
        <v>201</v>
      </c>
      <c r="G682" s="93" t="s">
        <v>120</v>
      </c>
      <c r="H682" s="93"/>
      <c r="I682" s="93"/>
      <c r="J682" s="484">
        <f t="shared" si="235"/>
        <v>1.3403485619574214</v>
      </c>
      <c r="K682" s="484">
        <f t="shared" si="235"/>
        <v>1671.1575100927944</v>
      </c>
      <c r="L682" s="484">
        <f t="shared" si="235"/>
        <v>4125.0063727441602</v>
      </c>
      <c r="M682" s="484">
        <f t="shared" si="235"/>
        <v>4949.2656855045543</v>
      </c>
      <c r="N682" s="484">
        <f t="shared" si="235"/>
        <v>12456.443674170238</v>
      </c>
      <c r="AQ682" s="88"/>
    </row>
    <row r="683" spans="5:43" x14ac:dyDescent="0.25">
      <c r="J683" s="252"/>
      <c r="K683" s="252"/>
      <c r="L683" s="252"/>
      <c r="M683" s="252"/>
      <c r="N683" s="252"/>
      <c r="AQ683" s="88"/>
    </row>
    <row r="684" spans="5:43" x14ac:dyDescent="0.25">
      <c r="J684" s="485" t="s">
        <v>1061</v>
      </c>
      <c r="K684" s="485" t="s">
        <v>1062</v>
      </c>
      <c r="L684" s="485" t="s">
        <v>1063</v>
      </c>
      <c r="M684" s="485" t="s">
        <v>1064</v>
      </c>
      <c r="N684" s="485" t="s">
        <v>1065</v>
      </c>
      <c r="AQ684" s="88"/>
    </row>
    <row r="685" spans="5:43" x14ac:dyDescent="0.25">
      <c r="E685" s="373" t="s">
        <v>1103</v>
      </c>
      <c r="G685" s="293" t="s">
        <v>120</v>
      </c>
      <c r="J685" s="252">
        <f>SUM(J680:J682)</f>
        <v>1.8652530909980425</v>
      </c>
      <c r="K685" s="252">
        <f>SUM(K680:K682)</f>
        <v>2325.6127545606296</v>
      </c>
      <c r="L685" s="252">
        <f t="shared" ref="L685:N685" si="236">SUM(L680:L682)</f>
        <v>5740.4328288391071</v>
      </c>
      <c r="M685" s="252">
        <f t="shared" si="236"/>
        <v>6887.4868672789135</v>
      </c>
      <c r="N685" s="252">
        <f t="shared" si="236"/>
        <v>17334.61035848609</v>
      </c>
      <c r="AQ685" s="88"/>
    </row>
    <row r="686" spans="5:43" x14ac:dyDescent="0.25">
      <c r="J686" s="252"/>
      <c r="K686" s="252"/>
      <c r="L686" s="252"/>
      <c r="M686" s="252"/>
      <c r="N686" s="252"/>
      <c r="AQ686" s="88"/>
    </row>
    <row r="687" spans="5:43" x14ac:dyDescent="0.25">
      <c r="E687" s="293" t="s">
        <v>1104</v>
      </c>
      <c r="G687" s="293" t="s">
        <v>120</v>
      </c>
      <c r="H687" s="252">
        <f>SUM(J685:N685)</f>
        <v>32290.00806225574</v>
      </c>
      <c r="AQ687" s="88"/>
    </row>
    <row r="688" spans="5:43" x14ac:dyDescent="0.25">
      <c r="J688" s="485" t="s">
        <v>1061</v>
      </c>
      <c r="K688" s="485" t="s">
        <v>1062</v>
      </c>
      <c r="L688" s="485" t="s">
        <v>1063</v>
      </c>
      <c r="M688" s="485" t="s">
        <v>1064</v>
      </c>
      <c r="N688" s="485" t="s">
        <v>1065</v>
      </c>
      <c r="AQ688" s="88"/>
    </row>
    <row r="689" spans="2:43" x14ac:dyDescent="0.25">
      <c r="E689" s="373" t="s">
        <v>1102</v>
      </c>
      <c r="G689" s="293" t="s">
        <v>94</v>
      </c>
      <c r="J689" s="17">
        <f>IF($H687 &lt;&gt; 0, J685/$H687, 0)</f>
        <v>5.7765643396613581E-5</v>
      </c>
      <c r="K689" s="17">
        <f>IF($H687 &lt;&gt; 0, K685/$H687, 0)</f>
        <v>7.2022674942564424E-2</v>
      </c>
      <c r="L689" s="17">
        <f>IF($H687 &lt;&gt; 0, L685/$H687, 0)</f>
        <v>0.17777737366220056</v>
      </c>
      <c r="M689" s="17">
        <f>IF($H687 &lt;&gt; 0, M685/$H687, 0)</f>
        <v>0.21330087171237957</v>
      </c>
      <c r="N689" s="17">
        <f>IF($H687 &lt;&gt; 0, N685/$H687, 0)</f>
        <v>0.53684131403945878</v>
      </c>
      <c r="AQ689" s="88"/>
    </row>
    <row r="690" spans="2:43" x14ac:dyDescent="0.25">
      <c r="AQ690" s="88"/>
    </row>
    <row r="691" spans="2:43" x14ac:dyDescent="0.25">
      <c r="B691" s="95" t="s">
        <v>109</v>
      </c>
      <c r="C691" s="95"/>
      <c r="D691" s="95"/>
      <c r="E691" s="95"/>
      <c r="F691" s="95"/>
      <c r="G691" s="95"/>
      <c r="H691" s="95"/>
      <c r="I691" s="95"/>
      <c r="J691" s="95"/>
      <c r="K691" s="95"/>
      <c r="L691" s="95"/>
      <c r="M691" s="95"/>
      <c r="N691" s="95"/>
      <c r="O691" s="95"/>
      <c r="P691" s="95"/>
      <c r="Q691" s="95"/>
      <c r="R691" s="95"/>
      <c r="S691" s="95"/>
      <c r="T691" s="95"/>
      <c r="U691" s="95"/>
      <c r="V691" s="95"/>
      <c r="W691" s="95"/>
      <c r="X691" s="95"/>
      <c r="Y691" s="95"/>
      <c r="Z691" s="95"/>
      <c r="AA691" s="95"/>
      <c r="AC691" s="95"/>
      <c r="AD691" s="95"/>
      <c r="AE691" s="95"/>
      <c r="AF691" s="95"/>
      <c r="AG691" s="95"/>
      <c r="AH691" s="95"/>
      <c r="AI691" s="95"/>
      <c r="AJ691" s="95"/>
      <c r="AK691" s="95"/>
      <c r="AL691" s="95"/>
      <c r="AM691" s="95"/>
      <c r="AN691" s="95"/>
      <c r="AO691" s="95"/>
      <c r="AQ691" s="95"/>
    </row>
    <row r="693" spans="2:43" x14ac:dyDescent="0.25">
      <c r="E693" s="293" t="s">
        <v>415</v>
      </c>
      <c r="G693" s="122" t="s">
        <v>588</v>
      </c>
      <c r="H693" s="310">
        <f t="array" ref="H693">SUM(IF(ISERROR(H22:Y309), 1))</f>
        <v>0</v>
      </c>
    </row>
    <row r="695" spans="2:43" x14ac:dyDescent="0.25">
      <c r="B695" s="95" t="s">
        <v>110</v>
      </c>
      <c r="C695" s="95"/>
      <c r="D695" s="95"/>
      <c r="E695" s="95"/>
      <c r="F695" s="95"/>
      <c r="G695" s="95"/>
      <c r="H695" s="95"/>
      <c r="I695" s="95"/>
      <c r="J695" s="95"/>
      <c r="K695" s="95"/>
      <c r="L695" s="95"/>
      <c r="M695" s="95"/>
      <c r="N695" s="95"/>
      <c r="O695" s="95"/>
      <c r="P695" s="95"/>
      <c r="Q695" s="95"/>
      <c r="R695" s="95"/>
      <c r="S695" s="95"/>
      <c r="T695" s="95"/>
      <c r="U695" s="95"/>
      <c r="V695" s="95"/>
      <c r="W695" s="95"/>
      <c r="X695" s="95"/>
      <c r="Y695" s="95"/>
      <c r="Z695" s="95"/>
      <c r="AA695" s="95"/>
      <c r="AC695" s="95"/>
      <c r="AD695" s="95"/>
      <c r="AE695" s="95"/>
      <c r="AF695" s="95"/>
      <c r="AG695" s="95"/>
      <c r="AH695" s="95"/>
      <c r="AI695" s="95"/>
      <c r="AJ695" s="95"/>
      <c r="AK695" s="95"/>
      <c r="AL695" s="95"/>
      <c r="AM695" s="95"/>
      <c r="AN695" s="95"/>
      <c r="AO695" s="95"/>
      <c r="AQ695" s="95"/>
    </row>
  </sheetData>
  <sheetProtection sheet="1" objects="1" formatCells="0" formatColumns="0" formatRows="0" sort="0" autoFilter="0"/>
  <conditionalFormatting sqref="A4:I4 Z4:XFD4">
    <cfRule type="expression" dxfId="165" priority="10">
      <formula>LEFT($A$4,1) &lt;&gt; "0"</formula>
    </cfRule>
  </conditionalFormatting>
  <conditionalFormatting sqref="N4:P4">
    <cfRule type="expression" dxfId="164" priority="9">
      <formula>LEFT($A$4,1) &lt;&gt; "0"</formula>
    </cfRule>
  </conditionalFormatting>
  <conditionalFormatting sqref="L4:M4">
    <cfRule type="expression" dxfId="163" priority="8">
      <formula>LEFT($A$4,1) &lt;&gt; "0"</formula>
    </cfRule>
  </conditionalFormatting>
  <conditionalFormatting sqref="J4:K4">
    <cfRule type="expression" dxfId="162" priority="7">
      <formula>LEFT($A$4,1) &lt;&gt; "0"</formula>
    </cfRule>
  </conditionalFormatting>
  <conditionalFormatting sqref="Q4">
    <cfRule type="expression" dxfId="161" priority="6">
      <formula>LEFT($A$4,1) &lt;&gt; "0"</formula>
    </cfRule>
  </conditionalFormatting>
  <conditionalFormatting sqref="R4:S4">
    <cfRule type="expression" dxfId="160" priority="5">
      <formula>LEFT($A$4,1) &lt;&gt; "0"</formula>
    </cfRule>
  </conditionalFormatting>
  <conditionalFormatting sqref="T4:U4">
    <cfRule type="expression" dxfId="159" priority="4">
      <formula>LEFT($A$4,1) &lt;&gt; "0"</formula>
    </cfRule>
  </conditionalFormatting>
  <conditionalFormatting sqref="V4:W4">
    <cfRule type="expression" dxfId="158" priority="3">
      <formula>LEFT($A$4,1) &lt;&gt; "0"</formula>
    </cfRule>
  </conditionalFormatting>
  <conditionalFormatting sqref="X4:Y4">
    <cfRule type="expression" dxfId="157" priority="2">
      <formula>LEFT($A$4,1) &lt;&gt; "0"</formula>
    </cfRule>
  </conditionalFormatting>
  <conditionalFormatting sqref="H693">
    <cfRule type="cellIs" dxfId="156" priority="1" operator="greaterThan">
      <formula>0</formula>
    </cfRule>
  </conditionalFormatting>
  <dataValidations count="2">
    <dataValidation type="decimal" operator="greaterThanOrEqual" allowBlank="1" showInputMessage="1" showErrorMessage="1" errorTitle="Invalid volume data" error="Invalid volume data (negative number or unused cell)." sqref="Q209:R210 J212:Y223 J199:Y208" xr:uid="{49E16060-863B-421B-9457-0485C79AA5BF}">
      <formula1>0</formula1>
    </dataValidation>
    <dataValidation type="decimal" operator="greaterThanOrEqual" allowBlank="1" showInputMessage="1" showErrorMessage="1" sqref="Y198:Y223" xr:uid="{0D633916-352A-421D-B50B-9DEFF711AD53}">
      <formula1>0</formula1>
    </dataValidation>
  </dataValidations>
  <hyperlinks>
    <hyperlink ref="B5:F5" location="'Model map'!A1" display="Click here to return to model map" xr:uid="{BC95DD22-67F4-48A1-B38E-FE691BE39A1B}"/>
  </hyperlinks>
  <pageMargins left="0.7" right="0.7" top="0.75" bottom="0.75" header="0.3" footer="0.3"/>
  <pageSetup paperSize="9" fitToHeight="0" orientation="portrait" r:id="rId1"/>
  <headerFooter>
    <oddHeader>&amp;L&amp;A&amp;C&amp;R&amp;P of &amp;N</oddHeader>
    <oddFooter>&amp;F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020FC4-8C59-425E-9A46-BE335E28506D}">
  <sheetPr codeName="Sheet37">
    <tabColor theme="4" tint="0.59999389629810485"/>
    <pageSetUpPr fitToPage="1"/>
  </sheetPr>
  <dimension ref="A1:KT308"/>
  <sheetViews>
    <sheetView showGridLines="0" zoomScale="80" zoomScaleNormal="80" workbookViewId="0">
      <pane xSplit="9" ySplit="5" topLeftCell="J6" activePane="bottomRight" state="frozen"/>
      <selection pane="topRight"/>
      <selection pane="bottomLeft"/>
      <selection pane="bottomRight"/>
    </sheetView>
  </sheetViews>
  <sheetFormatPr defaultColWidth="0" defaultRowHeight="15" x14ac:dyDescent="0.25"/>
  <cols>
    <col min="1" max="5" width="2.5703125" style="293" customWidth="1"/>
    <col min="6" max="6" width="59.5703125" style="293" customWidth="1"/>
    <col min="7" max="8" width="20.5703125" style="293" customWidth="1"/>
    <col min="9" max="9" width="2.42578125" style="293" customWidth="1"/>
    <col min="10" max="25" width="17" style="293" customWidth="1"/>
    <col min="26" max="26" width="2.42578125" style="293" customWidth="1"/>
    <col min="27" max="27" width="50.5703125" style="293" customWidth="1"/>
    <col min="28" max="28" width="2.42578125" style="293" customWidth="1"/>
    <col min="29" max="29" width="24.5703125" style="293" hidden="1" customWidth="1"/>
    <col min="30" max="30" width="3.5703125" style="293" hidden="1" customWidth="1"/>
    <col min="31" max="31" width="15.42578125" style="293" hidden="1" customWidth="1"/>
    <col min="32" max="306" width="24.5703125" style="293" hidden="1" customWidth="1"/>
    <col min="307" max="16384" width="8.5703125" style="293" hidden="1"/>
  </cols>
  <sheetData>
    <row r="1" spans="1:27" s="10" customFormat="1" x14ac:dyDescent="0.25">
      <c r="A1" s="10" t="str">
        <f ca="1">MID(CELL("filename",A1),FIND("]",CELL("filename",A1))+1,255)</f>
        <v>Pseudo-load coefficients</v>
      </c>
    </row>
    <row r="2" spans="1:27" s="10" customFormat="1" x14ac:dyDescent="0.25">
      <c r="A2" s="10" t="str">
        <f>Cover!D21&amp;" - "&amp;Cover!D23</f>
        <v>Southern Electric Power Distribution plc - Final</v>
      </c>
    </row>
    <row r="3" spans="1:27" s="46" customFormat="1" x14ac:dyDescent="0.25">
      <c r="A3" s="46" t="str">
        <f>Cover!D2&amp;" - "&amp;Cover!D8&amp;" v"&amp;Cover!D10&amp;" - "&amp;Cover!D19</f>
        <v>ARP model - Release for charge setting v7 - 2023/24</v>
      </c>
    </row>
    <row r="4" spans="1:27" x14ac:dyDescent="0.25">
      <c r="A4" s="366" t="str">
        <f>H306 &amp; IF(H306 = 1, " issue", " issues") &amp;" identified in checks on this sheet"</f>
        <v>0 issues identified in checks on this sheet</v>
      </c>
      <c r="B4" s="108"/>
      <c r="C4" s="108"/>
      <c r="D4" s="108"/>
      <c r="E4" s="108"/>
      <c r="F4" s="108"/>
      <c r="G4" s="108"/>
      <c r="H4" s="111"/>
      <c r="I4" s="111"/>
    </row>
    <row r="5" spans="1:27" ht="60" x14ac:dyDescent="0.25">
      <c r="B5" s="367" t="s">
        <v>451</v>
      </c>
      <c r="C5" s="368"/>
      <c r="D5" s="368"/>
      <c r="E5" s="368"/>
      <c r="F5" s="368"/>
      <c r="G5" s="368" t="s">
        <v>91</v>
      </c>
      <c r="H5" s="383" t="s">
        <v>92</v>
      </c>
      <c r="I5" s="111"/>
      <c r="J5" s="383" t="s">
        <v>926</v>
      </c>
      <c r="K5" s="383" t="s">
        <v>927</v>
      </c>
      <c r="L5" s="383" t="s">
        <v>928</v>
      </c>
      <c r="M5" s="383" t="s">
        <v>929</v>
      </c>
      <c r="N5" s="383" t="s">
        <v>930</v>
      </c>
      <c r="O5" s="383" t="s">
        <v>931</v>
      </c>
      <c r="P5" s="383" t="s">
        <v>932</v>
      </c>
      <c r="Q5" s="383" t="s">
        <v>933</v>
      </c>
      <c r="R5" s="383" t="s">
        <v>934</v>
      </c>
      <c r="S5" s="383" t="s">
        <v>935</v>
      </c>
      <c r="T5" s="383" t="s">
        <v>936</v>
      </c>
      <c r="U5" s="383" t="s">
        <v>937</v>
      </c>
      <c r="V5" s="383" t="s">
        <v>938</v>
      </c>
      <c r="W5" s="383" t="s">
        <v>939</v>
      </c>
      <c r="X5" s="383" t="s">
        <v>940</v>
      </c>
      <c r="Y5" s="383" t="s">
        <v>941</v>
      </c>
      <c r="AA5" s="368" t="s">
        <v>93</v>
      </c>
    </row>
    <row r="7" spans="1:27" x14ac:dyDescent="0.25">
      <c r="B7" s="95" t="s">
        <v>90</v>
      </c>
      <c r="C7" s="72"/>
      <c r="D7" s="71"/>
      <c r="E7" s="71"/>
      <c r="F7" s="72"/>
      <c r="G7" s="72"/>
      <c r="H7" s="72"/>
      <c r="I7" s="72"/>
      <c r="J7" s="72"/>
      <c r="K7" s="72"/>
      <c r="L7" s="72"/>
      <c r="M7" s="72"/>
      <c r="N7" s="72"/>
      <c r="O7" s="72"/>
      <c r="P7" s="72"/>
      <c r="Q7" s="72"/>
      <c r="R7" s="72"/>
      <c r="S7" s="72"/>
      <c r="T7" s="72"/>
      <c r="U7" s="72"/>
      <c r="V7" s="72"/>
      <c r="W7" s="72"/>
      <c r="X7" s="72"/>
      <c r="Y7" s="72"/>
      <c r="Z7" s="72"/>
      <c r="AA7" s="72"/>
    </row>
    <row r="9" spans="1:27" x14ac:dyDescent="0.25">
      <c r="C9" s="82" t="s">
        <v>955</v>
      </c>
    </row>
    <row r="10" spans="1:27" x14ac:dyDescent="0.25">
      <c r="C10" s="82" t="s">
        <v>761</v>
      </c>
    </row>
    <row r="11" spans="1:27" x14ac:dyDescent="0.25">
      <c r="C11" s="82" t="s">
        <v>762</v>
      </c>
    </row>
    <row r="13" spans="1:27" x14ac:dyDescent="0.25">
      <c r="B13" s="95" t="s">
        <v>758</v>
      </c>
      <c r="C13" s="72"/>
      <c r="D13" s="71"/>
      <c r="E13" s="71"/>
      <c r="F13" s="72"/>
      <c r="G13" s="72"/>
      <c r="H13" s="72"/>
      <c r="I13" s="72"/>
      <c r="J13" s="72"/>
      <c r="K13" s="72"/>
      <c r="L13" s="72"/>
      <c r="M13" s="72"/>
      <c r="N13" s="72"/>
      <c r="O13" s="72"/>
      <c r="P13" s="72"/>
      <c r="Q13" s="72"/>
      <c r="R13" s="72"/>
      <c r="S13" s="72"/>
      <c r="T13" s="72"/>
      <c r="U13" s="72"/>
      <c r="V13" s="72"/>
      <c r="W13" s="72"/>
      <c r="X13" s="72"/>
      <c r="Y13" s="72"/>
      <c r="Z13" s="72"/>
      <c r="AA13" s="72"/>
    </row>
    <row r="15" spans="1:27" x14ac:dyDescent="0.25">
      <c r="C15" s="82" t="s">
        <v>946</v>
      </c>
      <c r="I15" s="293" t="s">
        <v>359</v>
      </c>
      <c r="AA15" s="293" t="s">
        <v>947</v>
      </c>
    </row>
    <row r="16" spans="1:27" x14ac:dyDescent="0.25">
      <c r="C16" s="82" t="s">
        <v>763</v>
      </c>
    </row>
    <row r="18" spans="3:27" x14ac:dyDescent="0.25">
      <c r="C18" s="7" t="str">
        <f ca="1">INDEX('Version control'!$H$35:$H$61,MATCH($A$1,'Version control'!$F$35:$F$61,0),1)&amp;"-A: Flags and hours in timebands"</f>
        <v>Section 508-A: Flags and hours in timebands</v>
      </c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</row>
    <row r="20" spans="3:27" x14ac:dyDescent="0.25">
      <c r="E20" s="463" t="s">
        <v>245</v>
      </c>
      <c r="F20" s="76"/>
      <c r="G20" s="76" t="s">
        <v>214</v>
      </c>
      <c r="J20" s="84" t="b">
        <f>'Fixed inputs'!J127</f>
        <v>0</v>
      </c>
      <c r="K20" s="84" t="b">
        <f>'Fixed inputs'!K127</f>
        <v>0</v>
      </c>
      <c r="L20" s="84" t="b">
        <f>'Fixed inputs'!L127</f>
        <v>0</v>
      </c>
      <c r="M20" s="84" t="b">
        <f>'Fixed inputs'!M127</f>
        <v>0</v>
      </c>
      <c r="N20" s="84" t="b">
        <f>'Fixed inputs'!N127</f>
        <v>0</v>
      </c>
      <c r="O20" s="84" t="b">
        <f>'Fixed inputs'!O127</f>
        <v>0</v>
      </c>
      <c r="P20" s="84" t="b">
        <f>'Fixed inputs'!P127</f>
        <v>0</v>
      </c>
      <c r="Q20" s="84" t="b">
        <f>'Fixed inputs'!Q127</f>
        <v>1</v>
      </c>
      <c r="R20" s="84" t="b">
        <f>'Fixed inputs'!R127</f>
        <v>0</v>
      </c>
      <c r="S20" s="84" t="b">
        <f>'Fixed inputs'!S127</f>
        <v>0</v>
      </c>
      <c r="T20" s="84" t="b">
        <f>'Fixed inputs'!T127</f>
        <v>0</v>
      </c>
      <c r="U20" s="84" t="b">
        <f>'Fixed inputs'!U127</f>
        <v>0</v>
      </c>
      <c r="V20" s="84" t="b">
        <f>'Fixed inputs'!V127</f>
        <v>0</v>
      </c>
      <c r="W20" s="84" t="b">
        <f>'Fixed inputs'!W127</f>
        <v>0</v>
      </c>
      <c r="X20" s="84" t="b">
        <f>'Fixed inputs'!X127</f>
        <v>0</v>
      </c>
      <c r="Y20" s="84" t="b">
        <f>'Fixed inputs'!Y127</f>
        <v>0</v>
      </c>
    </row>
    <row r="22" spans="3:27" x14ac:dyDescent="0.25">
      <c r="E22" s="96" t="s">
        <v>240</v>
      </c>
      <c r="I22" s="293" t="s">
        <v>359</v>
      </c>
      <c r="AA22" s="293" t="s">
        <v>714</v>
      </c>
    </row>
    <row r="23" spans="3:27" x14ac:dyDescent="0.25">
      <c r="E23" s="82" t="s">
        <v>340</v>
      </c>
      <c r="F23" s="82"/>
    </row>
    <row r="24" spans="3:27" x14ac:dyDescent="0.25">
      <c r="F24" s="16" t="s">
        <v>243</v>
      </c>
      <c r="G24" s="16" t="s">
        <v>210</v>
      </c>
      <c r="H24" s="104"/>
      <c r="I24" s="104"/>
      <c r="J24" s="272">
        <f>IF(J$20, 'General inputs'!$H19, 'General inputs'!$H24)</f>
        <v>780</v>
      </c>
      <c r="K24" s="272">
        <f>IF(K$20, 'General inputs'!$H19, 'General inputs'!$H24)</f>
        <v>780</v>
      </c>
      <c r="L24" s="272">
        <f>IF(L$20, 'General inputs'!$H19, 'General inputs'!$H24)</f>
        <v>780</v>
      </c>
      <c r="M24" s="272">
        <f>IF(M$20, 'General inputs'!$H19, 'General inputs'!$H24)</f>
        <v>780</v>
      </c>
      <c r="N24" s="272">
        <f>IF(N$20, 'General inputs'!$H19, 'General inputs'!$H24)</f>
        <v>780</v>
      </c>
      <c r="O24" s="272">
        <f>IF(O$20, 'General inputs'!$H19, 'General inputs'!$H24)</f>
        <v>780</v>
      </c>
      <c r="P24" s="272">
        <f>IF(P$20, 'General inputs'!$H19, 'General inputs'!$H24)</f>
        <v>780</v>
      </c>
      <c r="Q24" s="272">
        <f>IF(Q$20, 'General inputs'!$H19, 'General inputs'!$H24)</f>
        <v>261</v>
      </c>
      <c r="R24" s="272">
        <f>IF(R$20, 'General inputs'!$H19, 'General inputs'!$H24)</f>
        <v>780</v>
      </c>
      <c r="S24" s="272">
        <f>IF(S$20, 'General inputs'!$H19, 'General inputs'!$H24)</f>
        <v>780</v>
      </c>
      <c r="T24" s="272">
        <f>IF(T$20, 'General inputs'!$H19, 'General inputs'!$H24)</f>
        <v>780</v>
      </c>
      <c r="U24" s="272">
        <f>IF(U$20, 'General inputs'!$H19, 'General inputs'!$H24)</f>
        <v>780</v>
      </c>
      <c r="V24" s="272">
        <f>IF(V$20, 'General inputs'!$H19, 'General inputs'!$H24)</f>
        <v>780</v>
      </c>
      <c r="W24" s="272">
        <f>IF(W$20, 'General inputs'!$H19, 'General inputs'!$H24)</f>
        <v>780</v>
      </c>
      <c r="X24" s="272">
        <f>IF(X$20, 'General inputs'!$H19, 'General inputs'!$H24)</f>
        <v>780</v>
      </c>
      <c r="Y24" s="272">
        <f>IF(Y$20, 'General inputs'!$H19, 'General inputs'!$H24)</f>
        <v>780</v>
      </c>
    </row>
    <row r="25" spans="3:27" x14ac:dyDescent="0.25">
      <c r="F25" s="14" t="s">
        <v>244</v>
      </c>
      <c r="G25" s="293" t="s">
        <v>210</v>
      </c>
      <c r="H25" s="393"/>
      <c r="I25" s="393"/>
      <c r="J25" s="273">
        <f>IF(J$20, 'General inputs'!$H20, 'General inputs'!$H25)</f>
        <v>4392</v>
      </c>
      <c r="K25" s="273">
        <f>IF(K$20, 'General inputs'!$H20, 'General inputs'!$H25)</f>
        <v>4392</v>
      </c>
      <c r="L25" s="273">
        <f>IF(L$20, 'General inputs'!$H20, 'General inputs'!$H25)</f>
        <v>4392</v>
      </c>
      <c r="M25" s="273">
        <f>IF(M$20, 'General inputs'!$H20, 'General inputs'!$H25)</f>
        <v>4392</v>
      </c>
      <c r="N25" s="273">
        <f>IF(N$20, 'General inputs'!$H20, 'General inputs'!$H25)</f>
        <v>4392</v>
      </c>
      <c r="O25" s="273">
        <f>IF(O$20, 'General inputs'!$H20, 'General inputs'!$H25)</f>
        <v>4392</v>
      </c>
      <c r="P25" s="273">
        <f>IF(P$20, 'General inputs'!$H20, 'General inputs'!$H25)</f>
        <v>4392</v>
      </c>
      <c r="Q25" s="273">
        <f>IF(Q$20, 'General inputs'!$H20, 'General inputs'!$H25)</f>
        <v>4911</v>
      </c>
      <c r="R25" s="273">
        <f>IF(R$20, 'General inputs'!$H20, 'General inputs'!$H25)</f>
        <v>4392</v>
      </c>
      <c r="S25" s="273">
        <f>IF(S$20, 'General inputs'!$H20, 'General inputs'!$H25)</f>
        <v>4392</v>
      </c>
      <c r="T25" s="273">
        <f>IF(T$20, 'General inputs'!$H20, 'General inputs'!$H25)</f>
        <v>4392</v>
      </c>
      <c r="U25" s="273">
        <f>IF(U$20, 'General inputs'!$H20, 'General inputs'!$H25)</f>
        <v>4392</v>
      </c>
      <c r="V25" s="273">
        <f>IF(V$20, 'General inputs'!$H20, 'General inputs'!$H25)</f>
        <v>4392</v>
      </c>
      <c r="W25" s="273">
        <f>IF(W$20, 'General inputs'!$H20, 'General inputs'!$H25)</f>
        <v>4392</v>
      </c>
      <c r="X25" s="273">
        <f>IF(X$20, 'General inputs'!$H20, 'General inputs'!$H25)</f>
        <v>4392</v>
      </c>
      <c r="Y25" s="273">
        <f>IF(Y$20, 'General inputs'!$H20, 'General inputs'!$H25)</f>
        <v>4392</v>
      </c>
    </row>
    <row r="26" spans="3:27" x14ac:dyDescent="0.25">
      <c r="F26" s="15" t="s">
        <v>86</v>
      </c>
      <c r="G26" s="93" t="s">
        <v>210</v>
      </c>
      <c r="H26" s="105"/>
      <c r="I26" s="105"/>
      <c r="J26" s="274">
        <f>IF(J$20, 'General inputs'!$H21, 'General inputs'!$H26)</f>
        <v>3612</v>
      </c>
      <c r="K26" s="274">
        <f>IF(K$20, 'General inputs'!$H21, 'General inputs'!$H26)</f>
        <v>3612</v>
      </c>
      <c r="L26" s="274">
        <f>IF(L$20, 'General inputs'!$H21, 'General inputs'!$H26)</f>
        <v>3612</v>
      </c>
      <c r="M26" s="274">
        <f>IF(M$20, 'General inputs'!$H21, 'General inputs'!$H26)</f>
        <v>3612</v>
      </c>
      <c r="N26" s="274">
        <f>IF(N$20, 'General inputs'!$H21, 'General inputs'!$H26)</f>
        <v>3612</v>
      </c>
      <c r="O26" s="274">
        <f>IF(O$20, 'General inputs'!$H21, 'General inputs'!$H26)</f>
        <v>3612</v>
      </c>
      <c r="P26" s="274">
        <f>IF(P$20, 'General inputs'!$H21, 'General inputs'!$H26)</f>
        <v>3612</v>
      </c>
      <c r="Q26" s="274">
        <f>IF(Q$20, 'General inputs'!$H21, 'General inputs'!$H26)</f>
        <v>3612</v>
      </c>
      <c r="R26" s="274">
        <f>IF(R$20, 'General inputs'!$H21, 'General inputs'!$H26)</f>
        <v>3612</v>
      </c>
      <c r="S26" s="274">
        <f>IF(S$20, 'General inputs'!$H21, 'General inputs'!$H26)</f>
        <v>3612</v>
      </c>
      <c r="T26" s="274">
        <f>IF(T$20, 'General inputs'!$H21, 'General inputs'!$H26)</f>
        <v>3612</v>
      </c>
      <c r="U26" s="274">
        <f>IF(U$20, 'General inputs'!$H21, 'General inputs'!$H26)</f>
        <v>3612</v>
      </c>
      <c r="V26" s="274">
        <f>IF(V$20, 'General inputs'!$H21, 'General inputs'!$H26)</f>
        <v>3612</v>
      </c>
      <c r="W26" s="274">
        <f>IF(W$20, 'General inputs'!$H21, 'General inputs'!$H26)</f>
        <v>3612</v>
      </c>
      <c r="X26" s="274">
        <f>IF(X$20, 'General inputs'!$H21, 'General inputs'!$H26)</f>
        <v>3612</v>
      </c>
      <c r="Y26" s="274">
        <f>IF(Y$20, 'General inputs'!$H21, 'General inputs'!$H26)</f>
        <v>3612</v>
      </c>
    </row>
    <row r="27" spans="3:27" x14ac:dyDescent="0.25">
      <c r="J27" s="252"/>
      <c r="K27" s="252"/>
      <c r="L27" s="252"/>
      <c r="M27" s="252"/>
      <c r="N27" s="252"/>
      <c r="O27" s="252"/>
      <c r="P27" s="252"/>
      <c r="Q27" s="252"/>
      <c r="R27" s="252"/>
      <c r="S27" s="252"/>
      <c r="T27" s="252"/>
      <c r="U27" s="252"/>
      <c r="V27" s="252"/>
      <c r="W27" s="252"/>
      <c r="X27" s="252"/>
      <c r="Y27" s="252"/>
    </row>
    <row r="28" spans="3:27" x14ac:dyDescent="0.25">
      <c r="C28" s="7" t="str">
        <f ca="1">INDEX('Version control'!$H$35:$H$61,MATCH($A$1,'Version control'!$F$35:$F$61,0),1)&amp;"-B: Average load by timeband"</f>
        <v>Section 508-B: Average load by timeband</v>
      </c>
      <c r="D28" s="7"/>
      <c r="E28" s="7"/>
      <c r="F28" s="7"/>
      <c r="G28" s="7"/>
      <c r="H28" s="7"/>
      <c r="I28" s="7"/>
      <c r="J28" s="242"/>
      <c r="K28" s="242"/>
      <c r="L28" s="242"/>
      <c r="M28" s="242"/>
      <c r="N28" s="242"/>
      <c r="O28" s="242"/>
      <c r="P28" s="242"/>
      <c r="Q28" s="242"/>
      <c r="R28" s="242"/>
      <c r="S28" s="242"/>
      <c r="T28" s="242"/>
      <c r="U28" s="242"/>
      <c r="V28" s="242"/>
      <c r="W28" s="242"/>
      <c r="X28" s="242"/>
      <c r="Y28" s="242"/>
      <c r="Z28" s="7"/>
      <c r="AA28" s="7"/>
    </row>
    <row r="29" spans="3:27" x14ac:dyDescent="0.25">
      <c r="J29" s="252"/>
      <c r="K29" s="252"/>
      <c r="L29" s="252"/>
      <c r="M29" s="252"/>
      <c r="N29" s="252"/>
      <c r="O29" s="252"/>
      <c r="P29" s="252"/>
      <c r="Q29" s="252"/>
      <c r="R29" s="252"/>
      <c r="S29" s="252"/>
      <c r="T29" s="252"/>
      <c r="U29" s="252"/>
      <c r="V29" s="252"/>
      <c r="W29" s="252"/>
      <c r="X29" s="252"/>
      <c r="Y29" s="252"/>
    </row>
    <row r="30" spans="3:27" x14ac:dyDescent="0.25">
      <c r="E30" s="96" t="s">
        <v>241</v>
      </c>
      <c r="J30" s="252"/>
      <c r="K30" s="252"/>
      <c r="L30" s="252"/>
      <c r="M30" s="252"/>
      <c r="N30" s="252"/>
      <c r="O30" s="252"/>
      <c r="P30" s="252"/>
      <c r="Q30" s="252"/>
      <c r="R30" s="252"/>
      <c r="S30" s="252"/>
      <c r="T30" s="252"/>
      <c r="U30" s="252"/>
      <c r="V30" s="252"/>
      <c r="W30" s="252"/>
      <c r="X30" s="252"/>
      <c r="Y30" s="252"/>
    </row>
    <row r="31" spans="3:27" x14ac:dyDescent="0.25">
      <c r="F31" s="16" t="s">
        <v>134</v>
      </c>
      <c r="G31" s="16" t="s">
        <v>120</v>
      </c>
      <c r="H31" s="91"/>
      <c r="I31" s="91"/>
      <c r="J31" s="272">
        <f>'Volume adjustments'!J238</f>
        <v>1548246.7463325649</v>
      </c>
      <c r="K31" s="272">
        <f>'Volume adjustments'!K238</f>
        <v>435.37279303514384</v>
      </c>
      <c r="L31" s="272">
        <f>'Volume adjustments'!L238</f>
        <v>306995.96899709711</v>
      </c>
      <c r="M31" s="272">
        <f>'Volume adjustments'!M238</f>
        <v>594.16318180266921</v>
      </c>
      <c r="N31" s="272">
        <f>'Volume adjustments'!N238</f>
        <v>523029.63172901265</v>
      </c>
      <c r="O31" s="272">
        <f>'Volume adjustments'!O238</f>
        <v>34787.928141707074</v>
      </c>
      <c r="P31" s="272">
        <f>'Volume adjustments'!P238</f>
        <v>422361.76636584941</v>
      </c>
      <c r="Q31" s="272">
        <f>'Volume adjustments'!Q238</f>
        <v>11566.823241177972</v>
      </c>
      <c r="R31" s="272">
        <f>'Volume adjustments'!R238</f>
        <v>706.86922004560074</v>
      </c>
      <c r="S31" s="272">
        <f>'Volume adjustments'!S238</f>
        <v>29.01977587792658</v>
      </c>
      <c r="T31" s="272">
        <f>'Volume adjustments'!T238</f>
        <v>3481.3327942733295</v>
      </c>
      <c r="U31" s="272">
        <f>'Volume adjustments'!U238</f>
        <v>0</v>
      </c>
      <c r="V31" s="272">
        <f>'Volume adjustments'!V238</f>
        <v>0</v>
      </c>
      <c r="W31" s="272">
        <f>'Volume adjustments'!W238</f>
        <v>0</v>
      </c>
      <c r="X31" s="272">
        <f>'Volume adjustments'!X238</f>
        <v>86115.829832224859</v>
      </c>
      <c r="Y31" s="272">
        <f>'Volume adjustments'!Y238</f>
        <v>0</v>
      </c>
    </row>
    <row r="32" spans="3:27" x14ac:dyDescent="0.25">
      <c r="F32" s="14" t="s">
        <v>135</v>
      </c>
      <c r="G32" s="14" t="s">
        <v>120</v>
      </c>
      <c r="J32" s="273">
        <f>'Volume adjustments'!J249</f>
        <v>6825324.1723649437</v>
      </c>
      <c r="K32" s="273">
        <f>'Volume adjustments'!K249</f>
        <v>43540.865318654403</v>
      </c>
      <c r="L32" s="273">
        <f>'Volume adjustments'!L249</f>
        <v>1931101.9018137197</v>
      </c>
      <c r="M32" s="273">
        <f>'Volume adjustments'!M249</f>
        <v>8224.4305478900278</v>
      </c>
      <c r="N32" s="273">
        <f>'Volume adjustments'!N249</f>
        <v>2982656.951916548</v>
      </c>
      <c r="O32" s="273">
        <f>'Volume adjustments'!O249</f>
        <v>190552.67080091542</v>
      </c>
      <c r="P32" s="273">
        <f>'Volume adjustments'!P249</f>
        <v>2356089.5356336073</v>
      </c>
      <c r="Q32" s="273">
        <f>'Volume adjustments'!Q249</f>
        <v>73426.845575958097</v>
      </c>
      <c r="R32" s="273">
        <f>'Volume adjustments'!R249</f>
        <v>5559.3658561006987</v>
      </c>
      <c r="S32" s="273">
        <f>'Volume adjustments'!S249</f>
        <v>212.7237809687463</v>
      </c>
      <c r="T32" s="273">
        <f>'Volume adjustments'!T249</f>
        <v>32597.519770789342</v>
      </c>
      <c r="U32" s="273">
        <f>'Volume adjustments'!U249</f>
        <v>0</v>
      </c>
      <c r="V32" s="273">
        <f>'Volume adjustments'!V249</f>
        <v>0</v>
      </c>
      <c r="W32" s="273">
        <f>'Volume adjustments'!W249</f>
        <v>0</v>
      </c>
      <c r="X32" s="273">
        <f>'Volume adjustments'!X249</f>
        <v>532779.51789718622</v>
      </c>
      <c r="Y32" s="273">
        <f>'Volume adjustments'!Y249</f>
        <v>0</v>
      </c>
    </row>
    <row r="33" spans="3:27" x14ac:dyDescent="0.25">
      <c r="F33" s="14" t="s">
        <v>136</v>
      </c>
      <c r="G33" s="14" t="s">
        <v>120</v>
      </c>
      <c r="J33" s="273">
        <f>'Volume adjustments'!J260</f>
        <v>3770396.0827899273</v>
      </c>
      <c r="K33" s="273">
        <f>'Volume adjustments'!K260</f>
        <v>106470.4323701735</v>
      </c>
      <c r="L33" s="273">
        <f>'Volume adjustments'!L260</f>
        <v>857766.15344383672</v>
      </c>
      <c r="M33" s="273">
        <f>'Volume adjustments'!M260</f>
        <v>23085.290394924617</v>
      </c>
      <c r="N33" s="273">
        <f>'Volume adjustments'!N260</f>
        <v>1565261.7066821267</v>
      </c>
      <c r="O33" s="273">
        <f>'Volume adjustments'!O260</f>
        <v>123759.11823576459</v>
      </c>
      <c r="P33" s="273">
        <f>'Volume adjustments'!P260</f>
        <v>1615430.7797994399</v>
      </c>
      <c r="Q33" s="273">
        <f>'Volume adjustments'!Q260</f>
        <v>110236.46164591011</v>
      </c>
      <c r="R33" s="273">
        <f>'Volume adjustments'!R260</f>
        <v>731.31989617895306</v>
      </c>
      <c r="S33" s="273">
        <f>'Volume adjustments'!S260</f>
        <v>33.176553672411458</v>
      </c>
      <c r="T33" s="273">
        <f>'Volume adjustments'!T260</f>
        <v>8546.3926012214506</v>
      </c>
      <c r="U33" s="273">
        <f>'Volume adjustments'!U260</f>
        <v>0</v>
      </c>
      <c r="V33" s="273">
        <f>'Volume adjustments'!V260</f>
        <v>0</v>
      </c>
      <c r="W33" s="273">
        <f>'Volume adjustments'!W260</f>
        <v>0</v>
      </c>
      <c r="X33" s="273">
        <f>'Volume adjustments'!X260</f>
        <v>260951.76676867288</v>
      </c>
      <c r="Y33" s="273">
        <f>'Volume adjustments'!Y260</f>
        <v>0</v>
      </c>
    </row>
    <row r="34" spans="3:27" x14ac:dyDescent="0.25">
      <c r="F34" s="77" t="s">
        <v>142</v>
      </c>
      <c r="G34" s="77" t="s">
        <v>120</v>
      </c>
      <c r="H34" s="73"/>
      <c r="I34" s="73"/>
      <c r="J34" s="270">
        <f t="shared" ref="J34:Y34" si="0">SUM(J31:J33)</f>
        <v>12143967.001487436</v>
      </c>
      <c r="K34" s="270">
        <f t="shared" si="0"/>
        <v>150446.67048186305</v>
      </c>
      <c r="L34" s="270">
        <f t="shared" si="0"/>
        <v>3095864.0242546536</v>
      </c>
      <c r="M34" s="270">
        <f t="shared" si="0"/>
        <v>31903.884124617314</v>
      </c>
      <c r="N34" s="270">
        <f t="shared" si="0"/>
        <v>5070948.2903276877</v>
      </c>
      <c r="O34" s="270">
        <f t="shared" si="0"/>
        <v>349099.7171783871</v>
      </c>
      <c r="P34" s="270">
        <f t="shared" si="0"/>
        <v>4393882.0817988962</v>
      </c>
      <c r="Q34" s="270">
        <f t="shared" si="0"/>
        <v>195230.1304630462</v>
      </c>
      <c r="R34" s="270">
        <f t="shared" si="0"/>
        <v>6997.5549723252525</v>
      </c>
      <c r="S34" s="270">
        <f t="shared" si="0"/>
        <v>274.92011051908435</v>
      </c>
      <c r="T34" s="270">
        <f t="shared" si="0"/>
        <v>44625.245166284119</v>
      </c>
      <c r="U34" s="270">
        <f t="shared" si="0"/>
        <v>0</v>
      </c>
      <c r="V34" s="270">
        <f t="shared" si="0"/>
        <v>0</v>
      </c>
      <c r="W34" s="270">
        <f t="shared" si="0"/>
        <v>0</v>
      </c>
      <c r="X34" s="270">
        <f t="shared" si="0"/>
        <v>879847.11449808395</v>
      </c>
      <c r="Y34" s="270">
        <f t="shared" si="0"/>
        <v>0</v>
      </c>
    </row>
    <row r="35" spans="3:27" x14ac:dyDescent="0.25">
      <c r="F35" s="14"/>
      <c r="G35" s="14"/>
      <c r="J35" s="143"/>
      <c r="K35" s="143"/>
      <c r="L35" s="143"/>
      <c r="M35" s="143"/>
      <c r="N35" s="143"/>
      <c r="O35" s="143"/>
      <c r="P35" s="143"/>
      <c r="Q35" s="143"/>
      <c r="R35" s="143"/>
      <c r="S35" s="143"/>
      <c r="T35" s="143"/>
      <c r="U35" s="143"/>
      <c r="V35" s="143"/>
      <c r="W35" s="143"/>
      <c r="X35" s="143"/>
      <c r="Y35" s="143"/>
      <c r="Z35" s="143"/>
    </row>
    <row r="36" spans="3:27" x14ac:dyDescent="0.25">
      <c r="C36" s="7" t="str">
        <f ca="1">INDEX('Version control'!$H$35:$H$61,MATCH($A$1,'Version control'!$F$35:$F$61,0),1)&amp;"-C: Aggregated groups for pseudo-load coefficients"</f>
        <v>Section 508-C: Aggregated groups for pseudo-load coefficients</v>
      </c>
      <c r="D36" s="7"/>
      <c r="E36" s="7"/>
      <c r="F36" s="7"/>
      <c r="G36" s="7"/>
      <c r="H36" s="7"/>
      <c r="I36" s="7"/>
      <c r="J36" s="242"/>
      <c r="K36" s="242"/>
      <c r="L36" s="242"/>
      <c r="M36" s="242"/>
      <c r="N36" s="242"/>
      <c r="O36" s="242"/>
      <c r="P36" s="242"/>
      <c r="Q36" s="242"/>
      <c r="R36" s="242"/>
      <c r="S36" s="242"/>
      <c r="T36" s="242"/>
      <c r="U36" s="242"/>
      <c r="V36" s="242"/>
      <c r="W36" s="242"/>
      <c r="X36" s="242"/>
      <c r="Y36" s="242"/>
      <c r="Z36" s="7"/>
      <c r="AA36" s="7"/>
    </row>
    <row r="37" spans="3:27" x14ac:dyDescent="0.25">
      <c r="J37" s="252"/>
      <c r="K37" s="252"/>
      <c r="L37" s="252"/>
      <c r="M37" s="252"/>
      <c r="N37" s="252"/>
      <c r="O37" s="252"/>
      <c r="P37" s="252"/>
      <c r="Q37" s="252"/>
      <c r="R37" s="252"/>
      <c r="S37" s="252"/>
      <c r="T37" s="252"/>
      <c r="U37" s="252"/>
      <c r="V37" s="252"/>
      <c r="W37" s="252"/>
      <c r="X37" s="252"/>
      <c r="Y37" s="252"/>
    </row>
    <row r="38" spans="3:27" x14ac:dyDescent="0.25">
      <c r="E38" s="14" t="s">
        <v>945</v>
      </c>
      <c r="F38" s="14"/>
      <c r="G38" s="14" t="s">
        <v>426</v>
      </c>
      <c r="I38" s="293" t="s">
        <v>359</v>
      </c>
      <c r="J38" s="394">
        <f>'Fixed inputs'!J149</f>
        <v>1</v>
      </c>
      <c r="K38" s="394">
        <f>'Fixed inputs'!K149</f>
        <v>1</v>
      </c>
      <c r="L38" s="394">
        <f>'Fixed inputs'!L149</f>
        <v>2</v>
      </c>
      <c r="M38" s="394">
        <f>'Fixed inputs'!M149</f>
        <v>2</v>
      </c>
      <c r="N38" s="394">
        <f>'Fixed inputs'!N149</f>
        <v>3</v>
      </c>
      <c r="O38" s="394">
        <f>'Fixed inputs'!O149</f>
        <v>4</v>
      </c>
      <c r="P38" s="394">
        <f>'Fixed inputs'!P149</f>
        <v>5</v>
      </c>
      <c r="Q38" s="395"/>
      <c r="R38" s="395"/>
      <c r="S38" s="395"/>
      <c r="T38" s="395"/>
      <c r="U38" s="395"/>
      <c r="V38" s="395"/>
      <c r="W38" s="395"/>
      <c r="X38" s="395"/>
      <c r="Y38" s="395"/>
      <c r="AA38" s="293" t="s">
        <v>948</v>
      </c>
    </row>
    <row r="39" spans="3:27" x14ac:dyDescent="0.25">
      <c r="J39" s="252"/>
      <c r="K39" s="252"/>
      <c r="L39" s="252"/>
      <c r="M39" s="252"/>
      <c r="N39" s="252"/>
      <c r="O39" s="252"/>
      <c r="P39" s="252"/>
      <c r="Q39" s="252"/>
      <c r="R39" s="252"/>
      <c r="S39" s="252"/>
      <c r="T39" s="252"/>
      <c r="U39" s="252"/>
      <c r="V39" s="252"/>
      <c r="W39" s="252"/>
      <c r="X39" s="252"/>
      <c r="Y39" s="252"/>
    </row>
    <row r="40" spans="3:27" x14ac:dyDescent="0.25">
      <c r="E40" s="96" t="s">
        <v>949</v>
      </c>
      <c r="J40" s="252"/>
      <c r="K40" s="252"/>
      <c r="L40" s="252"/>
      <c r="M40" s="252"/>
      <c r="N40" s="252"/>
      <c r="O40" s="252"/>
      <c r="P40" s="252"/>
      <c r="Q40" s="252"/>
      <c r="R40" s="252"/>
      <c r="S40" s="252"/>
      <c r="T40" s="252"/>
      <c r="U40" s="252"/>
      <c r="V40" s="252"/>
      <c r="W40" s="252"/>
      <c r="X40" s="252"/>
      <c r="Y40" s="252"/>
    </row>
    <row r="41" spans="3:27" x14ac:dyDescent="0.25">
      <c r="E41" s="82" t="s">
        <v>340</v>
      </c>
    </row>
    <row r="42" spans="3:27" x14ac:dyDescent="0.25">
      <c r="F42" s="16" t="s">
        <v>243</v>
      </c>
      <c r="G42" s="16" t="s">
        <v>94</v>
      </c>
      <c r="H42" s="91"/>
      <c r="I42" s="91"/>
      <c r="J42" s="180">
        <f t="shared" ref="J42:P44" si="1">SUMIF($J$38:$Y$38, J$38, $J31:$Y31) / SUMIF($J$38:$Y$38, J$38, $J$34:$Y$34)</f>
        <v>0.12596632588152817</v>
      </c>
      <c r="K42" s="180">
        <f t="shared" si="1"/>
        <v>0.12596632588152817</v>
      </c>
      <c r="L42" s="180">
        <f t="shared" si="1"/>
        <v>9.8341738002640067E-2</v>
      </c>
      <c r="M42" s="180">
        <f t="shared" si="1"/>
        <v>9.8341738002640067E-2</v>
      </c>
      <c r="N42" s="180">
        <f t="shared" si="1"/>
        <v>0.10314237136407757</v>
      </c>
      <c r="O42" s="180">
        <f t="shared" si="1"/>
        <v>9.9650404826683733E-2</v>
      </c>
      <c r="P42" s="180">
        <f t="shared" si="1"/>
        <v>9.612496614677711E-2</v>
      </c>
      <c r="Q42" s="132"/>
      <c r="R42" s="132"/>
      <c r="S42" s="132"/>
      <c r="T42" s="132"/>
      <c r="U42" s="132"/>
      <c r="V42" s="132"/>
      <c r="W42" s="132"/>
      <c r="X42" s="132"/>
      <c r="Y42" s="132"/>
    </row>
    <row r="43" spans="3:27" x14ac:dyDescent="0.25">
      <c r="F43" s="14" t="s">
        <v>244</v>
      </c>
      <c r="G43" s="14" t="s">
        <v>94</v>
      </c>
      <c r="J43" s="391">
        <f t="shared" si="1"/>
        <v>0.55869805758564117</v>
      </c>
      <c r="K43" s="391">
        <f t="shared" si="1"/>
        <v>0.55869805758564117</v>
      </c>
      <c r="L43" s="391">
        <f t="shared" si="1"/>
        <v>0.62003524211824235</v>
      </c>
      <c r="M43" s="391">
        <f t="shared" si="1"/>
        <v>0.62003524211824235</v>
      </c>
      <c r="N43" s="391">
        <f t="shared" si="1"/>
        <v>0.58818524290726037</v>
      </c>
      <c r="O43" s="391">
        <f t="shared" si="1"/>
        <v>0.54584023253030756</v>
      </c>
      <c r="P43" s="391">
        <f t="shared" si="1"/>
        <v>0.5362204746898902</v>
      </c>
      <c r="Q43" s="370"/>
      <c r="R43" s="370"/>
      <c r="S43" s="370"/>
      <c r="T43" s="370"/>
      <c r="U43" s="370"/>
      <c r="V43" s="370"/>
      <c r="W43" s="370"/>
      <c r="X43" s="370"/>
      <c r="Y43" s="370"/>
    </row>
    <row r="44" spans="3:27" x14ac:dyDescent="0.25">
      <c r="F44" s="15" t="s">
        <v>86</v>
      </c>
      <c r="G44" s="15" t="s">
        <v>94</v>
      </c>
      <c r="H44" s="93"/>
      <c r="I44" s="93"/>
      <c r="J44" s="181">
        <f t="shared" si="1"/>
        <v>0.3153356165328306</v>
      </c>
      <c r="K44" s="181">
        <f t="shared" si="1"/>
        <v>0.3153356165328306</v>
      </c>
      <c r="L44" s="181">
        <f t="shared" si="1"/>
        <v>0.28162301987911759</v>
      </c>
      <c r="M44" s="181">
        <f t="shared" si="1"/>
        <v>0.28162301987911759</v>
      </c>
      <c r="N44" s="181">
        <f t="shared" si="1"/>
        <v>0.3086723857286619</v>
      </c>
      <c r="O44" s="181">
        <f t="shared" si="1"/>
        <v>0.35450936264300864</v>
      </c>
      <c r="P44" s="181">
        <f t="shared" si="1"/>
        <v>0.36765455916333273</v>
      </c>
      <c r="Q44" s="38"/>
      <c r="R44" s="38"/>
      <c r="S44" s="38"/>
      <c r="T44" s="38"/>
      <c r="U44" s="38"/>
      <c r="V44" s="38"/>
      <c r="W44" s="38"/>
      <c r="X44" s="38"/>
      <c r="Y44" s="38"/>
    </row>
    <row r="45" spans="3:27" x14ac:dyDescent="0.25">
      <c r="J45" s="252"/>
      <c r="K45" s="252"/>
      <c r="L45" s="252"/>
      <c r="M45" s="252"/>
      <c r="N45" s="252"/>
      <c r="O45" s="252"/>
      <c r="P45" s="252"/>
      <c r="Q45" s="252"/>
      <c r="R45" s="252"/>
      <c r="S45" s="252"/>
      <c r="T45" s="252"/>
      <c r="U45" s="252"/>
      <c r="V45" s="252"/>
      <c r="W45" s="252"/>
      <c r="X45" s="252"/>
      <c r="Y45" s="252"/>
    </row>
    <row r="46" spans="3:27" x14ac:dyDescent="0.25">
      <c r="E46" s="96" t="s">
        <v>950</v>
      </c>
      <c r="F46" s="14"/>
      <c r="G46" s="14"/>
    </row>
    <row r="47" spans="3:27" x14ac:dyDescent="0.25">
      <c r="E47" s="82" t="s">
        <v>340</v>
      </c>
    </row>
    <row r="48" spans="3:27" x14ac:dyDescent="0.25">
      <c r="F48" s="16" t="s">
        <v>243</v>
      </c>
      <c r="G48" s="16" t="s">
        <v>94</v>
      </c>
      <c r="H48" s="91"/>
      <c r="I48" s="91"/>
      <c r="J48" s="180">
        <f>IF(ISNUMBER(J$38), J42, IF(J$34 = 0, 0, J31 / J$34))</f>
        <v>0.12596632588152817</v>
      </c>
      <c r="K48" s="180">
        <f t="shared" ref="K48:Y48" si="2">IF(ISNUMBER(K$38), K42, IF(K$34 = 0, 0, K31 / K$34))</f>
        <v>0.12596632588152817</v>
      </c>
      <c r="L48" s="180">
        <f t="shared" si="2"/>
        <v>9.8341738002640067E-2</v>
      </c>
      <c r="M48" s="180">
        <f t="shared" si="2"/>
        <v>9.8341738002640067E-2</v>
      </c>
      <c r="N48" s="180">
        <f t="shared" si="2"/>
        <v>0.10314237136407757</v>
      </c>
      <c r="O48" s="180">
        <f t="shared" si="2"/>
        <v>9.9650404826683733E-2</v>
      </c>
      <c r="P48" s="180">
        <f t="shared" si="2"/>
        <v>9.612496614677711E-2</v>
      </c>
      <c r="Q48" s="180">
        <f t="shared" si="2"/>
        <v>5.9247121403565209E-2</v>
      </c>
      <c r="R48" s="180">
        <f t="shared" si="2"/>
        <v>0.10101660120445065</v>
      </c>
      <c r="S48" s="180">
        <f t="shared" si="2"/>
        <v>0.10555712284246332</v>
      </c>
      <c r="T48" s="180">
        <f t="shared" si="2"/>
        <v>7.8012631220311907E-2</v>
      </c>
      <c r="U48" s="180">
        <f t="shared" si="2"/>
        <v>0</v>
      </c>
      <c r="V48" s="180">
        <f t="shared" si="2"/>
        <v>0</v>
      </c>
      <c r="W48" s="180">
        <f t="shared" si="2"/>
        <v>0</v>
      </c>
      <c r="X48" s="180">
        <f t="shared" si="2"/>
        <v>9.7875901862052875E-2</v>
      </c>
      <c r="Y48" s="180">
        <f t="shared" si="2"/>
        <v>0</v>
      </c>
    </row>
    <row r="49" spans="2:27" x14ac:dyDescent="0.25">
      <c r="F49" s="14" t="s">
        <v>244</v>
      </c>
      <c r="G49" s="14" t="s">
        <v>94</v>
      </c>
      <c r="J49" s="391">
        <f t="shared" ref="J49:Y50" si="3">IF(ISNUMBER(J$38), J43, IF(J$34 = 0, 0, J32 / J$34))</f>
        <v>0.55869805758564117</v>
      </c>
      <c r="K49" s="391">
        <f t="shared" si="3"/>
        <v>0.55869805758564117</v>
      </c>
      <c r="L49" s="391">
        <f t="shared" si="3"/>
        <v>0.62003524211824235</v>
      </c>
      <c r="M49" s="391">
        <f t="shared" si="3"/>
        <v>0.62003524211824235</v>
      </c>
      <c r="N49" s="391">
        <f t="shared" si="3"/>
        <v>0.58818524290726037</v>
      </c>
      <c r="O49" s="391">
        <f t="shared" si="3"/>
        <v>0.54584023253030756</v>
      </c>
      <c r="P49" s="391">
        <f t="shared" si="3"/>
        <v>0.5362204746898902</v>
      </c>
      <c r="Q49" s="391">
        <f t="shared" si="3"/>
        <v>0.37610406447920997</v>
      </c>
      <c r="R49" s="391">
        <f t="shared" si="3"/>
        <v>0.79447262337881275</v>
      </c>
      <c r="S49" s="391">
        <f t="shared" si="3"/>
        <v>0.77376580624493629</v>
      </c>
      <c r="T49" s="391">
        <f t="shared" si="3"/>
        <v>0.73047262035924609</v>
      </c>
      <c r="U49" s="391">
        <f t="shared" si="3"/>
        <v>0</v>
      </c>
      <c r="V49" s="391">
        <f t="shared" si="3"/>
        <v>0</v>
      </c>
      <c r="W49" s="391">
        <f t="shared" si="3"/>
        <v>0</v>
      </c>
      <c r="X49" s="391">
        <f t="shared" si="3"/>
        <v>0.60553647232350671</v>
      </c>
      <c r="Y49" s="391">
        <f t="shared" si="3"/>
        <v>0</v>
      </c>
    </row>
    <row r="50" spans="2:27" x14ac:dyDescent="0.25">
      <c r="F50" s="15" t="s">
        <v>86</v>
      </c>
      <c r="G50" s="15" t="s">
        <v>94</v>
      </c>
      <c r="H50" s="93"/>
      <c r="I50" s="93"/>
      <c r="J50" s="181">
        <f t="shared" si="3"/>
        <v>0.3153356165328306</v>
      </c>
      <c r="K50" s="181">
        <f t="shared" si="3"/>
        <v>0.3153356165328306</v>
      </c>
      <c r="L50" s="181">
        <f t="shared" si="3"/>
        <v>0.28162301987911759</v>
      </c>
      <c r="M50" s="181">
        <f t="shared" si="3"/>
        <v>0.28162301987911759</v>
      </c>
      <c r="N50" s="181">
        <f t="shared" si="3"/>
        <v>0.3086723857286619</v>
      </c>
      <c r="O50" s="181">
        <f t="shared" si="3"/>
        <v>0.35450936264300864</v>
      </c>
      <c r="P50" s="181">
        <f t="shared" si="3"/>
        <v>0.36765455916333273</v>
      </c>
      <c r="Q50" s="181">
        <f t="shared" si="3"/>
        <v>0.56464881411722478</v>
      </c>
      <c r="R50" s="181">
        <f t="shared" si="3"/>
        <v>0.10451077541673662</v>
      </c>
      <c r="S50" s="181">
        <f t="shared" si="3"/>
        <v>0.12067707091260031</v>
      </c>
      <c r="T50" s="181">
        <f t="shared" si="3"/>
        <v>0.19151474842044205</v>
      </c>
      <c r="U50" s="181">
        <f t="shared" si="3"/>
        <v>0</v>
      </c>
      <c r="V50" s="181">
        <f t="shared" si="3"/>
        <v>0</v>
      </c>
      <c r="W50" s="181">
        <f t="shared" si="3"/>
        <v>0</v>
      </c>
      <c r="X50" s="181">
        <f t="shared" si="3"/>
        <v>0.29658762581444048</v>
      </c>
      <c r="Y50" s="181">
        <f t="shared" si="3"/>
        <v>0</v>
      </c>
    </row>
    <row r="52" spans="2:27" x14ac:dyDescent="0.25">
      <c r="C52" s="7" t="str">
        <f ca="1">INDEX('Version control'!$H$35:$H$61,MATCH($A$1,'Version control'!$F$35:$F$61,0),1)&amp;"-D: Ratio of coincidence to load factor assuming units evenly spread within time bands, and peak falls in Red period"</f>
        <v>Section 508-D: Ratio of coincidence to load factor assuming units evenly spread within time bands, and peak falls in Red period</v>
      </c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  <c r="AA52" s="7"/>
    </row>
    <row r="54" spans="2:27" x14ac:dyDescent="0.25">
      <c r="E54" s="293" t="s">
        <v>212</v>
      </c>
      <c r="G54" s="293" t="s">
        <v>427</v>
      </c>
      <c r="H54" s="252"/>
      <c r="I54" s="252"/>
      <c r="J54" s="252">
        <f t="shared" ref="J54:Y54" si="4">J48 * hours_in_year / J24</f>
        <v>1.4185746237735173</v>
      </c>
      <c r="K54" s="252">
        <f t="shared" si="4"/>
        <v>1.4185746237735173</v>
      </c>
      <c r="L54" s="252">
        <f t="shared" si="4"/>
        <v>1.1074792648912697</v>
      </c>
      <c r="M54" s="252">
        <f t="shared" si="4"/>
        <v>1.1074792648912697</v>
      </c>
      <c r="N54" s="252">
        <f t="shared" si="4"/>
        <v>1.1615417821308427</v>
      </c>
      <c r="O54" s="252">
        <f t="shared" si="4"/>
        <v>1.1222168666635768</v>
      </c>
      <c r="P54" s="252">
        <f t="shared" si="4"/>
        <v>1.0825150033760131</v>
      </c>
      <c r="Q54" s="252">
        <f t="shared" si="4"/>
        <v>1.9939720858579189</v>
      </c>
      <c r="R54" s="252">
        <f t="shared" si="4"/>
        <v>1.1376023397178134</v>
      </c>
      <c r="S54" s="252">
        <f t="shared" si="4"/>
        <v>1.1887355987797408</v>
      </c>
      <c r="T54" s="252">
        <f t="shared" si="4"/>
        <v>0.8785422469733587</v>
      </c>
      <c r="U54" s="252">
        <f t="shared" si="4"/>
        <v>0</v>
      </c>
      <c r="V54" s="252">
        <f t="shared" si="4"/>
        <v>0</v>
      </c>
      <c r="W54" s="252">
        <f t="shared" si="4"/>
        <v>0</v>
      </c>
      <c r="X54" s="252">
        <f t="shared" si="4"/>
        <v>1.1022332332772724</v>
      </c>
      <c r="Y54" s="252">
        <f t="shared" si="4"/>
        <v>0</v>
      </c>
    </row>
    <row r="55" spans="2:27" x14ac:dyDescent="0.25">
      <c r="J55" s="90"/>
      <c r="K55" s="90"/>
      <c r="L55" s="90"/>
      <c r="M55" s="90"/>
      <c r="N55" s="90"/>
      <c r="O55" s="90"/>
      <c r="P55" s="90"/>
      <c r="Q55" s="90"/>
      <c r="R55" s="90"/>
      <c r="S55" s="90"/>
      <c r="T55" s="90"/>
      <c r="U55" s="90"/>
      <c r="V55" s="90"/>
      <c r="W55" s="90"/>
      <c r="X55" s="90"/>
      <c r="Y55" s="90"/>
    </row>
    <row r="56" spans="2:27" x14ac:dyDescent="0.25">
      <c r="B56" s="95" t="s">
        <v>833</v>
      </c>
      <c r="C56" s="72"/>
      <c r="D56" s="71"/>
      <c r="E56" s="71"/>
      <c r="F56" s="72"/>
      <c r="G56" s="72"/>
      <c r="H56" s="72"/>
      <c r="I56" s="72"/>
      <c r="J56" s="72"/>
      <c r="K56" s="72"/>
      <c r="L56" s="72"/>
      <c r="M56" s="72"/>
      <c r="N56" s="72"/>
      <c r="O56" s="72"/>
      <c r="P56" s="72"/>
      <c r="Q56" s="72"/>
      <c r="R56" s="72"/>
      <c r="S56" s="72"/>
      <c r="T56" s="72"/>
      <c r="U56" s="72"/>
      <c r="V56" s="72"/>
      <c r="W56" s="72"/>
      <c r="X56" s="72"/>
      <c r="Y56" s="72"/>
      <c r="Z56" s="72"/>
      <c r="AA56" s="72"/>
    </row>
    <row r="57" spans="2:27" x14ac:dyDescent="0.25">
      <c r="F57" s="14"/>
      <c r="G57" s="14"/>
    </row>
    <row r="58" spans="2:27" x14ac:dyDescent="0.25">
      <c r="C58" s="82" t="s">
        <v>817</v>
      </c>
      <c r="F58" s="14"/>
      <c r="G58" s="14"/>
    </row>
    <row r="59" spans="2:27" x14ac:dyDescent="0.25">
      <c r="F59" s="14"/>
      <c r="G59" s="14"/>
    </row>
    <row r="60" spans="2:27" x14ac:dyDescent="0.25">
      <c r="C60" s="7" t="str">
        <f ca="1">INDEX('Version control'!$H$35:$H$61,MATCH($A$1,'Version control'!$F$35:$F$61,0),1)&amp;"-E: Load characteristics for all customers"</f>
        <v>Section 508-E: Load characteristics for all customers</v>
      </c>
      <c r="D60" s="7"/>
      <c r="E60" s="7"/>
      <c r="F60" s="7"/>
      <c r="G60" s="7"/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  <c r="AA60" s="7"/>
    </row>
    <row r="61" spans="2:27" x14ac:dyDescent="0.25">
      <c r="D61" s="96"/>
      <c r="J61" s="143"/>
      <c r="K61" s="143"/>
      <c r="L61" s="143"/>
      <c r="M61" s="143"/>
      <c r="N61" s="143"/>
      <c r="O61" s="143"/>
      <c r="P61" s="143"/>
      <c r="Q61" s="143"/>
      <c r="R61" s="143"/>
      <c r="S61" s="143"/>
      <c r="T61" s="143"/>
      <c r="U61" s="143"/>
      <c r="V61" s="143"/>
      <c r="W61" s="143"/>
      <c r="X61" s="143"/>
      <c r="Y61" s="143"/>
    </row>
    <row r="62" spans="2:27" x14ac:dyDescent="0.25">
      <c r="E62" s="14" t="s">
        <v>71</v>
      </c>
      <c r="G62" s="14" t="s">
        <v>94</v>
      </c>
      <c r="J62" s="143">
        <f>'Inputs by customer type'!J18</f>
        <v>0.42835382687488854</v>
      </c>
      <c r="K62" s="143">
        <f>'Inputs by customer type'!K18</f>
        <v>6.8464264140201E-2</v>
      </c>
      <c r="L62" s="143">
        <f>'Inputs by customer type'!L18</f>
        <v>0.41310729677387908</v>
      </c>
      <c r="M62" s="143">
        <f>'Inputs by customer type'!M18</f>
        <v>0.18726120416306516</v>
      </c>
      <c r="N62" s="143">
        <f>'Inputs by customer type'!N18</f>
        <v>0.56573192241822068</v>
      </c>
      <c r="O62" s="143">
        <f>'Inputs by customer type'!O18</f>
        <v>0.69979416227057245</v>
      </c>
      <c r="P62" s="143">
        <f>'Inputs by customer type'!P18</f>
        <v>0.6939299240123632</v>
      </c>
      <c r="Q62" s="143">
        <f>'Inputs by customer type'!Q18</f>
        <v>0.4735373613290324</v>
      </c>
      <c r="R62" s="143">
        <f>'Inputs by customer type'!R18</f>
        <v>0</v>
      </c>
      <c r="S62" s="143">
        <f>'Inputs by customer type'!S18</f>
        <v>0</v>
      </c>
      <c r="T62" s="143">
        <f>'Inputs by customer type'!T18</f>
        <v>0</v>
      </c>
      <c r="U62" s="143">
        <f>'Inputs by customer type'!U18</f>
        <v>0</v>
      </c>
      <c r="V62" s="143">
        <f>'Inputs by customer type'!V18</f>
        <v>0</v>
      </c>
      <c r="W62" s="143">
        <f>'Inputs by customer type'!W18</f>
        <v>0</v>
      </c>
      <c r="X62" s="143">
        <f>'Inputs by customer type'!X18</f>
        <v>0</v>
      </c>
      <c r="Y62" s="143">
        <f>'Inputs by customer type'!Y18</f>
        <v>0</v>
      </c>
    </row>
    <row r="63" spans="2:27" x14ac:dyDescent="0.25">
      <c r="E63" s="14" t="s">
        <v>70</v>
      </c>
      <c r="G63" s="14" t="s">
        <v>94</v>
      </c>
      <c r="J63" s="143">
        <f>'Inputs by customer type'!J19</f>
        <v>0.90641726855328708</v>
      </c>
      <c r="K63" s="143">
        <f>'Inputs by customer type'!K19</f>
        <v>0</v>
      </c>
      <c r="L63" s="143">
        <f>'Inputs by customer type'!L19</f>
        <v>0.60026303804604864</v>
      </c>
      <c r="M63" s="143">
        <f>'Inputs by customer type'!M19</f>
        <v>0</v>
      </c>
      <c r="N63" s="143">
        <f>'Inputs by customer type'!N19</f>
        <v>0.74745273987511418</v>
      </c>
      <c r="O63" s="143">
        <f>'Inputs by customer type'!O19</f>
        <v>0.74459824015700671</v>
      </c>
      <c r="P63" s="143">
        <f>'Inputs by customer type'!P19</f>
        <v>0.75390108012230195</v>
      </c>
      <c r="Q63" s="143">
        <f>'Inputs by customer type'!Q19</f>
        <v>0.91973646787716767</v>
      </c>
      <c r="R63" s="143">
        <f>'Inputs by customer type'!R19</f>
        <v>0</v>
      </c>
      <c r="S63" s="143">
        <f>'Inputs by customer type'!S19</f>
        <v>0</v>
      </c>
      <c r="T63" s="143">
        <f>'Inputs by customer type'!T19</f>
        <v>0</v>
      </c>
      <c r="U63" s="143">
        <f>'Inputs by customer type'!U19</f>
        <v>0</v>
      </c>
      <c r="V63" s="143">
        <f>'Inputs by customer type'!V19</f>
        <v>0</v>
      </c>
      <c r="W63" s="143">
        <f>'Inputs by customer type'!W19</f>
        <v>0</v>
      </c>
      <c r="X63" s="143">
        <f>'Inputs by customer type'!X19</f>
        <v>0</v>
      </c>
      <c r="Y63" s="143">
        <f>'Inputs by customer type'!Y19</f>
        <v>0</v>
      </c>
    </row>
    <row r="64" spans="2:27" x14ac:dyDescent="0.25">
      <c r="F64" s="14"/>
      <c r="G64" s="14"/>
      <c r="J64" s="143"/>
      <c r="K64" s="143"/>
      <c r="L64" s="143"/>
      <c r="M64" s="143"/>
      <c r="N64" s="143"/>
      <c r="O64" s="143"/>
      <c r="P64" s="143"/>
      <c r="Q64" s="143"/>
      <c r="R64" s="143"/>
      <c r="S64" s="143"/>
      <c r="T64" s="143"/>
      <c r="U64" s="143"/>
      <c r="V64" s="143"/>
      <c r="W64" s="143"/>
      <c r="X64" s="143"/>
      <c r="Y64" s="143"/>
    </row>
    <row r="65" spans="3:27" x14ac:dyDescent="0.25">
      <c r="C65" s="7" t="str">
        <f ca="1">INDEX('Version control'!$H$35:$H$61,MATCH($A$1,'Version control'!$F$35:$F$61,0),1)&amp;"-F: Aggregated load characteristics for grouped customers"</f>
        <v>Section 508-F: Aggregated load characteristics for grouped customers</v>
      </c>
      <c r="D65" s="7"/>
      <c r="E65" s="7"/>
      <c r="F65" s="7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Z65" s="7"/>
      <c r="AA65" s="7"/>
    </row>
    <row r="67" spans="3:27" x14ac:dyDescent="0.25">
      <c r="D67" s="96" t="s">
        <v>246</v>
      </c>
      <c r="E67" s="14"/>
      <c r="F67" s="14"/>
      <c r="G67" s="14"/>
    </row>
    <row r="68" spans="3:27" x14ac:dyDescent="0.25">
      <c r="D68" s="96"/>
      <c r="E68" s="14"/>
      <c r="F68" s="14"/>
      <c r="G68" s="14"/>
    </row>
    <row r="69" spans="3:27" x14ac:dyDescent="0.25">
      <c r="D69" s="96"/>
      <c r="E69" s="14" t="s">
        <v>323</v>
      </c>
      <c r="F69" s="14"/>
      <c r="G69" s="14" t="s">
        <v>102</v>
      </c>
      <c r="J69" s="252">
        <f t="shared" ref="J69:P69" si="5">J34 / hours_in_year</f>
        <v>1382.5099045409195</v>
      </c>
      <c r="K69" s="252">
        <f t="shared" si="5"/>
        <v>17.127353196933409</v>
      </c>
      <c r="L69" s="252">
        <f t="shared" si="5"/>
        <v>352.44353645886309</v>
      </c>
      <c r="M69" s="252">
        <f t="shared" si="5"/>
        <v>3.6320450961540658</v>
      </c>
      <c r="N69" s="252">
        <f t="shared" si="5"/>
        <v>577.29374889887151</v>
      </c>
      <c r="O69" s="252">
        <f t="shared" si="5"/>
        <v>39.742681828140611</v>
      </c>
      <c r="P69" s="252">
        <f t="shared" si="5"/>
        <v>500.21426249987434</v>
      </c>
      <c r="Q69" s="395"/>
      <c r="R69" s="395"/>
      <c r="S69" s="395"/>
      <c r="T69" s="395"/>
      <c r="U69" s="395"/>
      <c r="V69" s="395"/>
      <c r="W69" s="395"/>
      <c r="X69" s="395"/>
      <c r="Y69" s="395"/>
    </row>
    <row r="70" spans="3:27" x14ac:dyDescent="0.25">
      <c r="D70" s="96"/>
      <c r="E70" s="14"/>
      <c r="F70" s="14"/>
      <c r="G70" s="14"/>
    </row>
    <row r="71" spans="3:27" x14ac:dyDescent="0.25">
      <c r="D71" s="96"/>
      <c r="E71" s="14" t="s">
        <v>247</v>
      </c>
      <c r="F71" s="14"/>
      <c r="G71" s="14" t="s">
        <v>102</v>
      </c>
      <c r="J71" s="252">
        <f t="shared" ref="J71:P71" si="6">IF(J62 = 0, 0, J34 / (J62 * hours_in_year))</f>
        <v>3227.4951635828756</v>
      </c>
      <c r="K71" s="252">
        <f t="shared" si="6"/>
        <v>250.16486209301897</v>
      </c>
      <c r="L71" s="252">
        <f t="shared" si="6"/>
        <v>853.15253255325274</v>
      </c>
      <c r="M71" s="252">
        <f t="shared" si="6"/>
        <v>19.395608996465267</v>
      </c>
      <c r="N71" s="252">
        <f t="shared" si="6"/>
        <v>1020.436934920041</v>
      </c>
      <c r="O71" s="252">
        <f t="shared" si="6"/>
        <v>56.791959651664349</v>
      </c>
      <c r="P71" s="252">
        <f t="shared" si="6"/>
        <v>720.84261708673978</v>
      </c>
      <c r="Q71" s="395"/>
      <c r="R71" s="395"/>
      <c r="S71" s="395"/>
      <c r="T71" s="395"/>
      <c r="U71" s="395"/>
      <c r="V71" s="395"/>
      <c r="W71" s="395"/>
      <c r="X71" s="395"/>
      <c r="Y71" s="395"/>
    </row>
    <row r="72" spans="3:27" x14ac:dyDescent="0.25">
      <c r="D72" s="96"/>
      <c r="E72" s="14"/>
      <c r="F72" s="14"/>
      <c r="G72" s="14"/>
    </row>
    <row r="73" spans="3:27" x14ac:dyDescent="0.25">
      <c r="D73" s="96"/>
      <c r="E73" s="14" t="s">
        <v>322</v>
      </c>
      <c r="F73" s="14"/>
      <c r="G73" s="14" t="s">
        <v>102</v>
      </c>
      <c r="J73" s="252">
        <f>J71 * J63</f>
        <v>2925.4573504437344</v>
      </c>
      <c r="K73" s="252">
        <f t="shared" ref="K73:P73" si="7">K71 * K63</f>
        <v>0</v>
      </c>
      <c r="L73" s="252">
        <f t="shared" si="7"/>
        <v>512.11593110709589</v>
      </c>
      <c r="M73" s="252">
        <f t="shared" si="7"/>
        <v>0</v>
      </c>
      <c r="N73" s="252">
        <f t="shared" si="7"/>
        <v>762.72838287574825</v>
      </c>
      <c r="O73" s="252">
        <f t="shared" si="7"/>
        <v>42.287193211697009</v>
      </c>
      <c r="P73" s="252">
        <f t="shared" si="7"/>
        <v>543.44402761987999</v>
      </c>
      <c r="Q73" s="395"/>
      <c r="R73" s="395"/>
      <c r="S73" s="395"/>
      <c r="T73" s="395"/>
      <c r="U73" s="395"/>
      <c r="V73" s="395"/>
      <c r="W73" s="395"/>
      <c r="X73" s="395"/>
      <c r="Y73" s="395"/>
    </row>
    <row r="74" spans="3:27" x14ac:dyDescent="0.25">
      <c r="D74" s="96"/>
      <c r="E74" s="14"/>
      <c r="F74" s="14"/>
      <c r="G74" s="14"/>
    </row>
    <row r="75" spans="3:27" x14ac:dyDescent="0.25">
      <c r="D75" s="96" t="s">
        <v>951</v>
      </c>
      <c r="E75" s="14"/>
      <c r="F75" s="14"/>
      <c r="G75" s="14"/>
    </row>
    <row r="76" spans="3:27" x14ac:dyDescent="0.25">
      <c r="D76" s="96"/>
      <c r="E76" s="14"/>
      <c r="F76" s="14"/>
      <c r="G76" s="14"/>
    </row>
    <row r="77" spans="3:27" x14ac:dyDescent="0.25">
      <c r="D77" s="96"/>
      <c r="E77" s="14" t="s">
        <v>71</v>
      </c>
      <c r="F77" s="14"/>
      <c r="G77" s="14" t="s">
        <v>94</v>
      </c>
      <c r="J77" s="391">
        <f t="shared" ref="J77:P77" si="8">SUMIF($J$38:$Y$38, J$38, $J$69:$Y$69) / SUMIF($J$38:$Y$38, J$38, $J$71:$Y$71)</f>
        <v>0.4024652344979664</v>
      </c>
      <c r="K77" s="391">
        <f t="shared" si="8"/>
        <v>0.4024652344979664</v>
      </c>
      <c r="L77" s="391">
        <f t="shared" si="8"/>
        <v>0.40808703222105008</v>
      </c>
      <c r="M77" s="391">
        <f t="shared" si="8"/>
        <v>0.40808703222105008</v>
      </c>
      <c r="N77" s="391">
        <f t="shared" si="8"/>
        <v>0.56573192241822068</v>
      </c>
      <c r="O77" s="391">
        <f t="shared" si="8"/>
        <v>0.69979416227057256</v>
      </c>
      <c r="P77" s="391">
        <f t="shared" si="8"/>
        <v>0.6939299240123632</v>
      </c>
      <c r="Q77" s="395"/>
      <c r="R77" s="395"/>
      <c r="S77" s="395"/>
      <c r="T77" s="395"/>
      <c r="U77" s="395"/>
      <c r="V77" s="395"/>
      <c r="W77" s="395"/>
      <c r="X77" s="395"/>
      <c r="Y77" s="395"/>
    </row>
    <row r="78" spans="3:27" x14ac:dyDescent="0.25">
      <c r="D78" s="96"/>
      <c r="E78" s="14"/>
      <c r="F78" s="14"/>
      <c r="G78" s="14"/>
    </row>
    <row r="79" spans="3:27" x14ac:dyDescent="0.25">
      <c r="D79" s="96"/>
      <c r="E79" s="14" t="s">
        <v>70</v>
      </c>
      <c r="F79" s="14"/>
      <c r="G79" s="14" t="s">
        <v>94</v>
      </c>
      <c r="J79" s="391">
        <f t="shared" ref="J79:P79" si="9">SUMIF($J$38:$Y$38, J$38, $J$73:$Y$73) / SUMIF($J$38:$Y$38, J$38, $J$71:$Y$71)</f>
        <v>0.84121430181351964</v>
      </c>
      <c r="K79" s="391">
        <f t="shared" si="9"/>
        <v>0.84121430181351964</v>
      </c>
      <c r="L79" s="391">
        <f t="shared" si="9"/>
        <v>0.58691997234391613</v>
      </c>
      <c r="M79" s="391">
        <f t="shared" si="9"/>
        <v>0.58691997234391613</v>
      </c>
      <c r="N79" s="391">
        <f t="shared" si="9"/>
        <v>0.74745273987511418</v>
      </c>
      <c r="O79" s="391">
        <f t="shared" si="9"/>
        <v>0.74459824015700671</v>
      </c>
      <c r="P79" s="391">
        <f t="shared" si="9"/>
        <v>0.75390108012230195</v>
      </c>
      <c r="Q79" s="395"/>
      <c r="R79" s="395"/>
      <c r="S79" s="395"/>
      <c r="T79" s="395"/>
      <c r="U79" s="395"/>
      <c r="V79" s="395"/>
      <c r="W79" s="395"/>
      <c r="X79" s="395"/>
      <c r="Y79" s="395"/>
    </row>
    <row r="80" spans="3:27" x14ac:dyDescent="0.25">
      <c r="D80" s="96"/>
      <c r="E80" s="14"/>
      <c r="F80" s="14"/>
      <c r="G80" s="14"/>
    </row>
    <row r="81" spans="2:27" x14ac:dyDescent="0.25">
      <c r="D81" s="96" t="s">
        <v>952</v>
      </c>
      <c r="E81" s="14"/>
      <c r="F81" s="14"/>
      <c r="G81" s="14"/>
    </row>
    <row r="82" spans="2:27" x14ac:dyDescent="0.25">
      <c r="D82" s="14"/>
      <c r="E82" s="14"/>
      <c r="F82" s="14"/>
      <c r="G82" s="14"/>
    </row>
    <row r="83" spans="2:27" x14ac:dyDescent="0.25">
      <c r="D83" s="14"/>
      <c r="E83" s="14" t="s">
        <v>71</v>
      </c>
      <c r="F83" s="14"/>
      <c r="G83" s="14" t="s">
        <v>94</v>
      </c>
      <c r="J83" s="391">
        <f>IF(J$38 = 0, J62, J77)</f>
        <v>0.4024652344979664</v>
      </c>
      <c r="K83" s="391">
        <f t="shared" ref="K83:Y83" si="10">IF(K$38 = 0, K62, K77)</f>
        <v>0.4024652344979664</v>
      </c>
      <c r="L83" s="391">
        <f t="shared" si="10"/>
        <v>0.40808703222105008</v>
      </c>
      <c r="M83" s="391">
        <f>IF(M$38 = 0, M62, M77)</f>
        <v>0.40808703222105008</v>
      </c>
      <c r="N83" s="391">
        <f t="shared" si="10"/>
        <v>0.56573192241822068</v>
      </c>
      <c r="O83" s="391">
        <f t="shared" si="10"/>
        <v>0.69979416227057256</v>
      </c>
      <c r="P83" s="391">
        <f t="shared" si="10"/>
        <v>0.6939299240123632</v>
      </c>
      <c r="Q83" s="391">
        <f t="shared" si="10"/>
        <v>0.4735373613290324</v>
      </c>
      <c r="R83" s="391">
        <f t="shared" si="10"/>
        <v>0</v>
      </c>
      <c r="S83" s="391">
        <f t="shared" si="10"/>
        <v>0</v>
      </c>
      <c r="T83" s="391">
        <f t="shared" si="10"/>
        <v>0</v>
      </c>
      <c r="U83" s="391">
        <f t="shared" si="10"/>
        <v>0</v>
      </c>
      <c r="V83" s="391">
        <f t="shared" si="10"/>
        <v>0</v>
      </c>
      <c r="W83" s="391">
        <f t="shared" si="10"/>
        <v>0</v>
      </c>
      <c r="X83" s="391">
        <f t="shared" si="10"/>
        <v>0</v>
      </c>
      <c r="Y83" s="391">
        <f t="shared" si="10"/>
        <v>0</v>
      </c>
    </row>
    <row r="84" spans="2:27" x14ac:dyDescent="0.25">
      <c r="D84" s="14"/>
      <c r="E84" s="14"/>
      <c r="F84" s="14"/>
      <c r="G84" s="14"/>
    </row>
    <row r="85" spans="2:27" x14ac:dyDescent="0.25">
      <c r="D85" s="14"/>
      <c r="E85" s="14" t="s">
        <v>70</v>
      </c>
      <c r="F85" s="14"/>
      <c r="G85" s="14" t="s">
        <v>94</v>
      </c>
      <c r="J85" s="391">
        <f>IF(J38 = 0, J63, J79)</f>
        <v>0.84121430181351964</v>
      </c>
      <c r="K85" s="391">
        <f t="shared" ref="K85:Y85" si="11">IF(K38 = 0, K63, K79)</f>
        <v>0.84121430181351964</v>
      </c>
      <c r="L85" s="391">
        <f t="shared" si="11"/>
        <v>0.58691997234391613</v>
      </c>
      <c r="M85" s="391">
        <f t="shared" si="11"/>
        <v>0.58691997234391613</v>
      </c>
      <c r="N85" s="391">
        <f t="shared" si="11"/>
        <v>0.74745273987511418</v>
      </c>
      <c r="O85" s="391">
        <f t="shared" si="11"/>
        <v>0.74459824015700671</v>
      </c>
      <c r="P85" s="391">
        <f t="shared" si="11"/>
        <v>0.75390108012230195</v>
      </c>
      <c r="Q85" s="391">
        <f t="shared" si="11"/>
        <v>0.91973646787716767</v>
      </c>
      <c r="R85" s="391">
        <f t="shared" si="11"/>
        <v>0</v>
      </c>
      <c r="S85" s="391">
        <f t="shared" si="11"/>
        <v>0</v>
      </c>
      <c r="T85" s="391">
        <f t="shared" si="11"/>
        <v>0</v>
      </c>
      <c r="U85" s="391">
        <f t="shared" si="11"/>
        <v>0</v>
      </c>
      <c r="V85" s="391">
        <f t="shared" si="11"/>
        <v>0</v>
      </c>
      <c r="W85" s="391">
        <f t="shared" si="11"/>
        <v>0</v>
      </c>
      <c r="X85" s="391">
        <f t="shared" si="11"/>
        <v>0</v>
      </c>
      <c r="Y85" s="391">
        <f t="shared" si="11"/>
        <v>0</v>
      </c>
    </row>
    <row r="87" spans="2:27" x14ac:dyDescent="0.25">
      <c r="C87" s="7" t="str">
        <f ca="1">INDEX('Version control'!$H$35:$H$61,MATCH($A$1,'Version control'!$F$35:$F$61,0),1)&amp;"-G: Calculation of correction factor"</f>
        <v>Section 508-G: Calculation of correction factor</v>
      </c>
      <c r="D87" s="7"/>
      <c r="E87" s="7"/>
      <c r="F87" s="7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  <c r="AA87" s="7"/>
    </row>
    <row r="89" spans="2:27" x14ac:dyDescent="0.25">
      <c r="E89" s="14" t="s">
        <v>143</v>
      </c>
      <c r="G89" s="14" t="s">
        <v>427</v>
      </c>
      <c r="J89" s="252">
        <f t="shared" ref="J89:Y89" si="12">IF(AND(J62 = 0, J63 = 0), 1, J63 / J62)</f>
        <v>2.1160480231171808</v>
      </c>
      <c r="K89" s="252">
        <f t="shared" si="12"/>
        <v>0</v>
      </c>
      <c r="L89" s="252">
        <f t="shared" si="12"/>
        <v>1.4530439010246101</v>
      </c>
      <c r="M89" s="252">
        <f t="shared" si="12"/>
        <v>0</v>
      </c>
      <c r="N89" s="252">
        <f t="shared" si="12"/>
        <v>1.321213653067566</v>
      </c>
      <c r="O89" s="252">
        <f t="shared" si="12"/>
        <v>1.0640246522506871</v>
      </c>
      <c r="P89" s="252">
        <f t="shared" si="12"/>
        <v>1.0864224960399176</v>
      </c>
      <c r="Q89" s="252">
        <f t="shared" si="12"/>
        <v>1.9422680087920212</v>
      </c>
      <c r="R89" s="252">
        <f t="shared" si="12"/>
        <v>1</v>
      </c>
      <c r="S89" s="252">
        <f t="shared" si="12"/>
        <v>1</v>
      </c>
      <c r="T89" s="252">
        <f t="shared" si="12"/>
        <v>1</v>
      </c>
      <c r="U89" s="252">
        <f t="shared" si="12"/>
        <v>1</v>
      </c>
      <c r="V89" s="252">
        <f t="shared" si="12"/>
        <v>1</v>
      </c>
      <c r="W89" s="252">
        <f t="shared" si="12"/>
        <v>1</v>
      </c>
      <c r="X89" s="252">
        <f t="shared" si="12"/>
        <v>1</v>
      </c>
      <c r="Y89" s="252">
        <f t="shared" si="12"/>
        <v>1</v>
      </c>
    </row>
    <row r="90" spans="2:27" x14ac:dyDescent="0.25">
      <c r="D90" s="96"/>
      <c r="J90" s="273"/>
      <c r="K90" s="273"/>
      <c r="L90" s="273"/>
      <c r="M90" s="273"/>
      <c r="N90" s="273"/>
      <c r="O90" s="273"/>
      <c r="P90" s="273"/>
      <c r="Q90" s="273"/>
      <c r="R90" s="273"/>
      <c r="S90" s="273"/>
      <c r="T90" s="273"/>
      <c r="U90" s="273"/>
      <c r="V90" s="273"/>
      <c r="W90" s="273"/>
      <c r="X90" s="273"/>
      <c r="Y90" s="273"/>
    </row>
    <row r="91" spans="2:27" x14ac:dyDescent="0.25">
      <c r="E91" s="14" t="s">
        <v>953</v>
      </c>
      <c r="G91" s="14" t="s">
        <v>427</v>
      </c>
      <c r="I91" s="293" t="s">
        <v>359</v>
      </c>
      <c r="J91" s="252">
        <f>IF(AND(J83 = 0, J85 = 0), 1, J85 / J83)</f>
        <v>2.0901539554412625</v>
      </c>
      <c r="K91" s="252">
        <f t="shared" ref="K91:Y91" si="13">IF(AND(K83 = 0, K85 = 0), 1, K85 / K83)</f>
        <v>2.0901539554412625</v>
      </c>
      <c r="L91" s="252">
        <f t="shared" si="13"/>
        <v>1.4382225505906223</v>
      </c>
      <c r="M91" s="252">
        <f t="shared" si="13"/>
        <v>1.4382225505906223</v>
      </c>
      <c r="N91" s="252">
        <f>IF(AND(N83 = 0, N85 = 0), 1, N85 / N83)</f>
        <v>1.321213653067566</v>
      </c>
      <c r="O91" s="252">
        <f t="shared" si="13"/>
        <v>1.0640246522506869</v>
      </c>
      <c r="P91" s="252">
        <f t="shared" si="13"/>
        <v>1.0864224960399176</v>
      </c>
      <c r="Q91" s="252">
        <f t="shared" si="13"/>
        <v>1.9422680087920212</v>
      </c>
      <c r="R91" s="252">
        <f t="shared" si="13"/>
        <v>1</v>
      </c>
      <c r="S91" s="252">
        <f t="shared" si="13"/>
        <v>1</v>
      </c>
      <c r="T91" s="252">
        <f t="shared" si="13"/>
        <v>1</v>
      </c>
      <c r="U91" s="252">
        <f t="shared" si="13"/>
        <v>1</v>
      </c>
      <c r="V91" s="252">
        <f t="shared" si="13"/>
        <v>1</v>
      </c>
      <c r="W91" s="252">
        <f t="shared" si="13"/>
        <v>1</v>
      </c>
      <c r="X91" s="252">
        <f t="shared" si="13"/>
        <v>1</v>
      </c>
      <c r="Y91" s="252">
        <f t="shared" si="13"/>
        <v>1</v>
      </c>
      <c r="Z91" s="252"/>
      <c r="AA91" s="293" t="s">
        <v>948</v>
      </c>
    </row>
    <row r="92" spans="2:27" x14ac:dyDescent="0.25">
      <c r="D92" s="96"/>
      <c r="J92" s="273"/>
      <c r="K92" s="273"/>
      <c r="L92" s="273"/>
      <c r="M92" s="273"/>
      <c r="N92" s="273"/>
      <c r="O92" s="273"/>
      <c r="P92" s="273"/>
      <c r="Q92" s="273"/>
      <c r="R92" s="273"/>
      <c r="S92" s="273"/>
      <c r="T92" s="273"/>
      <c r="U92" s="273"/>
      <c r="V92" s="273"/>
      <c r="W92" s="273"/>
      <c r="X92" s="273"/>
      <c r="Y92" s="273"/>
    </row>
    <row r="93" spans="2:27" x14ac:dyDescent="0.25">
      <c r="E93" s="14" t="s">
        <v>592</v>
      </c>
      <c r="G93" s="14" t="s">
        <v>427</v>
      </c>
      <c r="I93" s="293" t="s">
        <v>359</v>
      </c>
      <c r="J93" s="252">
        <f>IF(OR(J54 = 0, J85 = 0), 1, J91 / J54)</f>
        <v>1.4734184021149996</v>
      </c>
      <c r="K93" s="252">
        <f t="shared" ref="K93:Y93" si="14">IF(OR(K54 = 0, K85 = 0), 1, K91 / K54)</f>
        <v>1.4734184021149996</v>
      </c>
      <c r="L93" s="252">
        <f t="shared" si="14"/>
        <v>1.2986451269873882</v>
      </c>
      <c r="M93" s="252">
        <f t="shared" si="14"/>
        <v>1.2986451269873882</v>
      </c>
      <c r="N93" s="252">
        <f>IF(OR(N54 = 0, N85 = 0), 1, N91 / N54)</f>
        <v>1.1374654561662052</v>
      </c>
      <c r="O93" s="252">
        <f t="shared" si="14"/>
        <v>0.94814530404813901</v>
      </c>
      <c r="P93" s="252">
        <f t="shared" si="14"/>
        <v>1.0036096429626549</v>
      </c>
      <c r="Q93" s="252">
        <f t="shared" si="14"/>
        <v>0.97406980898448658</v>
      </c>
      <c r="R93" s="252">
        <f t="shared" si="14"/>
        <v>1</v>
      </c>
      <c r="S93" s="252">
        <f t="shared" si="14"/>
        <v>1</v>
      </c>
      <c r="T93" s="252">
        <f t="shared" si="14"/>
        <v>1</v>
      </c>
      <c r="U93" s="252">
        <f t="shared" si="14"/>
        <v>1</v>
      </c>
      <c r="V93" s="252">
        <f t="shared" si="14"/>
        <v>1</v>
      </c>
      <c r="W93" s="252">
        <f t="shared" si="14"/>
        <v>1</v>
      </c>
      <c r="X93" s="252">
        <f t="shared" si="14"/>
        <v>1</v>
      </c>
      <c r="Y93" s="252">
        <f t="shared" si="14"/>
        <v>1</v>
      </c>
      <c r="AA93" s="293" t="s">
        <v>750</v>
      </c>
    </row>
    <row r="94" spans="2:27" x14ac:dyDescent="0.25">
      <c r="F94" s="14"/>
      <c r="G94" s="14"/>
    </row>
    <row r="95" spans="2:27" x14ac:dyDescent="0.25">
      <c r="B95" s="95" t="s">
        <v>796</v>
      </c>
      <c r="C95" s="72"/>
      <c r="D95" s="71"/>
      <c r="E95" s="71"/>
      <c r="F95" s="72"/>
      <c r="G95" s="72"/>
      <c r="H95" s="72"/>
      <c r="I95" s="72"/>
      <c r="J95" s="72"/>
      <c r="K95" s="72"/>
      <c r="L95" s="72"/>
      <c r="M95" s="72"/>
      <c r="N95" s="72"/>
      <c r="O95" s="72"/>
      <c r="P95" s="72"/>
      <c r="Q95" s="72"/>
      <c r="R95" s="72"/>
      <c r="S95" s="72"/>
      <c r="T95" s="72"/>
      <c r="U95" s="72"/>
      <c r="V95" s="72"/>
      <c r="W95" s="72"/>
      <c r="X95" s="72"/>
      <c r="Y95" s="72"/>
      <c r="Z95" s="72"/>
      <c r="AA95" s="72"/>
    </row>
    <row r="97" spans="3:27" x14ac:dyDescent="0.25">
      <c r="C97" s="82" t="s">
        <v>797</v>
      </c>
      <c r="I97" s="293" t="s">
        <v>359</v>
      </c>
      <c r="AA97" s="293" t="s">
        <v>751</v>
      </c>
    </row>
    <row r="98" spans="3:27" x14ac:dyDescent="0.25">
      <c r="C98" s="82" t="s">
        <v>641</v>
      </c>
    </row>
    <row r="100" spans="3:27" x14ac:dyDescent="0.25">
      <c r="C100" s="7" t="str">
        <f ca="1">INDEX('Version control'!$H$35:$H$61,MATCH($A$1,'Version control'!$F$35:$F$61,0),1)&amp;"-H: Peaking probabilities, by network level"</f>
        <v>Section 508-H: Peaking probabilities, by network level</v>
      </c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  <c r="AA100" s="7"/>
    </row>
    <row r="102" spans="3:27" x14ac:dyDescent="0.25">
      <c r="E102" s="96" t="s">
        <v>579</v>
      </c>
      <c r="G102" s="14"/>
    </row>
    <row r="103" spans="3:27" x14ac:dyDescent="0.25">
      <c r="F103" s="40" t="s">
        <v>84</v>
      </c>
      <c r="G103" s="16" t="s">
        <v>94</v>
      </c>
      <c r="H103" s="137">
        <f>'Inputs by network level'!K43</f>
        <v>0.85246164448733908</v>
      </c>
    </row>
    <row r="104" spans="3:27" x14ac:dyDescent="0.25">
      <c r="F104" s="109" t="s">
        <v>85</v>
      </c>
      <c r="G104" s="14" t="s">
        <v>94</v>
      </c>
      <c r="H104" s="143">
        <f>'Inputs by network level'!K44</f>
        <v>0.14753835551266087</v>
      </c>
    </row>
    <row r="105" spans="3:27" x14ac:dyDescent="0.25">
      <c r="F105" s="36" t="s">
        <v>86</v>
      </c>
      <c r="G105" s="15" t="s">
        <v>94</v>
      </c>
      <c r="H105" s="390">
        <f>'Inputs by network level'!K45</f>
        <v>0</v>
      </c>
    </row>
    <row r="106" spans="3:27" x14ac:dyDescent="0.25">
      <c r="F106" s="40" t="s">
        <v>87</v>
      </c>
      <c r="G106" s="16" t="s">
        <v>94</v>
      </c>
      <c r="H106" s="137">
        <f>'Inputs by network level'!K46</f>
        <v>0.67294975519428046</v>
      </c>
    </row>
    <row r="107" spans="3:27" x14ac:dyDescent="0.25">
      <c r="F107" s="109" t="s">
        <v>88</v>
      </c>
      <c r="G107" s="14" t="s">
        <v>94</v>
      </c>
      <c r="H107" s="63">
        <f>SUM(H103:H104) - H106</f>
        <v>0.32705024480571954</v>
      </c>
    </row>
    <row r="108" spans="3:27" x14ac:dyDescent="0.25">
      <c r="F108" s="36" t="s">
        <v>86</v>
      </c>
      <c r="G108" s="15" t="s">
        <v>94</v>
      </c>
      <c r="H108" s="182">
        <f>H105</f>
        <v>0</v>
      </c>
    </row>
    <row r="109" spans="3:27" x14ac:dyDescent="0.25">
      <c r="F109" s="82"/>
      <c r="G109" s="14"/>
    </row>
    <row r="110" spans="3:27" x14ac:dyDescent="0.25">
      <c r="E110" s="96" t="s">
        <v>580</v>
      </c>
      <c r="G110" s="14"/>
    </row>
    <row r="111" spans="3:27" x14ac:dyDescent="0.25">
      <c r="F111" s="40" t="s">
        <v>243</v>
      </c>
      <c r="G111" s="16" t="s">
        <v>94</v>
      </c>
      <c r="H111" s="137">
        <f>'Inputs by network level'!L43</f>
        <v>0.74473134722277601</v>
      </c>
    </row>
    <row r="112" spans="3:27" x14ac:dyDescent="0.25">
      <c r="F112" s="109" t="s">
        <v>244</v>
      </c>
      <c r="G112" s="14" t="s">
        <v>94</v>
      </c>
      <c r="H112" s="143">
        <f>'Inputs by network level'!L44</f>
        <v>0.24659319962112539</v>
      </c>
    </row>
    <row r="113" spans="5:8" x14ac:dyDescent="0.25">
      <c r="F113" s="36" t="s">
        <v>86</v>
      </c>
      <c r="G113" s="15" t="s">
        <v>94</v>
      </c>
      <c r="H113" s="390">
        <f>'Inputs by network level'!L45</f>
        <v>8.6754531560986579E-3</v>
      </c>
    </row>
    <row r="114" spans="5:8" x14ac:dyDescent="0.25">
      <c r="F114" s="40" t="s">
        <v>87</v>
      </c>
      <c r="G114" s="16" t="s">
        <v>94</v>
      </c>
      <c r="H114" s="137">
        <f>'Inputs by network level'!L46</f>
        <v>0.69187454995110576</v>
      </c>
    </row>
    <row r="115" spans="5:8" x14ac:dyDescent="0.25">
      <c r="F115" s="109" t="s">
        <v>88</v>
      </c>
      <c r="G115" s="14" t="s">
        <v>94</v>
      </c>
      <c r="H115" s="63">
        <f>SUM(H111:H112) - H114</f>
        <v>0.29944999689279561</v>
      </c>
    </row>
    <row r="116" spans="5:8" x14ac:dyDescent="0.25">
      <c r="F116" s="36" t="s">
        <v>86</v>
      </c>
      <c r="G116" s="15" t="s">
        <v>94</v>
      </c>
      <c r="H116" s="182">
        <f>H113</f>
        <v>8.6754531560986579E-3</v>
      </c>
    </row>
    <row r="117" spans="5:8" x14ac:dyDescent="0.25">
      <c r="F117" s="82"/>
      <c r="G117" s="14"/>
    </row>
    <row r="118" spans="5:8" x14ac:dyDescent="0.25">
      <c r="E118" s="96" t="s">
        <v>581</v>
      </c>
      <c r="G118" s="14"/>
    </row>
    <row r="119" spans="5:8" x14ac:dyDescent="0.25">
      <c r="F119" s="40" t="s">
        <v>243</v>
      </c>
      <c r="G119" s="16" t="s">
        <v>94</v>
      </c>
      <c r="H119" s="137">
        <f>'Inputs by network level'!M43</f>
        <v>0.74473134722277601</v>
      </c>
    </row>
    <row r="120" spans="5:8" x14ac:dyDescent="0.25">
      <c r="F120" s="109" t="s">
        <v>244</v>
      </c>
      <c r="G120" s="14" t="s">
        <v>94</v>
      </c>
      <c r="H120" s="143">
        <f>'Inputs by network level'!M44</f>
        <v>0.24659319962112539</v>
      </c>
    </row>
    <row r="121" spans="5:8" x14ac:dyDescent="0.25">
      <c r="F121" s="36" t="s">
        <v>86</v>
      </c>
      <c r="G121" s="15" t="s">
        <v>94</v>
      </c>
      <c r="H121" s="390">
        <f>'Inputs by network level'!M45</f>
        <v>8.6754531560986579E-3</v>
      </c>
    </row>
    <row r="122" spans="5:8" x14ac:dyDescent="0.25">
      <c r="F122" s="40" t="s">
        <v>87</v>
      </c>
      <c r="G122" s="16" t="s">
        <v>94</v>
      </c>
      <c r="H122" s="137">
        <f>'Inputs by network level'!M46</f>
        <v>0.69187454995110576</v>
      </c>
    </row>
    <row r="123" spans="5:8" x14ac:dyDescent="0.25">
      <c r="F123" s="109" t="s">
        <v>88</v>
      </c>
      <c r="G123" s="14" t="s">
        <v>94</v>
      </c>
      <c r="H123" s="63">
        <f>SUM(H119:H120) - H122</f>
        <v>0.29944999689279561</v>
      </c>
    </row>
    <row r="124" spans="5:8" x14ac:dyDescent="0.25">
      <c r="F124" s="36" t="s">
        <v>86</v>
      </c>
      <c r="G124" s="15" t="s">
        <v>94</v>
      </c>
      <c r="H124" s="182">
        <f>H121</f>
        <v>8.6754531560986579E-3</v>
      </c>
    </row>
    <row r="125" spans="5:8" x14ac:dyDescent="0.25">
      <c r="F125" s="82"/>
      <c r="G125" s="14"/>
    </row>
    <row r="126" spans="5:8" x14ac:dyDescent="0.25">
      <c r="E126" s="96" t="s">
        <v>582</v>
      </c>
      <c r="G126" s="14"/>
    </row>
    <row r="127" spans="5:8" x14ac:dyDescent="0.25">
      <c r="F127" s="40" t="s">
        <v>243</v>
      </c>
      <c r="G127" s="16" t="s">
        <v>94</v>
      </c>
      <c r="H127" s="137">
        <f>'Inputs by network level'!N43</f>
        <v>0.61498575708306913</v>
      </c>
    </row>
    <row r="128" spans="5:8" x14ac:dyDescent="0.25">
      <c r="F128" s="109" t="s">
        <v>244</v>
      </c>
      <c r="G128" s="14" t="s">
        <v>94</v>
      </c>
      <c r="H128" s="143">
        <f>'Inputs by network level'!N44</f>
        <v>0.37180191456713002</v>
      </c>
    </row>
    <row r="129" spans="5:8" x14ac:dyDescent="0.25">
      <c r="F129" s="36" t="s">
        <v>86</v>
      </c>
      <c r="G129" s="15" t="s">
        <v>94</v>
      </c>
      <c r="H129" s="390">
        <f>'Inputs by network level'!N45</f>
        <v>1.3212328349800849E-2</v>
      </c>
    </row>
    <row r="130" spans="5:8" x14ac:dyDescent="0.25">
      <c r="F130" s="40" t="s">
        <v>87</v>
      </c>
      <c r="G130" s="16" t="s">
        <v>94</v>
      </c>
      <c r="H130" s="137">
        <f>'Inputs by network level'!N46</f>
        <v>0.5731442069319812</v>
      </c>
    </row>
    <row r="131" spans="5:8" x14ac:dyDescent="0.25">
      <c r="F131" s="109" t="s">
        <v>88</v>
      </c>
      <c r="G131" s="14" t="s">
        <v>94</v>
      </c>
      <c r="H131" s="63">
        <f>SUM(H127:H128) - H130</f>
        <v>0.41364346471821789</v>
      </c>
    </row>
    <row r="132" spans="5:8" x14ac:dyDescent="0.25">
      <c r="F132" s="36" t="s">
        <v>86</v>
      </c>
      <c r="G132" s="15" t="s">
        <v>94</v>
      </c>
      <c r="H132" s="182">
        <f>H129</f>
        <v>1.3212328349800849E-2</v>
      </c>
    </row>
    <row r="133" spans="5:8" x14ac:dyDescent="0.25">
      <c r="F133" s="82"/>
      <c r="G133" s="14"/>
    </row>
    <row r="134" spans="5:8" x14ac:dyDescent="0.25">
      <c r="E134" s="96" t="s">
        <v>583</v>
      </c>
      <c r="G134" s="14"/>
    </row>
    <row r="135" spans="5:8" x14ac:dyDescent="0.25">
      <c r="F135" s="40" t="s">
        <v>243</v>
      </c>
      <c r="G135" s="16" t="s">
        <v>94</v>
      </c>
      <c r="H135" s="137">
        <f>'Inputs by network level'!O43</f>
        <v>0.61498575708306913</v>
      </c>
    </row>
    <row r="136" spans="5:8" x14ac:dyDescent="0.25">
      <c r="F136" s="109" t="s">
        <v>244</v>
      </c>
      <c r="G136" s="14" t="s">
        <v>94</v>
      </c>
      <c r="H136" s="143">
        <f>'Inputs by network level'!O44</f>
        <v>0.37180191456713002</v>
      </c>
    </row>
    <row r="137" spans="5:8" x14ac:dyDescent="0.25">
      <c r="F137" s="36" t="s">
        <v>86</v>
      </c>
      <c r="G137" s="15" t="s">
        <v>94</v>
      </c>
      <c r="H137" s="390">
        <f>'Inputs by network level'!O45</f>
        <v>1.3212328349800849E-2</v>
      </c>
    </row>
    <row r="138" spans="5:8" x14ac:dyDescent="0.25">
      <c r="F138" s="40" t="s">
        <v>87</v>
      </c>
      <c r="G138" s="16" t="s">
        <v>94</v>
      </c>
      <c r="H138" s="137">
        <f>'Inputs by network level'!O46</f>
        <v>0.5731442069319812</v>
      </c>
    </row>
    <row r="139" spans="5:8" x14ac:dyDescent="0.25">
      <c r="F139" s="109" t="s">
        <v>88</v>
      </c>
      <c r="G139" s="14" t="s">
        <v>94</v>
      </c>
      <c r="H139" s="63">
        <f>SUM(H135:H136) - H138</f>
        <v>0.41364346471821789</v>
      </c>
    </row>
    <row r="140" spans="5:8" x14ac:dyDescent="0.25">
      <c r="F140" s="36" t="s">
        <v>86</v>
      </c>
      <c r="G140" s="15" t="s">
        <v>94</v>
      </c>
      <c r="H140" s="182">
        <f>H137</f>
        <v>1.3212328349800849E-2</v>
      </c>
    </row>
    <row r="141" spans="5:8" x14ac:dyDescent="0.25">
      <c r="F141" s="82"/>
      <c r="G141" s="14"/>
    </row>
    <row r="142" spans="5:8" x14ac:dyDescent="0.25">
      <c r="E142" s="96" t="s">
        <v>584</v>
      </c>
      <c r="G142" s="14"/>
    </row>
    <row r="143" spans="5:8" x14ac:dyDescent="0.25">
      <c r="F143" s="40" t="s">
        <v>243</v>
      </c>
      <c r="G143" s="16" t="s">
        <v>94</v>
      </c>
      <c r="H143" s="137">
        <f>'Inputs by network level'!P43</f>
        <v>0</v>
      </c>
    </row>
    <row r="144" spans="5:8" x14ac:dyDescent="0.25">
      <c r="F144" s="109" t="s">
        <v>244</v>
      </c>
      <c r="G144" s="14" t="s">
        <v>94</v>
      </c>
      <c r="H144" s="143">
        <f>'Inputs by network level'!P44</f>
        <v>0</v>
      </c>
    </row>
    <row r="145" spans="5:8" x14ac:dyDescent="0.25">
      <c r="F145" s="36" t="s">
        <v>86</v>
      </c>
      <c r="G145" s="15" t="s">
        <v>94</v>
      </c>
      <c r="H145" s="390">
        <f>'Inputs by network level'!P45</f>
        <v>0</v>
      </c>
    </row>
    <row r="146" spans="5:8" x14ac:dyDescent="0.25">
      <c r="F146" s="40" t="s">
        <v>87</v>
      </c>
      <c r="G146" s="16" t="s">
        <v>94</v>
      </c>
      <c r="H146" s="137">
        <f>'Inputs by network level'!P46</f>
        <v>0</v>
      </c>
    </row>
    <row r="147" spans="5:8" x14ac:dyDescent="0.25">
      <c r="F147" s="109" t="s">
        <v>88</v>
      </c>
      <c r="G147" s="14" t="s">
        <v>94</v>
      </c>
      <c r="H147" s="63">
        <f>SUM(H143:H144) - H146</f>
        <v>0</v>
      </c>
    </row>
    <row r="148" spans="5:8" x14ac:dyDescent="0.25">
      <c r="F148" s="36" t="s">
        <v>86</v>
      </c>
      <c r="G148" s="15" t="s">
        <v>94</v>
      </c>
      <c r="H148" s="182">
        <f>H145</f>
        <v>0</v>
      </c>
    </row>
    <row r="149" spans="5:8" x14ac:dyDescent="0.25">
      <c r="F149" s="82"/>
      <c r="G149" s="14"/>
    </row>
    <row r="150" spans="5:8" x14ac:dyDescent="0.25">
      <c r="E150" s="96" t="s">
        <v>585</v>
      </c>
      <c r="G150" s="14"/>
    </row>
    <row r="151" spans="5:8" x14ac:dyDescent="0.25">
      <c r="F151" s="40" t="s">
        <v>243</v>
      </c>
      <c r="G151" s="16" t="s">
        <v>94</v>
      </c>
      <c r="H151" s="137">
        <f>'Inputs by network level'!Q43</f>
        <v>0.3799428329392241</v>
      </c>
    </row>
    <row r="152" spans="5:8" x14ac:dyDescent="0.25">
      <c r="F152" s="109" t="s">
        <v>244</v>
      </c>
      <c r="G152" s="14" t="s">
        <v>94</v>
      </c>
      <c r="H152" s="143">
        <f>'Inputs by network level'!Q44</f>
        <v>0.59387927082595571</v>
      </c>
    </row>
    <row r="153" spans="5:8" x14ac:dyDescent="0.25">
      <c r="F153" s="36" t="s">
        <v>86</v>
      </c>
      <c r="G153" s="15" t="s">
        <v>94</v>
      </c>
      <c r="H153" s="390">
        <f>'Inputs by network level'!Q45</f>
        <v>2.6177896234820221E-2</v>
      </c>
    </row>
    <row r="154" spans="5:8" x14ac:dyDescent="0.25">
      <c r="F154" s="40" t="s">
        <v>87</v>
      </c>
      <c r="G154" s="16" t="s">
        <v>94</v>
      </c>
      <c r="H154" s="137">
        <f>'Inputs by network level'!Q46</f>
        <v>0.33748362018361128</v>
      </c>
    </row>
    <row r="155" spans="5:8" x14ac:dyDescent="0.25">
      <c r="F155" s="109" t="s">
        <v>88</v>
      </c>
      <c r="G155" s="14" t="s">
        <v>94</v>
      </c>
      <c r="H155" s="63">
        <f>SUM(H151:H152) - H154</f>
        <v>0.63633848358156841</v>
      </c>
    </row>
    <row r="156" spans="5:8" x14ac:dyDescent="0.25">
      <c r="F156" s="36" t="s">
        <v>86</v>
      </c>
      <c r="G156" s="15" t="s">
        <v>94</v>
      </c>
      <c r="H156" s="182">
        <f>H153</f>
        <v>2.6177896234820221E-2</v>
      </c>
    </row>
    <row r="157" spans="5:8" x14ac:dyDescent="0.25">
      <c r="F157" s="82"/>
      <c r="G157" s="14"/>
    </row>
    <row r="158" spans="5:8" x14ac:dyDescent="0.25">
      <c r="E158" s="96" t="s">
        <v>586</v>
      </c>
      <c r="G158" s="14"/>
    </row>
    <row r="159" spans="5:8" x14ac:dyDescent="0.25">
      <c r="F159" s="40" t="s">
        <v>243</v>
      </c>
      <c r="G159" s="16" t="s">
        <v>94</v>
      </c>
      <c r="H159" s="137">
        <f>'Inputs by network level'!R43</f>
        <v>0.3799428329392241</v>
      </c>
    </row>
    <row r="160" spans="5:8" x14ac:dyDescent="0.25">
      <c r="F160" s="109" t="s">
        <v>244</v>
      </c>
      <c r="G160" s="14" t="s">
        <v>94</v>
      </c>
      <c r="H160" s="143">
        <f>'Inputs by network level'!R44</f>
        <v>0.59387927082595571</v>
      </c>
    </row>
    <row r="161" spans="3:27" x14ac:dyDescent="0.25">
      <c r="F161" s="36" t="s">
        <v>86</v>
      </c>
      <c r="G161" s="15" t="s">
        <v>94</v>
      </c>
      <c r="H161" s="390">
        <f>'Inputs by network level'!R45</f>
        <v>2.6177896234820221E-2</v>
      </c>
    </row>
    <row r="162" spans="3:27" x14ac:dyDescent="0.25">
      <c r="F162" s="40" t="s">
        <v>87</v>
      </c>
      <c r="G162" s="16" t="s">
        <v>94</v>
      </c>
      <c r="H162" s="137">
        <f>'Inputs by network level'!R46</f>
        <v>0.33748362018361128</v>
      </c>
    </row>
    <row r="163" spans="3:27" x14ac:dyDescent="0.25">
      <c r="F163" s="109" t="s">
        <v>88</v>
      </c>
      <c r="G163" s="14" t="s">
        <v>94</v>
      </c>
      <c r="H163" s="63">
        <f>SUM(H159:H160) - H162</f>
        <v>0.63633848358156841</v>
      </c>
    </row>
    <row r="164" spans="3:27" x14ac:dyDescent="0.25">
      <c r="F164" s="36" t="s">
        <v>86</v>
      </c>
      <c r="G164" s="15" t="s">
        <v>94</v>
      </c>
      <c r="H164" s="182">
        <f>H161</f>
        <v>2.6177896234820221E-2</v>
      </c>
    </row>
    <row r="165" spans="3:27" x14ac:dyDescent="0.25">
      <c r="F165" s="82"/>
      <c r="G165" s="14"/>
    </row>
    <row r="166" spans="3:27" x14ac:dyDescent="0.25">
      <c r="E166" s="96" t="s">
        <v>587</v>
      </c>
      <c r="G166" s="14"/>
    </row>
    <row r="167" spans="3:27" x14ac:dyDescent="0.25">
      <c r="F167" s="40" t="s">
        <v>243</v>
      </c>
      <c r="G167" s="16" t="s">
        <v>94</v>
      </c>
      <c r="H167" s="137">
        <f>'Inputs by network level'!S43</f>
        <v>0.3799428329392241</v>
      </c>
    </row>
    <row r="168" spans="3:27" x14ac:dyDescent="0.25">
      <c r="F168" s="109" t="s">
        <v>244</v>
      </c>
      <c r="G168" s="14" t="s">
        <v>94</v>
      </c>
      <c r="H168" s="143">
        <f>'Inputs by network level'!S44</f>
        <v>0.59387927082595571</v>
      </c>
    </row>
    <row r="169" spans="3:27" x14ac:dyDescent="0.25">
      <c r="F169" s="36" t="s">
        <v>86</v>
      </c>
      <c r="G169" s="15" t="s">
        <v>94</v>
      </c>
      <c r="H169" s="390">
        <f>'Inputs by network level'!S45</f>
        <v>2.6177896234820221E-2</v>
      </c>
    </row>
    <row r="170" spans="3:27" x14ac:dyDescent="0.25">
      <c r="F170" s="40" t="s">
        <v>87</v>
      </c>
      <c r="G170" s="16" t="s">
        <v>94</v>
      </c>
      <c r="H170" s="137">
        <f>'Inputs by network level'!S46</f>
        <v>0.33748362018361128</v>
      </c>
    </row>
    <row r="171" spans="3:27" x14ac:dyDescent="0.25">
      <c r="F171" s="109" t="s">
        <v>88</v>
      </c>
      <c r="G171" s="14" t="s">
        <v>94</v>
      </c>
      <c r="H171" s="63">
        <f>SUM(H167:H168) - H170</f>
        <v>0.63633848358156841</v>
      </c>
    </row>
    <row r="172" spans="3:27" x14ac:dyDescent="0.25">
      <c r="F172" s="36" t="s">
        <v>86</v>
      </c>
      <c r="G172" s="15" t="s">
        <v>94</v>
      </c>
      <c r="H172" s="182">
        <f>H169</f>
        <v>2.6177896234820221E-2</v>
      </c>
    </row>
    <row r="173" spans="3:27" x14ac:dyDescent="0.25">
      <c r="E173" s="82"/>
      <c r="F173" s="14"/>
      <c r="G173" s="14"/>
    </row>
    <row r="174" spans="3:27" x14ac:dyDescent="0.25">
      <c r="C174" s="7" t="str">
        <f ca="1">INDEX('Version control'!$H$35:$H$61,MATCH($A$1,'Version control'!$F$35:$F$61,0),1)&amp;"-I: Peaking probabilities, by network level and customer type"</f>
        <v>Section 508-I: Peaking probabilities, by network level and customer type</v>
      </c>
      <c r="D174" s="7"/>
      <c r="E174" s="7"/>
      <c r="F174" s="7"/>
      <c r="G174" s="7"/>
      <c r="H174" s="7"/>
      <c r="I174" s="7"/>
      <c r="J174" s="7"/>
      <c r="K174" s="7"/>
      <c r="L174" s="7"/>
      <c r="M174" s="7"/>
      <c r="N174" s="7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  <c r="Z174" s="7"/>
      <c r="AA174" s="7"/>
    </row>
    <row r="176" spans="3:27" x14ac:dyDescent="0.25">
      <c r="E176" s="96" t="s">
        <v>579</v>
      </c>
      <c r="G176" s="14"/>
    </row>
    <row r="177" spans="5:25" x14ac:dyDescent="0.25">
      <c r="E177" s="82"/>
      <c r="F177" s="40" t="s">
        <v>243</v>
      </c>
      <c r="G177" s="16" t="s">
        <v>94</v>
      </c>
      <c r="H177" s="137"/>
      <c r="I177" s="91"/>
      <c r="J177" s="180">
        <f t="shared" ref="J177:Y179" si="15">IF(J$20, $H106, $H103)</f>
        <v>0.85246164448733908</v>
      </c>
      <c r="K177" s="180">
        <f t="shared" si="15"/>
        <v>0.85246164448733908</v>
      </c>
      <c r="L177" s="180">
        <f t="shared" si="15"/>
        <v>0.85246164448733908</v>
      </c>
      <c r="M177" s="180">
        <f t="shared" si="15"/>
        <v>0.85246164448733908</v>
      </c>
      <c r="N177" s="180">
        <f t="shared" si="15"/>
        <v>0.85246164448733908</v>
      </c>
      <c r="O177" s="180">
        <f t="shared" si="15"/>
        <v>0.85246164448733908</v>
      </c>
      <c r="P177" s="180">
        <f t="shared" si="15"/>
        <v>0.85246164448733908</v>
      </c>
      <c r="Q177" s="180">
        <f t="shared" si="15"/>
        <v>0.67294975519428046</v>
      </c>
      <c r="R177" s="180">
        <f t="shared" si="15"/>
        <v>0.85246164448733908</v>
      </c>
      <c r="S177" s="180">
        <f t="shared" si="15"/>
        <v>0.85246164448733908</v>
      </c>
      <c r="T177" s="180">
        <f t="shared" si="15"/>
        <v>0.85246164448733908</v>
      </c>
      <c r="U177" s="180">
        <f t="shared" si="15"/>
        <v>0.85246164448733908</v>
      </c>
      <c r="V177" s="180">
        <f t="shared" si="15"/>
        <v>0.85246164448733908</v>
      </c>
      <c r="W177" s="180">
        <f t="shared" si="15"/>
        <v>0.85246164448733908</v>
      </c>
      <c r="X177" s="180">
        <f t="shared" si="15"/>
        <v>0.85246164448733908</v>
      </c>
      <c r="Y177" s="180">
        <f t="shared" si="15"/>
        <v>0.85246164448733908</v>
      </c>
    </row>
    <row r="178" spans="5:25" x14ac:dyDescent="0.25">
      <c r="E178" s="82"/>
      <c r="F178" s="109" t="s">
        <v>244</v>
      </c>
      <c r="G178" s="14" t="s">
        <v>94</v>
      </c>
      <c r="H178" s="143"/>
      <c r="J178" s="391">
        <f t="shared" si="15"/>
        <v>0.14753835551266087</v>
      </c>
      <c r="K178" s="391">
        <f t="shared" si="15"/>
        <v>0.14753835551266087</v>
      </c>
      <c r="L178" s="391">
        <f t="shared" si="15"/>
        <v>0.14753835551266087</v>
      </c>
      <c r="M178" s="391">
        <f t="shared" si="15"/>
        <v>0.14753835551266087</v>
      </c>
      <c r="N178" s="391">
        <f t="shared" si="15"/>
        <v>0.14753835551266087</v>
      </c>
      <c r="O178" s="391">
        <f t="shared" si="15"/>
        <v>0.14753835551266087</v>
      </c>
      <c r="P178" s="391">
        <f t="shared" si="15"/>
        <v>0.14753835551266087</v>
      </c>
      <c r="Q178" s="391">
        <f t="shared" si="15"/>
        <v>0.32705024480571954</v>
      </c>
      <c r="R178" s="391">
        <f t="shared" si="15"/>
        <v>0.14753835551266087</v>
      </c>
      <c r="S178" s="391">
        <f t="shared" si="15"/>
        <v>0.14753835551266087</v>
      </c>
      <c r="T178" s="391">
        <f t="shared" si="15"/>
        <v>0.14753835551266087</v>
      </c>
      <c r="U178" s="391">
        <f t="shared" si="15"/>
        <v>0.14753835551266087</v>
      </c>
      <c r="V178" s="391">
        <f t="shared" si="15"/>
        <v>0.14753835551266087</v>
      </c>
      <c r="W178" s="391">
        <f t="shared" si="15"/>
        <v>0.14753835551266087</v>
      </c>
      <c r="X178" s="391">
        <f t="shared" si="15"/>
        <v>0.14753835551266087</v>
      </c>
      <c r="Y178" s="391">
        <f t="shared" si="15"/>
        <v>0.14753835551266087</v>
      </c>
    </row>
    <row r="179" spans="5:25" x14ac:dyDescent="0.25">
      <c r="E179" s="82"/>
      <c r="F179" s="36" t="s">
        <v>86</v>
      </c>
      <c r="G179" s="15" t="s">
        <v>94</v>
      </c>
      <c r="H179" s="390"/>
      <c r="I179" s="93"/>
      <c r="J179" s="181">
        <f t="shared" si="15"/>
        <v>0</v>
      </c>
      <c r="K179" s="181">
        <f t="shared" si="15"/>
        <v>0</v>
      </c>
      <c r="L179" s="181">
        <f t="shared" si="15"/>
        <v>0</v>
      </c>
      <c r="M179" s="181">
        <f t="shared" si="15"/>
        <v>0</v>
      </c>
      <c r="N179" s="181">
        <f t="shared" si="15"/>
        <v>0</v>
      </c>
      <c r="O179" s="181">
        <f t="shared" si="15"/>
        <v>0</v>
      </c>
      <c r="P179" s="181">
        <f t="shared" si="15"/>
        <v>0</v>
      </c>
      <c r="Q179" s="181">
        <f t="shared" si="15"/>
        <v>0</v>
      </c>
      <c r="R179" s="181">
        <f t="shared" si="15"/>
        <v>0</v>
      </c>
      <c r="S179" s="181">
        <f t="shared" si="15"/>
        <v>0</v>
      </c>
      <c r="T179" s="181">
        <f t="shared" si="15"/>
        <v>0</v>
      </c>
      <c r="U179" s="181">
        <f t="shared" si="15"/>
        <v>0</v>
      </c>
      <c r="V179" s="181">
        <f t="shared" si="15"/>
        <v>0</v>
      </c>
      <c r="W179" s="181">
        <f t="shared" si="15"/>
        <v>0</v>
      </c>
      <c r="X179" s="181">
        <f t="shared" si="15"/>
        <v>0</v>
      </c>
      <c r="Y179" s="181">
        <f t="shared" si="15"/>
        <v>0</v>
      </c>
    </row>
    <row r="180" spans="5:25" x14ac:dyDescent="0.25">
      <c r="E180" s="82"/>
      <c r="F180" s="109"/>
      <c r="G180" s="14"/>
      <c r="H180" s="143"/>
      <c r="J180" s="391"/>
      <c r="K180" s="391"/>
      <c r="L180" s="391"/>
      <c r="M180" s="391"/>
      <c r="N180" s="391"/>
      <c r="O180" s="391"/>
      <c r="P180" s="391"/>
      <c r="Q180" s="391"/>
      <c r="R180" s="391"/>
      <c r="S180" s="391"/>
      <c r="T180" s="391"/>
      <c r="U180" s="391"/>
      <c r="V180" s="391"/>
      <c r="W180" s="391"/>
      <c r="X180" s="391"/>
      <c r="Y180" s="391"/>
    </row>
    <row r="181" spans="5:25" x14ac:dyDescent="0.25">
      <c r="E181" s="96" t="s">
        <v>580</v>
      </c>
      <c r="G181" s="14"/>
    </row>
    <row r="182" spans="5:25" x14ac:dyDescent="0.25">
      <c r="E182" s="82"/>
      <c r="F182" s="40" t="s">
        <v>243</v>
      </c>
      <c r="G182" s="16" t="s">
        <v>94</v>
      </c>
      <c r="H182" s="137"/>
      <c r="I182" s="91"/>
      <c r="J182" s="180">
        <f t="shared" ref="J182:Y184" si="16">IF(J$20, $H114, $H111)</f>
        <v>0.74473134722277601</v>
      </c>
      <c r="K182" s="180">
        <f t="shared" si="16"/>
        <v>0.74473134722277601</v>
      </c>
      <c r="L182" s="180">
        <f t="shared" si="16"/>
        <v>0.74473134722277601</v>
      </c>
      <c r="M182" s="180">
        <f t="shared" si="16"/>
        <v>0.74473134722277601</v>
      </c>
      <c r="N182" s="180">
        <f t="shared" si="16"/>
        <v>0.74473134722277601</v>
      </c>
      <c r="O182" s="180">
        <f t="shared" si="16"/>
        <v>0.74473134722277601</v>
      </c>
      <c r="P182" s="180">
        <f t="shared" si="16"/>
        <v>0.74473134722277601</v>
      </c>
      <c r="Q182" s="180">
        <f t="shared" si="16"/>
        <v>0.69187454995110576</v>
      </c>
      <c r="R182" s="180">
        <f t="shared" si="16"/>
        <v>0.74473134722277601</v>
      </c>
      <c r="S182" s="180">
        <f t="shared" si="16"/>
        <v>0.74473134722277601</v>
      </c>
      <c r="T182" s="180">
        <f t="shared" si="16"/>
        <v>0.74473134722277601</v>
      </c>
      <c r="U182" s="180">
        <f t="shared" si="16"/>
        <v>0.74473134722277601</v>
      </c>
      <c r="V182" s="180">
        <f t="shared" si="16"/>
        <v>0.74473134722277601</v>
      </c>
      <c r="W182" s="180">
        <f t="shared" si="16"/>
        <v>0.74473134722277601</v>
      </c>
      <c r="X182" s="180">
        <f t="shared" si="16"/>
        <v>0.74473134722277601</v>
      </c>
      <c r="Y182" s="180">
        <f t="shared" si="16"/>
        <v>0.74473134722277601</v>
      </c>
    </row>
    <row r="183" spans="5:25" x14ac:dyDescent="0.25">
      <c r="E183" s="82"/>
      <c r="F183" s="109" t="s">
        <v>244</v>
      </c>
      <c r="G183" s="14" t="s">
        <v>94</v>
      </c>
      <c r="H183" s="143"/>
      <c r="J183" s="391">
        <f t="shared" si="16"/>
        <v>0.24659319962112539</v>
      </c>
      <c r="K183" s="391">
        <f t="shared" si="16"/>
        <v>0.24659319962112539</v>
      </c>
      <c r="L183" s="391">
        <f t="shared" si="16"/>
        <v>0.24659319962112539</v>
      </c>
      <c r="M183" s="391">
        <f t="shared" si="16"/>
        <v>0.24659319962112539</v>
      </c>
      <c r="N183" s="391">
        <f t="shared" si="16"/>
        <v>0.24659319962112539</v>
      </c>
      <c r="O183" s="391">
        <f t="shared" si="16"/>
        <v>0.24659319962112539</v>
      </c>
      <c r="P183" s="391">
        <f t="shared" si="16"/>
        <v>0.24659319962112539</v>
      </c>
      <c r="Q183" s="391">
        <f t="shared" si="16"/>
        <v>0.29944999689279561</v>
      </c>
      <c r="R183" s="391">
        <f t="shared" si="16"/>
        <v>0.24659319962112539</v>
      </c>
      <c r="S183" s="391">
        <f t="shared" si="16"/>
        <v>0.24659319962112539</v>
      </c>
      <c r="T183" s="391">
        <f t="shared" si="16"/>
        <v>0.24659319962112539</v>
      </c>
      <c r="U183" s="391">
        <f t="shared" si="16"/>
        <v>0.24659319962112539</v>
      </c>
      <c r="V183" s="391">
        <f t="shared" si="16"/>
        <v>0.24659319962112539</v>
      </c>
      <c r="W183" s="391">
        <f t="shared" si="16"/>
        <v>0.24659319962112539</v>
      </c>
      <c r="X183" s="391">
        <f t="shared" si="16"/>
        <v>0.24659319962112539</v>
      </c>
      <c r="Y183" s="391">
        <f t="shared" si="16"/>
        <v>0.24659319962112539</v>
      </c>
    </row>
    <row r="184" spans="5:25" x14ac:dyDescent="0.25">
      <c r="E184" s="82"/>
      <c r="F184" s="36" t="s">
        <v>86</v>
      </c>
      <c r="G184" s="15" t="s">
        <v>94</v>
      </c>
      <c r="H184" s="390"/>
      <c r="I184" s="93"/>
      <c r="J184" s="181">
        <f t="shared" si="16"/>
        <v>8.6754531560986579E-3</v>
      </c>
      <c r="K184" s="181">
        <f t="shared" si="16"/>
        <v>8.6754531560986579E-3</v>
      </c>
      <c r="L184" s="181">
        <f t="shared" si="16"/>
        <v>8.6754531560986579E-3</v>
      </c>
      <c r="M184" s="181">
        <f t="shared" si="16"/>
        <v>8.6754531560986579E-3</v>
      </c>
      <c r="N184" s="181">
        <f t="shared" si="16"/>
        <v>8.6754531560986579E-3</v>
      </c>
      <c r="O184" s="181">
        <f t="shared" si="16"/>
        <v>8.6754531560986579E-3</v>
      </c>
      <c r="P184" s="181">
        <f t="shared" si="16"/>
        <v>8.6754531560986579E-3</v>
      </c>
      <c r="Q184" s="181">
        <f t="shared" si="16"/>
        <v>8.6754531560986579E-3</v>
      </c>
      <c r="R184" s="181">
        <f t="shared" si="16"/>
        <v>8.6754531560986579E-3</v>
      </c>
      <c r="S184" s="181">
        <f t="shared" si="16"/>
        <v>8.6754531560986579E-3</v>
      </c>
      <c r="T184" s="181">
        <f t="shared" si="16"/>
        <v>8.6754531560986579E-3</v>
      </c>
      <c r="U184" s="181">
        <f t="shared" si="16"/>
        <v>8.6754531560986579E-3</v>
      </c>
      <c r="V184" s="181">
        <f t="shared" si="16"/>
        <v>8.6754531560986579E-3</v>
      </c>
      <c r="W184" s="181">
        <f t="shared" si="16"/>
        <v>8.6754531560986579E-3</v>
      </c>
      <c r="X184" s="181">
        <f t="shared" si="16"/>
        <v>8.6754531560986579E-3</v>
      </c>
      <c r="Y184" s="181">
        <f t="shared" si="16"/>
        <v>8.6754531560986579E-3</v>
      </c>
    </row>
    <row r="185" spans="5:25" x14ac:dyDescent="0.25">
      <c r="E185" s="82"/>
      <c r="F185" s="109"/>
      <c r="G185" s="14"/>
      <c r="H185" s="143"/>
      <c r="J185" s="391"/>
      <c r="K185" s="391"/>
      <c r="L185" s="391"/>
      <c r="M185" s="391"/>
      <c r="N185" s="391"/>
      <c r="O185" s="391"/>
      <c r="P185" s="391"/>
      <c r="Q185" s="391"/>
      <c r="R185" s="391"/>
      <c r="S185" s="391"/>
      <c r="T185" s="391"/>
      <c r="U185" s="391"/>
      <c r="V185" s="391"/>
      <c r="W185" s="391"/>
      <c r="X185" s="391"/>
      <c r="Y185" s="391"/>
    </row>
    <row r="186" spans="5:25" x14ac:dyDescent="0.25">
      <c r="E186" s="96" t="s">
        <v>581</v>
      </c>
      <c r="G186" s="14"/>
    </row>
    <row r="187" spans="5:25" x14ac:dyDescent="0.25">
      <c r="E187" s="82"/>
      <c r="F187" s="40" t="s">
        <v>243</v>
      </c>
      <c r="G187" s="16" t="s">
        <v>94</v>
      </c>
      <c r="H187" s="137"/>
      <c r="I187" s="91"/>
      <c r="J187" s="180">
        <f t="shared" ref="J187:Y189" si="17">IF(J$20, $H122, $H119)</f>
        <v>0.74473134722277601</v>
      </c>
      <c r="K187" s="180">
        <f t="shared" si="17"/>
        <v>0.74473134722277601</v>
      </c>
      <c r="L187" s="180">
        <f t="shared" si="17"/>
        <v>0.74473134722277601</v>
      </c>
      <c r="M187" s="180">
        <f t="shared" si="17"/>
        <v>0.74473134722277601</v>
      </c>
      <c r="N187" s="180">
        <f t="shared" si="17"/>
        <v>0.74473134722277601</v>
      </c>
      <c r="O187" s="180">
        <f t="shared" si="17"/>
        <v>0.74473134722277601</v>
      </c>
      <c r="P187" s="180">
        <f t="shared" si="17"/>
        <v>0.74473134722277601</v>
      </c>
      <c r="Q187" s="180">
        <f t="shared" si="17"/>
        <v>0.69187454995110576</v>
      </c>
      <c r="R187" s="180">
        <f t="shared" si="17"/>
        <v>0.74473134722277601</v>
      </c>
      <c r="S187" s="180">
        <f t="shared" si="17"/>
        <v>0.74473134722277601</v>
      </c>
      <c r="T187" s="180">
        <f t="shared" si="17"/>
        <v>0.74473134722277601</v>
      </c>
      <c r="U187" s="180">
        <f t="shared" si="17"/>
        <v>0.74473134722277601</v>
      </c>
      <c r="V187" s="180">
        <f t="shared" si="17"/>
        <v>0.74473134722277601</v>
      </c>
      <c r="W187" s="180">
        <f t="shared" si="17"/>
        <v>0.74473134722277601</v>
      </c>
      <c r="X187" s="180">
        <f t="shared" si="17"/>
        <v>0.74473134722277601</v>
      </c>
      <c r="Y187" s="180">
        <f t="shared" si="17"/>
        <v>0.74473134722277601</v>
      </c>
    </row>
    <row r="188" spans="5:25" x14ac:dyDescent="0.25">
      <c r="E188" s="82"/>
      <c r="F188" s="109" t="s">
        <v>244</v>
      </c>
      <c r="G188" s="14" t="s">
        <v>94</v>
      </c>
      <c r="H188" s="143"/>
      <c r="J188" s="391">
        <f t="shared" si="17"/>
        <v>0.24659319962112539</v>
      </c>
      <c r="K188" s="391">
        <f t="shared" si="17"/>
        <v>0.24659319962112539</v>
      </c>
      <c r="L188" s="391">
        <f t="shared" si="17"/>
        <v>0.24659319962112539</v>
      </c>
      <c r="M188" s="391">
        <f t="shared" si="17"/>
        <v>0.24659319962112539</v>
      </c>
      <c r="N188" s="391">
        <f t="shared" si="17"/>
        <v>0.24659319962112539</v>
      </c>
      <c r="O188" s="391">
        <f t="shared" si="17"/>
        <v>0.24659319962112539</v>
      </c>
      <c r="P188" s="391">
        <f t="shared" si="17"/>
        <v>0.24659319962112539</v>
      </c>
      <c r="Q188" s="391">
        <f t="shared" si="17"/>
        <v>0.29944999689279561</v>
      </c>
      <c r="R188" s="391">
        <f t="shared" si="17"/>
        <v>0.24659319962112539</v>
      </c>
      <c r="S188" s="391">
        <f t="shared" si="17"/>
        <v>0.24659319962112539</v>
      </c>
      <c r="T188" s="391">
        <f t="shared" si="17"/>
        <v>0.24659319962112539</v>
      </c>
      <c r="U188" s="391">
        <f t="shared" si="17"/>
        <v>0.24659319962112539</v>
      </c>
      <c r="V188" s="391">
        <f t="shared" si="17"/>
        <v>0.24659319962112539</v>
      </c>
      <c r="W188" s="391">
        <f t="shared" si="17"/>
        <v>0.24659319962112539</v>
      </c>
      <c r="X188" s="391">
        <f t="shared" si="17"/>
        <v>0.24659319962112539</v>
      </c>
      <c r="Y188" s="391">
        <f t="shared" si="17"/>
        <v>0.24659319962112539</v>
      </c>
    </row>
    <row r="189" spans="5:25" x14ac:dyDescent="0.25">
      <c r="E189" s="82"/>
      <c r="F189" s="36" t="s">
        <v>86</v>
      </c>
      <c r="G189" s="15" t="s">
        <v>94</v>
      </c>
      <c r="H189" s="390"/>
      <c r="I189" s="93"/>
      <c r="J189" s="181">
        <f t="shared" si="17"/>
        <v>8.6754531560986579E-3</v>
      </c>
      <c r="K189" s="181">
        <f t="shared" si="17"/>
        <v>8.6754531560986579E-3</v>
      </c>
      <c r="L189" s="181">
        <f t="shared" si="17"/>
        <v>8.6754531560986579E-3</v>
      </c>
      <c r="M189" s="181">
        <f t="shared" si="17"/>
        <v>8.6754531560986579E-3</v>
      </c>
      <c r="N189" s="181">
        <f t="shared" si="17"/>
        <v>8.6754531560986579E-3</v>
      </c>
      <c r="O189" s="181">
        <f t="shared" si="17"/>
        <v>8.6754531560986579E-3</v>
      </c>
      <c r="P189" s="181">
        <f t="shared" si="17"/>
        <v>8.6754531560986579E-3</v>
      </c>
      <c r="Q189" s="181">
        <f t="shared" si="17"/>
        <v>8.6754531560986579E-3</v>
      </c>
      <c r="R189" s="181">
        <f t="shared" si="17"/>
        <v>8.6754531560986579E-3</v>
      </c>
      <c r="S189" s="181">
        <f t="shared" si="17"/>
        <v>8.6754531560986579E-3</v>
      </c>
      <c r="T189" s="181">
        <f t="shared" si="17"/>
        <v>8.6754531560986579E-3</v>
      </c>
      <c r="U189" s="181">
        <f t="shared" si="17"/>
        <v>8.6754531560986579E-3</v>
      </c>
      <c r="V189" s="181">
        <f t="shared" si="17"/>
        <v>8.6754531560986579E-3</v>
      </c>
      <c r="W189" s="181">
        <f t="shared" si="17"/>
        <v>8.6754531560986579E-3</v>
      </c>
      <c r="X189" s="181">
        <f t="shared" si="17"/>
        <v>8.6754531560986579E-3</v>
      </c>
      <c r="Y189" s="181">
        <f t="shared" si="17"/>
        <v>8.6754531560986579E-3</v>
      </c>
    </row>
    <row r="190" spans="5:25" x14ac:dyDescent="0.25">
      <c r="E190" s="82"/>
      <c r="F190" s="109"/>
      <c r="G190" s="14"/>
      <c r="H190" s="143"/>
      <c r="J190" s="391"/>
      <c r="K190" s="391"/>
      <c r="L190" s="391"/>
      <c r="M190" s="391"/>
      <c r="N190" s="391"/>
      <c r="O190" s="391"/>
      <c r="P190" s="391"/>
      <c r="Q190" s="391"/>
      <c r="R190" s="391"/>
      <c r="S190" s="391"/>
      <c r="T190" s="391"/>
      <c r="U190" s="391"/>
      <c r="V190" s="391"/>
      <c r="W190" s="391"/>
      <c r="X190" s="391"/>
      <c r="Y190" s="391"/>
    </row>
    <row r="191" spans="5:25" x14ac:dyDescent="0.25">
      <c r="E191" s="96" t="s">
        <v>582</v>
      </c>
      <c r="G191" s="14"/>
    </row>
    <row r="192" spans="5:25" x14ac:dyDescent="0.25">
      <c r="E192" s="82"/>
      <c r="F192" s="40" t="s">
        <v>243</v>
      </c>
      <c r="G192" s="16" t="s">
        <v>94</v>
      </c>
      <c r="H192" s="137"/>
      <c r="I192" s="91"/>
      <c r="J192" s="180">
        <f t="shared" ref="J192:Y194" si="18">IF(J$20, $H130, $H127)</f>
        <v>0.61498575708306913</v>
      </c>
      <c r="K192" s="180">
        <f t="shared" si="18"/>
        <v>0.61498575708306913</v>
      </c>
      <c r="L192" s="180">
        <f t="shared" si="18"/>
        <v>0.61498575708306913</v>
      </c>
      <c r="M192" s="180">
        <f t="shared" si="18"/>
        <v>0.61498575708306913</v>
      </c>
      <c r="N192" s="180">
        <f t="shared" si="18"/>
        <v>0.61498575708306913</v>
      </c>
      <c r="O192" s="180">
        <f t="shared" si="18"/>
        <v>0.61498575708306913</v>
      </c>
      <c r="P192" s="180">
        <f t="shared" si="18"/>
        <v>0.61498575708306913</v>
      </c>
      <c r="Q192" s="180">
        <f t="shared" si="18"/>
        <v>0.5731442069319812</v>
      </c>
      <c r="R192" s="180">
        <f t="shared" si="18"/>
        <v>0.61498575708306913</v>
      </c>
      <c r="S192" s="180">
        <f t="shared" si="18"/>
        <v>0.61498575708306913</v>
      </c>
      <c r="T192" s="180">
        <f t="shared" si="18"/>
        <v>0.61498575708306913</v>
      </c>
      <c r="U192" s="180">
        <f t="shared" si="18"/>
        <v>0.61498575708306913</v>
      </c>
      <c r="V192" s="180">
        <f t="shared" si="18"/>
        <v>0.61498575708306913</v>
      </c>
      <c r="W192" s="180">
        <f t="shared" si="18"/>
        <v>0.61498575708306913</v>
      </c>
      <c r="X192" s="180">
        <f t="shared" si="18"/>
        <v>0.61498575708306913</v>
      </c>
      <c r="Y192" s="180">
        <f t="shared" si="18"/>
        <v>0.61498575708306913</v>
      </c>
    </row>
    <row r="193" spans="5:25" x14ac:dyDescent="0.25">
      <c r="E193" s="82"/>
      <c r="F193" s="109" t="s">
        <v>244</v>
      </c>
      <c r="G193" s="14" t="s">
        <v>94</v>
      </c>
      <c r="H193" s="143"/>
      <c r="J193" s="391">
        <f t="shared" si="18"/>
        <v>0.37180191456713002</v>
      </c>
      <c r="K193" s="391">
        <f t="shared" si="18"/>
        <v>0.37180191456713002</v>
      </c>
      <c r="L193" s="391">
        <f t="shared" si="18"/>
        <v>0.37180191456713002</v>
      </c>
      <c r="M193" s="391">
        <f t="shared" si="18"/>
        <v>0.37180191456713002</v>
      </c>
      <c r="N193" s="391">
        <f t="shared" si="18"/>
        <v>0.37180191456713002</v>
      </c>
      <c r="O193" s="391">
        <f t="shared" si="18"/>
        <v>0.37180191456713002</v>
      </c>
      <c r="P193" s="391">
        <f t="shared" si="18"/>
        <v>0.37180191456713002</v>
      </c>
      <c r="Q193" s="391">
        <f t="shared" si="18"/>
        <v>0.41364346471821789</v>
      </c>
      <c r="R193" s="391">
        <f t="shared" si="18"/>
        <v>0.37180191456713002</v>
      </c>
      <c r="S193" s="391">
        <f t="shared" si="18"/>
        <v>0.37180191456713002</v>
      </c>
      <c r="T193" s="391">
        <f t="shared" si="18"/>
        <v>0.37180191456713002</v>
      </c>
      <c r="U193" s="391">
        <f t="shared" si="18"/>
        <v>0.37180191456713002</v>
      </c>
      <c r="V193" s="391">
        <f t="shared" si="18"/>
        <v>0.37180191456713002</v>
      </c>
      <c r="W193" s="391">
        <f t="shared" si="18"/>
        <v>0.37180191456713002</v>
      </c>
      <c r="X193" s="391">
        <f t="shared" si="18"/>
        <v>0.37180191456713002</v>
      </c>
      <c r="Y193" s="391">
        <f t="shared" si="18"/>
        <v>0.37180191456713002</v>
      </c>
    </row>
    <row r="194" spans="5:25" x14ac:dyDescent="0.25">
      <c r="E194" s="82"/>
      <c r="F194" s="36" t="s">
        <v>86</v>
      </c>
      <c r="G194" s="15" t="s">
        <v>94</v>
      </c>
      <c r="H194" s="390"/>
      <c r="I194" s="93"/>
      <c r="J194" s="181">
        <f t="shared" si="18"/>
        <v>1.3212328349800849E-2</v>
      </c>
      <c r="K194" s="181">
        <f t="shared" si="18"/>
        <v>1.3212328349800849E-2</v>
      </c>
      <c r="L194" s="181">
        <f t="shared" si="18"/>
        <v>1.3212328349800849E-2</v>
      </c>
      <c r="M194" s="181">
        <f t="shared" si="18"/>
        <v>1.3212328349800849E-2</v>
      </c>
      <c r="N194" s="181">
        <f t="shared" si="18"/>
        <v>1.3212328349800849E-2</v>
      </c>
      <c r="O194" s="181">
        <f t="shared" si="18"/>
        <v>1.3212328349800849E-2</v>
      </c>
      <c r="P194" s="181">
        <f t="shared" si="18"/>
        <v>1.3212328349800849E-2</v>
      </c>
      <c r="Q194" s="181">
        <f t="shared" si="18"/>
        <v>1.3212328349800849E-2</v>
      </c>
      <c r="R194" s="181">
        <f t="shared" si="18"/>
        <v>1.3212328349800849E-2</v>
      </c>
      <c r="S194" s="181">
        <f t="shared" si="18"/>
        <v>1.3212328349800849E-2</v>
      </c>
      <c r="T194" s="181">
        <f t="shared" si="18"/>
        <v>1.3212328349800849E-2</v>
      </c>
      <c r="U194" s="181">
        <f t="shared" si="18"/>
        <v>1.3212328349800849E-2</v>
      </c>
      <c r="V194" s="181">
        <f t="shared" si="18"/>
        <v>1.3212328349800849E-2</v>
      </c>
      <c r="W194" s="181">
        <f t="shared" si="18"/>
        <v>1.3212328349800849E-2</v>
      </c>
      <c r="X194" s="181">
        <f t="shared" si="18"/>
        <v>1.3212328349800849E-2</v>
      </c>
      <c r="Y194" s="181">
        <f t="shared" si="18"/>
        <v>1.3212328349800849E-2</v>
      </c>
    </row>
    <row r="195" spans="5:25" x14ac:dyDescent="0.25">
      <c r="E195" s="82"/>
      <c r="F195" s="109"/>
      <c r="G195" s="14"/>
      <c r="H195" s="143"/>
      <c r="J195" s="391"/>
      <c r="K195" s="391"/>
      <c r="L195" s="391"/>
      <c r="M195" s="391"/>
      <c r="N195" s="391"/>
      <c r="O195" s="391"/>
      <c r="P195" s="391"/>
      <c r="Q195" s="391"/>
      <c r="R195" s="391"/>
      <c r="S195" s="391"/>
      <c r="T195" s="391"/>
      <c r="U195" s="391"/>
      <c r="V195" s="391"/>
      <c r="W195" s="391"/>
      <c r="X195" s="391"/>
      <c r="Y195" s="391"/>
    </row>
    <row r="196" spans="5:25" x14ac:dyDescent="0.25">
      <c r="E196" s="96" t="s">
        <v>583</v>
      </c>
      <c r="G196" s="14"/>
    </row>
    <row r="197" spans="5:25" x14ac:dyDescent="0.25">
      <c r="E197" s="82"/>
      <c r="F197" s="40" t="s">
        <v>243</v>
      </c>
      <c r="G197" s="16" t="s">
        <v>94</v>
      </c>
      <c r="H197" s="137"/>
      <c r="I197" s="91"/>
      <c r="J197" s="180">
        <f t="shared" ref="J197:Y199" si="19">IF(J$20, $H138, $H135)</f>
        <v>0.61498575708306913</v>
      </c>
      <c r="K197" s="180">
        <f t="shared" si="19"/>
        <v>0.61498575708306913</v>
      </c>
      <c r="L197" s="180">
        <f t="shared" si="19"/>
        <v>0.61498575708306913</v>
      </c>
      <c r="M197" s="180">
        <f t="shared" si="19"/>
        <v>0.61498575708306913</v>
      </c>
      <c r="N197" s="180">
        <f t="shared" si="19"/>
        <v>0.61498575708306913</v>
      </c>
      <c r="O197" s="180">
        <f t="shared" si="19"/>
        <v>0.61498575708306913</v>
      </c>
      <c r="P197" s="180">
        <f t="shared" si="19"/>
        <v>0.61498575708306913</v>
      </c>
      <c r="Q197" s="180">
        <f t="shared" si="19"/>
        <v>0.5731442069319812</v>
      </c>
      <c r="R197" s="180">
        <f t="shared" si="19"/>
        <v>0.61498575708306913</v>
      </c>
      <c r="S197" s="180">
        <f t="shared" si="19"/>
        <v>0.61498575708306913</v>
      </c>
      <c r="T197" s="180">
        <f t="shared" si="19"/>
        <v>0.61498575708306913</v>
      </c>
      <c r="U197" s="180">
        <f t="shared" si="19"/>
        <v>0.61498575708306913</v>
      </c>
      <c r="V197" s="180">
        <f t="shared" si="19"/>
        <v>0.61498575708306913</v>
      </c>
      <c r="W197" s="180">
        <f t="shared" si="19"/>
        <v>0.61498575708306913</v>
      </c>
      <c r="X197" s="180">
        <f t="shared" si="19"/>
        <v>0.61498575708306913</v>
      </c>
      <c r="Y197" s="180">
        <f t="shared" si="19"/>
        <v>0.61498575708306913</v>
      </c>
    </row>
    <row r="198" spans="5:25" x14ac:dyDescent="0.25">
      <c r="E198" s="82"/>
      <c r="F198" s="109" t="s">
        <v>244</v>
      </c>
      <c r="G198" s="14" t="s">
        <v>94</v>
      </c>
      <c r="H198" s="143"/>
      <c r="J198" s="391">
        <f t="shared" si="19"/>
        <v>0.37180191456713002</v>
      </c>
      <c r="K198" s="391">
        <f t="shared" si="19"/>
        <v>0.37180191456713002</v>
      </c>
      <c r="L198" s="391">
        <f t="shared" si="19"/>
        <v>0.37180191456713002</v>
      </c>
      <c r="M198" s="391">
        <f t="shared" si="19"/>
        <v>0.37180191456713002</v>
      </c>
      <c r="N198" s="391">
        <f t="shared" si="19"/>
        <v>0.37180191456713002</v>
      </c>
      <c r="O198" s="391">
        <f t="shared" si="19"/>
        <v>0.37180191456713002</v>
      </c>
      <c r="P198" s="391">
        <f t="shared" si="19"/>
        <v>0.37180191456713002</v>
      </c>
      <c r="Q198" s="391">
        <f t="shared" si="19"/>
        <v>0.41364346471821789</v>
      </c>
      <c r="R198" s="391">
        <f t="shared" si="19"/>
        <v>0.37180191456713002</v>
      </c>
      <c r="S198" s="391">
        <f t="shared" si="19"/>
        <v>0.37180191456713002</v>
      </c>
      <c r="T198" s="391">
        <f t="shared" si="19"/>
        <v>0.37180191456713002</v>
      </c>
      <c r="U198" s="391">
        <f t="shared" si="19"/>
        <v>0.37180191456713002</v>
      </c>
      <c r="V198" s="391">
        <f t="shared" si="19"/>
        <v>0.37180191456713002</v>
      </c>
      <c r="W198" s="391">
        <f t="shared" si="19"/>
        <v>0.37180191456713002</v>
      </c>
      <c r="X198" s="391">
        <f t="shared" si="19"/>
        <v>0.37180191456713002</v>
      </c>
      <c r="Y198" s="391">
        <f t="shared" si="19"/>
        <v>0.37180191456713002</v>
      </c>
    </row>
    <row r="199" spans="5:25" x14ac:dyDescent="0.25">
      <c r="E199" s="82"/>
      <c r="F199" s="36" t="s">
        <v>86</v>
      </c>
      <c r="G199" s="15" t="s">
        <v>94</v>
      </c>
      <c r="H199" s="390"/>
      <c r="I199" s="93"/>
      <c r="J199" s="181">
        <f t="shared" si="19"/>
        <v>1.3212328349800849E-2</v>
      </c>
      <c r="K199" s="181">
        <f t="shared" si="19"/>
        <v>1.3212328349800849E-2</v>
      </c>
      <c r="L199" s="181">
        <f t="shared" si="19"/>
        <v>1.3212328349800849E-2</v>
      </c>
      <c r="M199" s="181">
        <f t="shared" si="19"/>
        <v>1.3212328349800849E-2</v>
      </c>
      <c r="N199" s="181">
        <f t="shared" si="19"/>
        <v>1.3212328349800849E-2</v>
      </c>
      <c r="O199" s="181">
        <f t="shared" si="19"/>
        <v>1.3212328349800849E-2</v>
      </c>
      <c r="P199" s="181">
        <f t="shared" si="19"/>
        <v>1.3212328349800849E-2</v>
      </c>
      <c r="Q199" s="181">
        <f t="shared" si="19"/>
        <v>1.3212328349800849E-2</v>
      </c>
      <c r="R199" s="181">
        <f t="shared" si="19"/>
        <v>1.3212328349800849E-2</v>
      </c>
      <c r="S199" s="181">
        <f t="shared" si="19"/>
        <v>1.3212328349800849E-2</v>
      </c>
      <c r="T199" s="181">
        <f t="shared" si="19"/>
        <v>1.3212328349800849E-2</v>
      </c>
      <c r="U199" s="181">
        <f t="shared" si="19"/>
        <v>1.3212328349800849E-2</v>
      </c>
      <c r="V199" s="181">
        <f t="shared" si="19"/>
        <v>1.3212328349800849E-2</v>
      </c>
      <c r="W199" s="181">
        <f t="shared" si="19"/>
        <v>1.3212328349800849E-2</v>
      </c>
      <c r="X199" s="181">
        <f t="shared" si="19"/>
        <v>1.3212328349800849E-2</v>
      </c>
      <c r="Y199" s="181">
        <f t="shared" si="19"/>
        <v>1.3212328349800849E-2</v>
      </c>
    </row>
    <row r="200" spans="5:25" x14ac:dyDescent="0.25">
      <c r="E200" s="82"/>
      <c r="F200" s="109"/>
      <c r="G200" s="14"/>
      <c r="H200" s="143"/>
      <c r="J200" s="391"/>
      <c r="K200" s="391"/>
      <c r="L200" s="391"/>
      <c r="M200" s="391"/>
      <c r="N200" s="391"/>
      <c r="O200" s="391"/>
      <c r="P200" s="391"/>
      <c r="Q200" s="391"/>
      <c r="R200" s="391"/>
      <c r="S200" s="391"/>
      <c r="T200" s="391"/>
      <c r="U200" s="391"/>
      <c r="V200" s="391"/>
      <c r="W200" s="391"/>
      <c r="X200" s="391"/>
      <c r="Y200" s="391"/>
    </row>
    <row r="201" spans="5:25" x14ac:dyDescent="0.25">
      <c r="E201" s="96" t="s">
        <v>584</v>
      </c>
      <c r="G201" s="14"/>
    </row>
    <row r="202" spans="5:25" x14ac:dyDescent="0.25">
      <c r="E202" s="82"/>
      <c r="F202" s="40" t="s">
        <v>243</v>
      </c>
      <c r="G202" s="16" t="s">
        <v>94</v>
      </c>
      <c r="H202" s="137"/>
      <c r="I202" s="91"/>
      <c r="J202" s="180">
        <f t="shared" ref="J202:Y204" si="20">IF(J$20, $H146, $H143)</f>
        <v>0</v>
      </c>
      <c r="K202" s="180">
        <f t="shared" si="20"/>
        <v>0</v>
      </c>
      <c r="L202" s="180">
        <f t="shared" si="20"/>
        <v>0</v>
      </c>
      <c r="M202" s="180">
        <f t="shared" si="20"/>
        <v>0</v>
      </c>
      <c r="N202" s="180">
        <f t="shared" si="20"/>
        <v>0</v>
      </c>
      <c r="O202" s="180">
        <f t="shared" si="20"/>
        <v>0</v>
      </c>
      <c r="P202" s="180">
        <f t="shared" si="20"/>
        <v>0</v>
      </c>
      <c r="Q202" s="180">
        <f t="shared" si="20"/>
        <v>0</v>
      </c>
      <c r="R202" s="180">
        <f t="shared" si="20"/>
        <v>0</v>
      </c>
      <c r="S202" s="180">
        <f t="shared" si="20"/>
        <v>0</v>
      </c>
      <c r="T202" s="180">
        <f t="shared" si="20"/>
        <v>0</v>
      </c>
      <c r="U202" s="180">
        <f t="shared" si="20"/>
        <v>0</v>
      </c>
      <c r="V202" s="180">
        <f t="shared" si="20"/>
        <v>0</v>
      </c>
      <c r="W202" s="180">
        <f t="shared" si="20"/>
        <v>0</v>
      </c>
      <c r="X202" s="180">
        <f t="shared" si="20"/>
        <v>0</v>
      </c>
      <c r="Y202" s="180">
        <f t="shared" si="20"/>
        <v>0</v>
      </c>
    </row>
    <row r="203" spans="5:25" x14ac:dyDescent="0.25">
      <c r="E203" s="82"/>
      <c r="F203" s="109" t="s">
        <v>244</v>
      </c>
      <c r="G203" s="14" t="s">
        <v>94</v>
      </c>
      <c r="H203" s="143"/>
      <c r="J203" s="391">
        <f t="shared" si="20"/>
        <v>0</v>
      </c>
      <c r="K203" s="391">
        <f t="shared" si="20"/>
        <v>0</v>
      </c>
      <c r="L203" s="391">
        <f t="shared" si="20"/>
        <v>0</v>
      </c>
      <c r="M203" s="391">
        <f t="shared" si="20"/>
        <v>0</v>
      </c>
      <c r="N203" s="391">
        <f t="shared" si="20"/>
        <v>0</v>
      </c>
      <c r="O203" s="391">
        <f t="shared" si="20"/>
        <v>0</v>
      </c>
      <c r="P203" s="391">
        <f t="shared" si="20"/>
        <v>0</v>
      </c>
      <c r="Q203" s="391">
        <f t="shared" si="20"/>
        <v>0</v>
      </c>
      <c r="R203" s="391">
        <f t="shared" si="20"/>
        <v>0</v>
      </c>
      <c r="S203" s="391">
        <f t="shared" si="20"/>
        <v>0</v>
      </c>
      <c r="T203" s="391">
        <f t="shared" si="20"/>
        <v>0</v>
      </c>
      <c r="U203" s="391">
        <f t="shared" si="20"/>
        <v>0</v>
      </c>
      <c r="V203" s="391">
        <f t="shared" si="20"/>
        <v>0</v>
      </c>
      <c r="W203" s="391">
        <f t="shared" si="20"/>
        <v>0</v>
      </c>
      <c r="X203" s="391">
        <f t="shared" si="20"/>
        <v>0</v>
      </c>
      <c r="Y203" s="391">
        <f t="shared" si="20"/>
        <v>0</v>
      </c>
    </row>
    <row r="204" spans="5:25" x14ac:dyDescent="0.25">
      <c r="E204" s="82"/>
      <c r="F204" s="36" t="s">
        <v>86</v>
      </c>
      <c r="G204" s="15" t="s">
        <v>94</v>
      </c>
      <c r="H204" s="390"/>
      <c r="I204" s="93"/>
      <c r="J204" s="181">
        <f t="shared" si="20"/>
        <v>0</v>
      </c>
      <c r="K204" s="181">
        <f t="shared" si="20"/>
        <v>0</v>
      </c>
      <c r="L204" s="181">
        <f t="shared" si="20"/>
        <v>0</v>
      </c>
      <c r="M204" s="181">
        <f t="shared" si="20"/>
        <v>0</v>
      </c>
      <c r="N204" s="181">
        <f t="shared" si="20"/>
        <v>0</v>
      </c>
      <c r="O204" s="181">
        <f t="shared" si="20"/>
        <v>0</v>
      </c>
      <c r="P204" s="181">
        <f t="shared" si="20"/>
        <v>0</v>
      </c>
      <c r="Q204" s="181">
        <f t="shared" si="20"/>
        <v>0</v>
      </c>
      <c r="R204" s="181">
        <f t="shared" si="20"/>
        <v>0</v>
      </c>
      <c r="S204" s="181">
        <f t="shared" si="20"/>
        <v>0</v>
      </c>
      <c r="T204" s="181">
        <f t="shared" si="20"/>
        <v>0</v>
      </c>
      <c r="U204" s="181">
        <f t="shared" si="20"/>
        <v>0</v>
      </c>
      <c r="V204" s="181">
        <f t="shared" si="20"/>
        <v>0</v>
      </c>
      <c r="W204" s="181">
        <f t="shared" si="20"/>
        <v>0</v>
      </c>
      <c r="X204" s="181">
        <f t="shared" si="20"/>
        <v>0</v>
      </c>
      <c r="Y204" s="181">
        <f t="shared" si="20"/>
        <v>0</v>
      </c>
    </row>
    <row r="205" spans="5:25" x14ac:dyDescent="0.25">
      <c r="E205" s="82"/>
      <c r="F205" s="109"/>
      <c r="G205" s="14"/>
      <c r="H205" s="143"/>
      <c r="J205" s="391"/>
      <c r="K205" s="391"/>
      <c r="L205" s="391"/>
      <c r="M205" s="391"/>
      <c r="N205" s="391"/>
      <c r="O205" s="391"/>
      <c r="P205" s="391"/>
      <c r="Q205" s="391"/>
      <c r="R205" s="391"/>
      <c r="S205" s="391"/>
      <c r="T205" s="391"/>
      <c r="U205" s="391"/>
      <c r="V205" s="391"/>
      <c r="W205" s="391"/>
      <c r="X205" s="391"/>
      <c r="Y205" s="391"/>
    </row>
    <row r="206" spans="5:25" x14ac:dyDescent="0.25">
      <c r="E206" s="96" t="s">
        <v>585</v>
      </c>
      <c r="G206" s="14"/>
    </row>
    <row r="207" spans="5:25" x14ac:dyDescent="0.25">
      <c r="E207" s="82"/>
      <c r="F207" s="40" t="s">
        <v>243</v>
      </c>
      <c r="G207" s="16" t="s">
        <v>94</v>
      </c>
      <c r="H207" s="137"/>
      <c r="I207" s="91"/>
      <c r="J207" s="180">
        <f t="shared" ref="J207:Y209" si="21">IF(J$20, $H154, $H151)</f>
        <v>0.3799428329392241</v>
      </c>
      <c r="K207" s="180">
        <f t="shared" si="21"/>
        <v>0.3799428329392241</v>
      </c>
      <c r="L207" s="180">
        <f t="shared" si="21"/>
        <v>0.3799428329392241</v>
      </c>
      <c r="M207" s="180">
        <f t="shared" si="21"/>
        <v>0.3799428329392241</v>
      </c>
      <c r="N207" s="180">
        <f t="shared" si="21"/>
        <v>0.3799428329392241</v>
      </c>
      <c r="O207" s="180">
        <f t="shared" si="21"/>
        <v>0.3799428329392241</v>
      </c>
      <c r="P207" s="180">
        <f t="shared" si="21"/>
        <v>0.3799428329392241</v>
      </c>
      <c r="Q207" s="180">
        <f t="shared" si="21"/>
        <v>0.33748362018361128</v>
      </c>
      <c r="R207" s="180">
        <f t="shared" si="21"/>
        <v>0.3799428329392241</v>
      </c>
      <c r="S207" s="180">
        <f t="shared" si="21"/>
        <v>0.3799428329392241</v>
      </c>
      <c r="T207" s="180">
        <f t="shared" si="21"/>
        <v>0.3799428329392241</v>
      </c>
      <c r="U207" s="180">
        <f t="shared" si="21"/>
        <v>0.3799428329392241</v>
      </c>
      <c r="V207" s="180">
        <f t="shared" si="21"/>
        <v>0.3799428329392241</v>
      </c>
      <c r="W207" s="180">
        <f t="shared" si="21"/>
        <v>0.3799428329392241</v>
      </c>
      <c r="X207" s="180">
        <f t="shared" si="21"/>
        <v>0.3799428329392241</v>
      </c>
      <c r="Y207" s="180">
        <f t="shared" si="21"/>
        <v>0.3799428329392241</v>
      </c>
    </row>
    <row r="208" spans="5:25" x14ac:dyDescent="0.25">
      <c r="E208" s="82"/>
      <c r="F208" s="109" t="s">
        <v>244</v>
      </c>
      <c r="G208" s="14" t="s">
        <v>94</v>
      </c>
      <c r="H208" s="143"/>
      <c r="J208" s="391">
        <f t="shared" si="21"/>
        <v>0.59387927082595571</v>
      </c>
      <c r="K208" s="391">
        <f t="shared" si="21"/>
        <v>0.59387927082595571</v>
      </c>
      <c r="L208" s="391">
        <f t="shared" si="21"/>
        <v>0.59387927082595571</v>
      </c>
      <c r="M208" s="391">
        <f t="shared" si="21"/>
        <v>0.59387927082595571</v>
      </c>
      <c r="N208" s="391">
        <f t="shared" si="21"/>
        <v>0.59387927082595571</v>
      </c>
      <c r="O208" s="391">
        <f t="shared" si="21"/>
        <v>0.59387927082595571</v>
      </c>
      <c r="P208" s="391">
        <f t="shared" si="21"/>
        <v>0.59387927082595571</v>
      </c>
      <c r="Q208" s="391">
        <f t="shared" si="21"/>
        <v>0.63633848358156841</v>
      </c>
      <c r="R208" s="391">
        <f t="shared" si="21"/>
        <v>0.59387927082595571</v>
      </c>
      <c r="S208" s="391">
        <f t="shared" si="21"/>
        <v>0.59387927082595571</v>
      </c>
      <c r="T208" s="391">
        <f t="shared" si="21"/>
        <v>0.59387927082595571</v>
      </c>
      <c r="U208" s="391">
        <f t="shared" si="21"/>
        <v>0.59387927082595571</v>
      </c>
      <c r="V208" s="391">
        <f t="shared" si="21"/>
        <v>0.59387927082595571</v>
      </c>
      <c r="W208" s="391">
        <f t="shared" si="21"/>
        <v>0.59387927082595571</v>
      </c>
      <c r="X208" s="391">
        <f t="shared" si="21"/>
        <v>0.59387927082595571</v>
      </c>
      <c r="Y208" s="391">
        <f t="shared" si="21"/>
        <v>0.59387927082595571</v>
      </c>
    </row>
    <row r="209" spans="3:27" x14ac:dyDescent="0.25">
      <c r="E209" s="82"/>
      <c r="F209" s="36" t="s">
        <v>86</v>
      </c>
      <c r="G209" s="15" t="s">
        <v>94</v>
      </c>
      <c r="H209" s="390"/>
      <c r="I209" s="93"/>
      <c r="J209" s="181">
        <f t="shared" si="21"/>
        <v>2.6177896234820221E-2</v>
      </c>
      <c r="K209" s="181">
        <f t="shared" si="21"/>
        <v>2.6177896234820221E-2</v>
      </c>
      <c r="L209" s="181">
        <f t="shared" si="21"/>
        <v>2.6177896234820221E-2</v>
      </c>
      <c r="M209" s="181">
        <f t="shared" si="21"/>
        <v>2.6177896234820221E-2</v>
      </c>
      <c r="N209" s="181">
        <f t="shared" si="21"/>
        <v>2.6177896234820221E-2</v>
      </c>
      <c r="O209" s="181">
        <f t="shared" si="21"/>
        <v>2.6177896234820221E-2</v>
      </c>
      <c r="P209" s="181">
        <f t="shared" si="21"/>
        <v>2.6177896234820221E-2</v>
      </c>
      <c r="Q209" s="181">
        <f t="shared" si="21"/>
        <v>2.6177896234820221E-2</v>
      </c>
      <c r="R209" s="181">
        <f t="shared" si="21"/>
        <v>2.6177896234820221E-2</v>
      </c>
      <c r="S209" s="181">
        <f t="shared" si="21"/>
        <v>2.6177896234820221E-2</v>
      </c>
      <c r="T209" s="181">
        <f t="shared" si="21"/>
        <v>2.6177896234820221E-2</v>
      </c>
      <c r="U209" s="181">
        <f t="shared" si="21"/>
        <v>2.6177896234820221E-2</v>
      </c>
      <c r="V209" s="181">
        <f t="shared" si="21"/>
        <v>2.6177896234820221E-2</v>
      </c>
      <c r="W209" s="181">
        <f t="shared" si="21"/>
        <v>2.6177896234820221E-2</v>
      </c>
      <c r="X209" s="181">
        <f t="shared" si="21"/>
        <v>2.6177896234820221E-2</v>
      </c>
      <c r="Y209" s="181">
        <f t="shared" si="21"/>
        <v>2.6177896234820221E-2</v>
      </c>
    </row>
    <row r="210" spans="3:27" x14ac:dyDescent="0.25">
      <c r="E210" s="82"/>
      <c r="F210" s="109"/>
      <c r="G210" s="14"/>
      <c r="H210" s="143"/>
      <c r="J210" s="391"/>
      <c r="K210" s="391"/>
      <c r="L210" s="391"/>
      <c r="M210" s="391"/>
      <c r="N210" s="391"/>
      <c r="O210" s="391"/>
      <c r="P210" s="391"/>
      <c r="Q210" s="391"/>
      <c r="R210" s="391"/>
      <c r="S210" s="391"/>
      <c r="T210" s="391"/>
      <c r="U210" s="391"/>
      <c r="V210" s="391"/>
      <c r="W210" s="391"/>
      <c r="X210" s="391"/>
      <c r="Y210" s="391"/>
    </row>
    <row r="211" spans="3:27" x14ac:dyDescent="0.25">
      <c r="E211" s="96" t="s">
        <v>586</v>
      </c>
      <c r="G211" s="14"/>
    </row>
    <row r="212" spans="3:27" x14ac:dyDescent="0.25">
      <c r="E212" s="82"/>
      <c r="F212" s="40" t="s">
        <v>243</v>
      </c>
      <c r="G212" s="16" t="s">
        <v>94</v>
      </c>
      <c r="H212" s="137"/>
      <c r="I212" s="91"/>
      <c r="J212" s="180">
        <f t="shared" ref="J212:Y214" si="22">IF(J$20, $H162, $H159)</f>
        <v>0.3799428329392241</v>
      </c>
      <c r="K212" s="180">
        <f t="shared" si="22"/>
        <v>0.3799428329392241</v>
      </c>
      <c r="L212" s="180">
        <f t="shared" si="22"/>
        <v>0.3799428329392241</v>
      </c>
      <c r="M212" s="180">
        <f t="shared" si="22"/>
        <v>0.3799428329392241</v>
      </c>
      <c r="N212" s="180">
        <f t="shared" si="22"/>
        <v>0.3799428329392241</v>
      </c>
      <c r="O212" s="180">
        <f t="shared" si="22"/>
        <v>0.3799428329392241</v>
      </c>
      <c r="P212" s="180">
        <f t="shared" si="22"/>
        <v>0.3799428329392241</v>
      </c>
      <c r="Q212" s="180">
        <f t="shared" si="22"/>
        <v>0.33748362018361128</v>
      </c>
      <c r="R212" s="180">
        <f t="shared" si="22"/>
        <v>0.3799428329392241</v>
      </c>
      <c r="S212" s="180">
        <f t="shared" si="22"/>
        <v>0.3799428329392241</v>
      </c>
      <c r="T212" s="180">
        <f t="shared" si="22"/>
        <v>0.3799428329392241</v>
      </c>
      <c r="U212" s="180">
        <f t="shared" si="22"/>
        <v>0.3799428329392241</v>
      </c>
      <c r="V212" s="180">
        <f t="shared" si="22"/>
        <v>0.3799428329392241</v>
      </c>
      <c r="W212" s="180">
        <f t="shared" si="22"/>
        <v>0.3799428329392241</v>
      </c>
      <c r="X212" s="180">
        <f t="shared" si="22"/>
        <v>0.3799428329392241</v>
      </c>
      <c r="Y212" s="180">
        <f t="shared" si="22"/>
        <v>0.3799428329392241</v>
      </c>
    </row>
    <row r="213" spans="3:27" x14ac:dyDescent="0.25">
      <c r="E213" s="82"/>
      <c r="F213" s="109" t="s">
        <v>244</v>
      </c>
      <c r="G213" s="14" t="s">
        <v>94</v>
      </c>
      <c r="H213" s="143"/>
      <c r="J213" s="391">
        <f t="shared" si="22"/>
        <v>0.59387927082595571</v>
      </c>
      <c r="K213" s="391">
        <f t="shared" si="22"/>
        <v>0.59387927082595571</v>
      </c>
      <c r="L213" s="391">
        <f t="shared" si="22"/>
        <v>0.59387927082595571</v>
      </c>
      <c r="M213" s="391">
        <f t="shared" si="22"/>
        <v>0.59387927082595571</v>
      </c>
      <c r="N213" s="391">
        <f t="shared" si="22"/>
        <v>0.59387927082595571</v>
      </c>
      <c r="O213" s="391">
        <f t="shared" si="22"/>
        <v>0.59387927082595571</v>
      </c>
      <c r="P213" s="391">
        <f t="shared" si="22"/>
        <v>0.59387927082595571</v>
      </c>
      <c r="Q213" s="391">
        <f t="shared" si="22"/>
        <v>0.63633848358156841</v>
      </c>
      <c r="R213" s="391">
        <f t="shared" si="22"/>
        <v>0.59387927082595571</v>
      </c>
      <c r="S213" s="391">
        <f t="shared" si="22"/>
        <v>0.59387927082595571</v>
      </c>
      <c r="T213" s="391">
        <f t="shared" si="22"/>
        <v>0.59387927082595571</v>
      </c>
      <c r="U213" s="391">
        <f t="shared" si="22"/>
        <v>0.59387927082595571</v>
      </c>
      <c r="V213" s="391">
        <f t="shared" si="22"/>
        <v>0.59387927082595571</v>
      </c>
      <c r="W213" s="391">
        <f t="shared" si="22"/>
        <v>0.59387927082595571</v>
      </c>
      <c r="X213" s="391">
        <f t="shared" si="22"/>
        <v>0.59387927082595571</v>
      </c>
      <c r="Y213" s="391">
        <f t="shared" si="22"/>
        <v>0.59387927082595571</v>
      </c>
    </row>
    <row r="214" spans="3:27" x14ac:dyDescent="0.25">
      <c r="E214" s="82"/>
      <c r="F214" s="36" t="s">
        <v>86</v>
      </c>
      <c r="G214" s="15" t="s">
        <v>94</v>
      </c>
      <c r="H214" s="390"/>
      <c r="I214" s="93"/>
      <c r="J214" s="181">
        <f t="shared" si="22"/>
        <v>2.6177896234820221E-2</v>
      </c>
      <c r="K214" s="181">
        <f t="shared" si="22"/>
        <v>2.6177896234820221E-2</v>
      </c>
      <c r="L214" s="181">
        <f t="shared" si="22"/>
        <v>2.6177896234820221E-2</v>
      </c>
      <c r="M214" s="181">
        <f t="shared" si="22"/>
        <v>2.6177896234820221E-2</v>
      </c>
      <c r="N214" s="181">
        <f t="shared" si="22"/>
        <v>2.6177896234820221E-2</v>
      </c>
      <c r="O214" s="181">
        <f t="shared" si="22"/>
        <v>2.6177896234820221E-2</v>
      </c>
      <c r="P214" s="181">
        <f t="shared" si="22"/>
        <v>2.6177896234820221E-2</v>
      </c>
      <c r="Q214" s="181">
        <f t="shared" si="22"/>
        <v>2.6177896234820221E-2</v>
      </c>
      <c r="R214" s="181">
        <f t="shared" si="22"/>
        <v>2.6177896234820221E-2</v>
      </c>
      <c r="S214" s="181">
        <f t="shared" si="22"/>
        <v>2.6177896234820221E-2</v>
      </c>
      <c r="T214" s="181">
        <f t="shared" si="22"/>
        <v>2.6177896234820221E-2</v>
      </c>
      <c r="U214" s="181">
        <f t="shared" si="22"/>
        <v>2.6177896234820221E-2</v>
      </c>
      <c r="V214" s="181">
        <f t="shared" si="22"/>
        <v>2.6177896234820221E-2</v>
      </c>
      <c r="W214" s="181">
        <f t="shared" si="22"/>
        <v>2.6177896234820221E-2</v>
      </c>
      <c r="X214" s="181">
        <f t="shared" si="22"/>
        <v>2.6177896234820221E-2</v>
      </c>
      <c r="Y214" s="181">
        <f t="shared" si="22"/>
        <v>2.6177896234820221E-2</v>
      </c>
    </row>
    <row r="215" spans="3:27" x14ac:dyDescent="0.25">
      <c r="E215" s="82"/>
      <c r="F215" s="109"/>
      <c r="G215" s="14"/>
      <c r="H215" s="143"/>
      <c r="J215" s="391"/>
      <c r="K215" s="391"/>
      <c r="L215" s="391"/>
      <c r="M215" s="391"/>
      <c r="N215" s="391"/>
      <c r="O215" s="391"/>
      <c r="P215" s="391"/>
      <c r="Q215" s="391"/>
      <c r="R215" s="391"/>
      <c r="S215" s="391"/>
      <c r="T215" s="391"/>
      <c r="U215" s="391"/>
      <c r="V215" s="391"/>
      <c r="W215" s="391"/>
      <c r="X215" s="391"/>
      <c r="Y215" s="391"/>
    </row>
    <row r="216" spans="3:27" x14ac:dyDescent="0.25">
      <c r="E216" s="96" t="s">
        <v>587</v>
      </c>
      <c r="G216" s="14"/>
    </row>
    <row r="217" spans="3:27" x14ac:dyDescent="0.25">
      <c r="E217" s="82"/>
      <c r="F217" s="40" t="s">
        <v>243</v>
      </c>
      <c r="G217" s="16" t="s">
        <v>94</v>
      </c>
      <c r="H217" s="137"/>
      <c r="I217" s="91"/>
      <c r="J217" s="180">
        <f t="shared" ref="J217:Y219" si="23">IF(J$20, $H170, $H167)</f>
        <v>0.3799428329392241</v>
      </c>
      <c r="K217" s="180">
        <f t="shared" si="23"/>
        <v>0.3799428329392241</v>
      </c>
      <c r="L217" s="180">
        <f t="shared" si="23"/>
        <v>0.3799428329392241</v>
      </c>
      <c r="M217" s="180">
        <f t="shared" si="23"/>
        <v>0.3799428329392241</v>
      </c>
      <c r="N217" s="180">
        <f t="shared" si="23"/>
        <v>0.3799428329392241</v>
      </c>
      <c r="O217" s="180">
        <f t="shared" si="23"/>
        <v>0.3799428329392241</v>
      </c>
      <c r="P217" s="180">
        <f t="shared" si="23"/>
        <v>0.3799428329392241</v>
      </c>
      <c r="Q217" s="180">
        <f t="shared" si="23"/>
        <v>0.33748362018361128</v>
      </c>
      <c r="R217" s="180">
        <f t="shared" si="23"/>
        <v>0.3799428329392241</v>
      </c>
      <c r="S217" s="180">
        <f t="shared" si="23"/>
        <v>0.3799428329392241</v>
      </c>
      <c r="T217" s="180">
        <f t="shared" si="23"/>
        <v>0.3799428329392241</v>
      </c>
      <c r="U217" s="180">
        <f t="shared" si="23"/>
        <v>0.3799428329392241</v>
      </c>
      <c r="V217" s="180">
        <f t="shared" si="23"/>
        <v>0.3799428329392241</v>
      </c>
      <c r="W217" s="180">
        <f t="shared" si="23"/>
        <v>0.3799428329392241</v>
      </c>
      <c r="X217" s="180">
        <f t="shared" si="23"/>
        <v>0.3799428329392241</v>
      </c>
      <c r="Y217" s="180">
        <f t="shared" si="23"/>
        <v>0.3799428329392241</v>
      </c>
    </row>
    <row r="218" spans="3:27" x14ac:dyDescent="0.25">
      <c r="E218" s="82"/>
      <c r="F218" s="109" t="s">
        <v>244</v>
      </c>
      <c r="G218" s="14" t="s">
        <v>94</v>
      </c>
      <c r="H218" s="143"/>
      <c r="J218" s="391">
        <f t="shared" si="23"/>
        <v>0.59387927082595571</v>
      </c>
      <c r="K218" s="391">
        <f t="shared" si="23"/>
        <v>0.59387927082595571</v>
      </c>
      <c r="L218" s="391">
        <f t="shared" si="23"/>
        <v>0.59387927082595571</v>
      </c>
      <c r="M218" s="391">
        <f t="shared" si="23"/>
        <v>0.59387927082595571</v>
      </c>
      <c r="N218" s="391">
        <f t="shared" si="23"/>
        <v>0.59387927082595571</v>
      </c>
      <c r="O218" s="391">
        <f t="shared" si="23"/>
        <v>0.59387927082595571</v>
      </c>
      <c r="P218" s="391">
        <f t="shared" si="23"/>
        <v>0.59387927082595571</v>
      </c>
      <c r="Q218" s="391">
        <f t="shared" si="23"/>
        <v>0.63633848358156841</v>
      </c>
      <c r="R218" s="391">
        <f t="shared" si="23"/>
        <v>0.59387927082595571</v>
      </c>
      <c r="S218" s="391">
        <f t="shared" si="23"/>
        <v>0.59387927082595571</v>
      </c>
      <c r="T218" s="391">
        <f t="shared" si="23"/>
        <v>0.59387927082595571</v>
      </c>
      <c r="U218" s="391">
        <f t="shared" si="23"/>
        <v>0.59387927082595571</v>
      </c>
      <c r="V218" s="391">
        <f t="shared" si="23"/>
        <v>0.59387927082595571</v>
      </c>
      <c r="W218" s="391">
        <f t="shared" si="23"/>
        <v>0.59387927082595571</v>
      </c>
      <c r="X218" s="391">
        <f t="shared" si="23"/>
        <v>0.59387927082595571</v>
      </c>
      <c r="Y218" s="391">
        <f t="shared" si="23"/>
        <v>0.59387927082595571</v>
      </c>
    </row>
    <row r="219" spans="3:27" x14ac:dyDescent="0.25">
      <c r="E219" s="82"/>
      <c r="F219" s="36" t="s">
        <v>86</v>
      </c>
      <c r="G219" s="15" t="s">
        <v>94</v>
      </c>
      <c r="H219" s="390"/>
      <c r="I219" s="93"/>
      <c r="J219" s="181">
        <f t="shared" si="23"/>
        <v>2.6177896234820221E-2</v>
      </c>
      <c r="K219" s="181">
        <f t="shared" si="23"/>
        <v>2.6177896234820221E-2</v>
      </c>
      <c r="L219" s="181">
        <f t="shared" si="23"/>
        <v>2.6177896234820221E-2</v>
      </c>
      <c r="M219" s="181">
        <f t="shared" si="23"/>
        <v>2.6177896234820221E-2</v>
      </c>
      <c r="N219" s="181">
        <f t="shared" si="23"/>
        <v>2.6177896234820221E-2</v>
      </c>
      <c r="O219" s="181">
        <f t="shared" si="23"/>
        <v>2.6177896234820221E-2</v>
      </c>
      <c r="P219" s="181">
        <f t="shared" si="23"/>
        <v>2.6177896234820221E-2</v>
      </c>
      <c r="Q219" s="181">
        <f t="shared" si="23"/>
        <v>2.6177896234820221E-2</v>
      </c>
      <c r="R219" s="181">
        <f t="shared" si="23"/>
        <v>2.6177896234820221E-2</v>
      </c>
      <c r="S219" s="181">
        <f t="shared" si="23"/>
        <v>2.6177896234820221E-2</v>
      </c>
      <c r="T219" s="181">
        <f t="shared" si="23"/>
        <v>2.6177896234820221E-2</v>
      </c>
      <c r="U219" s="181">
        <f t="shared" si="23"/>
        <v>2.6177896234820221E-2</v>
      </c>
      <c r="V219" s="181">
        <f t="shared" si="23"/>
        <v>2.6177896234820221E-2</v>
      </c>
      <c r="W219" s="181">
        <f t="shared" si="23"/>
        <v>2.6177896234820221E-2</v>
      </c>
      <c r="X219" s="181">
        <f t="shared" si="23"/>
        <v>2.6177896234820221E-2</v>
      </c>
      <c r="Y219" s="181">
        <f t="shared" si="23"/>
        <v>2.6177896234820221E-2</v>
      </c>
    </row>
    <row r="220" spans="3:27" x14ac:dyDescent="0.25">
      <c r="D220" s="82"/>
      <c r="E220" s="109"/>
      <c r="G220" s="14"/>
      <c r="H220" s="143"/>
      <c r="J220" s="391"/>
      <c r="K220" s="391"/>
      <c r="L220" s="391"/>
      <c r="M220" s="391"/>
      <c r="N220" s="391"/>
      <c r="O220" s="391"/>
      <c r="P220" s="391"/>
      <c r="Q220" s="391"/>
      <c r="R220" s="391"/>
      <c r="S220" s="391"/>
      <c r="T220" s="391"/>
      <c r="U220" s="391"/>
      <c r="V220" s="391"/>
      <c r="W220" s="391"/>
      <c r="X220" s="391"/>
      <c r="Y220" s="391"/>
    </row>
    <row r="221" spans="3:27" x14ac:dyDescent="0.25">
      <c r="C221" s="7" t="str">
        <f ca="1">INDEX('Version control'!$H$35:$H$61,MATCH($A$1,'Version control'!$F$35:$F$61,0),1)&amp;"-J: Ratio of coincidence factor to load factor, based on uniform distribution in timebands and peaking probabilities"</f>
        <v>Section 508-J: Ratio of coincidence factor to load factor, based on uniform distribution in timebands and peaking probabilities</v>
      </c>
      <c r="D221" s="7"/>
      <c r="E221" s="7"/>
      <c r="F221" s="7"/>
      <c r="G221" s="7"/>
      <c r="H221" s="7"/>
      <c r="I221" s="7"/>
      <c r="J221" s="7"/>
      <c r="K221" s="7"/>
      <c r="L221" s="7"/>
      <c r="M221" s="7"/>
      <c r="N221" s="7"/>
      <c r="O221" s="7"/>
      <c r="P221" s="7"/>
      <c r="Q221" s="7"/>
      <c r="R221" s="7"/>
      <c r="S221" s="7"/>
      <c r="T221" s="7"/>
      <c r="U221" s="7"/>
      <c r="V221" s="7"/>
      <c r="W221" s="7"/>
      <c r="X221" s="7"/>
      <c r="Y221" s="7"/>
      <c r="Z221" s="7"/>
      <c r="AA221" s="7"/>
    </row>
    <row r="222" spans="3:27" x14ac:dyDescent="0.25">
      <c r="D222" s="82"/>
      <c r="E222" s="109"/>
      <c r="G222" s="14"/>
      <c r="H222" s="143"/>
      <c r="J222" s="391"/>
      <c r="K222" s="391"/>
      <c r="L222" s="391"/>
      <c r="M222" s="391"/>
      <c r="N222" s="391"/>
      <c r="O222" s="391"/>
      <c r="P222" s="391"/>
      <c r="Q222" s="391"/>
      <c r="R222" s="391"/>
      <c r="S222" s="391"/>
      <c r="T222" s="391"/>
      <c r="U222" s="391"/>
      <c r="V222" s="391"/>
      <c r="W222" s="391"/>
      <c r="X222" s="391"/>
      <c r="Y222" s="391"/>
    </row>
    <row r="223" spans="3:27" x14ac:dyDescent="0.25">
      <c r="E223" s="96" t="s">
        <v>321</v>
      </c>
      <c r="G223" s="14"/>
    </row>
    <row r="224" spans="3:27" x14ac:dyDescent="0.25">
      <c r="F224" s="16" t="s">
        <v>243</v>
      </c>
      <c r="G224" s="16" t="s">
        <v>522</v>
      </c>
      <c r="H224" s="91"/>
      <c r="I224" s="91"/>
      <c r="J224" s="277">
        <f t="shared" ref="J224:Y226" si="24">1 / J24</f>
        <v>1.2820512820512821E-3</v>
      </c>
      <c r="K224" s="277">
        <f t="shared" si="24"/>
        <v>1.2820512820512821E-3</v>
      </c>
      <c r="L224" s="277">
        <f t="shared" si="24"/>
        <v>1.2820512820512821E-3</v>
      </c>
      <c r="M224" s="277">
        <f t="shared" si="24"/>
        <v>1.2820512820512821E-3</v>
      </c>
      <c r="N224" s="277">
        <f t="shared" si="24"/>
        <v>1.2820512820512821E-3</v>
      </c>
      <c r="O224" s="277">
        <f t="shared" si="24"/>
        <v>1.2820512820512821E-3</v>
      </c>
      <c r="P224" s="277">
        <f t="shared" si="24"/>
        <v>1.2820512820512821E-3</v>
      </c>
      <c r="Q224" s="277">
        <f t="shared" si="24"/>
        <v>3.8314176245210726E-3</v>
      </c>
      <c r="R224" s="277">
        <f t="shared" si="24"/>
        <v>1.2820512820512821E-3</v>
      </c>
      <c r="S224" s="277">
        <f t="shared" si="24"/>
        <v>1.2820512820512821E-3</v>
      </c>
      <c r="T224" s="277">
        <f t="shared" si="24"/>
        <v>1.2820512820512821E-3</v>
      </c>
      <c r="U224" s="277">
        <f t="shared" si="24"/>
        <v>1.2820512820512821E-3</v>
      </c>
      <c r="V224" s="277">
        <f t="shared" si="24"/>
        <v>1.2820512820512821E-3</v>
      </c>
      <c r="W224" s="277">
        <f t="shared" si="24"/>
        <v>1.2820512820512821E-3</v>
      </c>
      <c r="X224" s="277">
        <f t="shared" si="24"/>
        <v>1.2820512820512821E-3</v>
      </c>
      <c r="Y224" s="277">
        <f t="shared" si="24"/>
        <v>1.2820512820512821E-3</v>
      </c>
    </row>
    <row r="225" spans="5:25" x14ac:dyDescent="0.25">
      <c r="F225" s="14" t="s">
        <v>244</v>
      </c>
      <c r="G225" s="14" t="s">
        <v>522</v>
      </c>
      <c r="J225" s="252">
        <f t="shared" si="24"/>
        <v>2.2768670309653916E-4</v>
      </c>
      <c r="K225" s="252">
        <f t="shared" si="24"/>
        <v>2.2768670309653916E-4</v>
      </c>
      <c r="L225" s="252">
        <f t="shared" si="24"/>
        <v>2.2768670309653916E-4</v>
      </c>
      <c r="M225" s="252">
        <f t="shared" si="24"/>
        <v>2.2768670309653916E-4</v>
      </c>
      <c r="N225" s="252">
        <f t="shared" si="24"/>
        <v>2.2768670309653916E-4</v>
      </c>
      <c r="O225" s="252">
        <f t="shared" si="24"/>
        <v>2.2768670309653916E-4</v>
      </c>
      <c r="P225" s="252">
        <f t="shared" si="24"/>
        <v>2.2768670309653916E-4</v>
      </c>
      <c r="Q225" s="252">
        <f t="shared" si="24"/>
        <v>2.0362451639177357E-4</v>
      </c>
      <c r="R225" s="252">
        <f t="shared" si="24"/>
        <v>2.2768670309653916E-4</v>
      </c>
      <c r="S225" s="252">
        <f t="shared" si="24"/>
        <v>2.2768670309653916E-4</v>
      </c>
      <c r="T225" s="252">
        <f t="shared" si="24"/>
        <v>2.2768670309653916E-4</v>
      </c>
      <c r="U225" s="252">
        <f t="shared" si="24"/>
        <v>2.2768670309653916E-4</v>
      </c>
      <c r="V225" s="252">
        <f t="shared" si="24"/>
        <v>2.2768670309653916E-4</v>
      </c>
      <c r="W225" s="252">
        <f t="shared" si="24"/>
        <v>2.2768670309653916E-4</v>
      </c>
      <c r="X225" s="252">
        <f t="shared" si="24"/>
        <v>2.2768670309653916E-4</v>
      </c>
      <c r="Y225" s="252">
        <f t="shared" si="24"/>
        <v>2.2768670309653916E-4</v>
      </c>
    </row>
    <row r="226" spans="5:25" x14ac:dyDescent="0.25">
      <c r="F226" s="15" t="s">
        <v>86</v>
      </c>
      <c r="G226" s="15" t="s">
        <v>522</v>
      </c>
      <c r="H226" s="93"/>
      <c r="I226" s="93"/>
      <c r="J226" s="271">
        <f t="shared" si="24"/>
        <v>2.768549280177187E-4</v>
      </c>
      <c r="K226" s="271">
        <f t="shared" si="24"/>
        <v>2.768549280177187E-4</v>
      </c>
      <c r="L226" s="271">
        <f t="shared" si="24"/>
        <v>2.768549280177187E-4</v>
      </c>
      <c r="M226" s="271">
        <f t="shared" si="24"/>
        <v>2.768549280177187E-4</v>
      </c>
      <c r="N226" s="271">
        <f t="shared" si="24"/>
        <v>2.768549280177187E-4</v>
      </c>
      <c r="O226" s="271">
        <f t="shared" si="24"/>
        <v>2.768549280177187E-4</v>
      </c>
      <c r="P226" s="271">
        <f t="shared" si="24"/>
        <v>2.768549280177187E-4</v>
      </c>
      <c r="Q226" s="271">
        <f t="shared" si="24"/>
        <v>2.768549280177187E-4</v>
      </c>
      <c r="R226" s="271">
        <f t="shared" si="24"/>
        <v>2.768549280177187E-4</v>
      </c>
      <c r="S226" s="271">
        <f t="shared" si="24"/>
        <v>2.768549280177187E-4</v>
      </c>
      <c r="T226" s="271">
        <f t="shared" si="24"/>
        <v>2.768549280177187E-4</v>
      </c>
      <c r="U226" s="271">
        <f t="shared" si="24"/>
        <v>2.768549280177187E-4</v>
      </c>
      <c r="V226" s="271">
        <f t="shared" si="24"/>
        <v>2.768549280177187E-4</v>
      </c>
      <c r="W226" s="271">
        <f t="shared" si="24"/>
        <v>2.768549280177187E-4</v>
      </c>
      <c r="X226" s="271">
        <f t="shared" si="24"/>
        <v>2.768549280177187E-4</v>
      </c>
      <c r="Y226" s="271">
        <f t="shared" si="24"/>
        <v>2.768549280177187E-4</v>
      </c>
    </row>
    <row r="227" spans="5:25" x14ac:dyDescent="0.25">
      <c r="G227" s="14"/>
      <c r="J227" s="252"/>
      <c r="K227" s="252"/>
      <c r="L227" s="252"/>
      <c r="M227" s="252"/>
      <c r="N227" s="252"/>
      <c r="O227" s="252"/>
      <c r="P227" s="252"/>
      <c r="Q227" s="252"/>
      <c r="R227" s="252"/>
      <c r="S227" s="252"/>
      <c r="T227" s="252"/>
      <c r="U227" s="252"/>
      <c r="V227" s="252"/>
      <c r="W227" s="252"/>
      <c r="X227" s="252"/>
      <c r="Y227" s="252"/>
    </row>
    <row r="228" spans="5:25" x14ac:dyDescent="0.25">
      <c r="E228" s="96" t="s">
        <v>134</v>
      </c>
      <c r="G228" s="14"/>
      <c r="J228" s="252"/>
      <c r="K228" s="252"/>
      <c r="L228" s="252"/>
      <c r="M228" s="252"/>
      <c r="N228" s="252"/>
      <c r="O228" s="252"/>
      <c r="P228" s="252"/>
      <c r="Q228" s="252"/>
      <c r="R228" s="252"/>
      <c r="S228" s="252"/>
      <c r="T228" s="252"/>
      <c r="U228" s="252"/>
      <c r="V228" s="252"/>
      <c r="W228" s="252"/>
      <c r="X228" s="252"/>
      <c r="Y228" s="252"/>
    </row>
    <row r="229" spans="5:25" x14ac:dyDescent="0.25">
      <c r="F229" s="107" t="s">
        <v>43</v>
      </c>
      <c r="G229" s="16" t="s">
        <v>427</v>
      </c>
      <c r="H229" s="91"/>
      <c r="I229" s="91"/>
      <c r="J229" s="270">
        <f>J177 * J$224 * hours_in_year</f>
        <v>9.6000295963804945</v>
      </c>
      <c r="K229" s="270">
        <f t="shared" ref="K229:Y229" si="25">K177 * K$224 * hours_in_year</f>
        <v>9.6000295963804945</v>
      </c>
      <c r="L229" s="270">
        <f t="shared" si="25"/>
        <v>9.6000295963804945</v>
      </c>
      <c r="M229" s="270">
        <f t="shared" si="25"/>
        <v>9.6000295963804945</v>
      </c>
      <c r="N229" s="270">
        <f t="shared" si="25"/>
        <v>9.6000295963804945</v>
      </c>
      <c r="O229" s="270">
        <f t="shared" si="25"/>
        <v>9.6000295963804945</v>
      </c>
      <c r="P229" s="270">
        <f t="shared" si="25"/>
        <v>9.6000295963804945</v>
      </c>
      <c r="Q229" s="270">
        <f t="shared" si="25"/>
        <v>22.648240036883369</v>
      </c>
      <c r="R229" s="270">
        <f t="shared" si="25"/>
        <v>9.6000295963804945</v>
      </c>
      <c r="S229" s="270">
        <f t="shared" si="25"/>
        <v>9.6000295963804945</v>
      </c>
      <c r="T229" s="270">
        <f t="shared" si="25"/>
        <v>9.6000295963804945</v>
      </c>
      <c r="U229" s="270">
        <f t="shared" si="25"/>
        <v>9.6000295963804945</v>
      </c>
      <c r="V229" s="270">
        <f t="shared" si="25"/>
        <v>9.6000295963804945</v>
      </c>
      <c r="W229" s="270">
        <f t="shared" si="25"/>
        <v>9.6000295963804945</v>
      </c>
      <c r="X229" s="270">
        <f t="shared" si="25"/>
        <v>9.6000295963804945</v>
      </c>
      <c r="Y229" s="270">
        <f t="shared" si="25"/>
        <v>9.6000295963804945</v>
      </c>
    </row>
    <row r="230" spans="5:25" x14ac:dyDescent="0.25">
      <c r="F230" s="396" t="s">
        <v>44</v>
      </c>
      <c r="G230" s="14" t="s">
        <v>427</v>
      </c>
      <c r="J230" s="270">
        <f t="shared" ref="J230:Y230" si="26">J182 * J224 * hours_in_year</f>
        <v>8.3868207102626471</v>
      </c>
      <c r="K230" s="270">
        <f t="shared" si="26"/>
        <v>8.3868207102626471</v>
      </c>
      <c r="L230" s="270">
        <f t="shared" si="26"/>
        <v>8.3868207102626471</v>
      </c>
      <c r="M230" s="270">
        <f t="shared" si="26"/>
        <v>8.3868207102626471</v>
      </c>
      <c r="N230" s="270">
        <f t="shared" si="26"/>
        <v>8.3868207102626471</v>
      </c>
      <c r="O230" s="270">
        <f t="shared" si="26"/>
        <v>8.3868207102626471</v>
      </c>
      <c r="P230" s="270">
        <f t="shared" si="26"/>
        <v>8.3868207102626471</v>
      </c>
      <c r="Q230" s="270">
        <f t="shared" si="26"/>
        <v>23.28515726731997</v>
      </c>
      <c r="R230" s="270">
        <f t="shared" si="26"/>
        <v>8.3868207102626471</v>
      </c>
      <c r="S230" s="270">
        <f t="shared" si="26"/>
        <v>8.3868207102626471</v>
      </c>
      <c r="T230" s="270">
        <f t="shared" si="26"/>
        <v>8.3868207102626471</v>
      </c>
      <c r="U230" s="270">
        <f t="shared" si="26"/>
        <v>8.3868207102626471</v>
      </c>
      <c r="V230" s="270">
        <f t="shared" si="26"/>
        <v>8.3868207102626471</v>
      </c>
      <c r="W230" s="270">
        <f t="shared" si="26"/>
        <v>8.3868207102626471</v>
      </c>
      <c r="X230" s="270">
        <f t="shared" si="26"/>
        <v>8.3868207102626471</v>
      </c>
      <c r="Y230" s="270">
        <f t="shared" si="26"/>
        <v>8.3868207102626471</v>
      </c>
    </row>
    <row r="231" spans="5:25" x14ac:dyDescent="0.25">
      <c r="F231" s="396" t="s">
        <v>45</v>
      </c>
      <c r="G231" s="14" t="s">
        <v>427</v>
      </c>
      <c r="J231" s="270">
        <f t="shared" ref="J231:Y231" si="27">J187 * J224 * hours_in_year</f>
        <v>8.3868207102626471</v>
      </c>
      <c r="K231" s="270">
        <f t="shared" si="27"/>
        <v>8.3868207102626471</v>
      </c>
      <c r="L231" s="270">
        <f t="shared" si="27"/>
        <v>8.3868207102626471</v>
      </c>
      <c r="M231" s="270">
        <f t="shared" si="27"/>
        <v>8.3868207102626471</v>
      </c>
      <c r="N231" s="270">
        <f t="shared" si="27"/>
        <v>8.3868207102626471</v>
      </c>
      <c r="O231" s="270">
        <f t="shared" si="27"/>
        <v>8.3868207102626471</v>
      </c>
      <c r="P231" s="270">
        <f t="shared" si="27"/>
        <v>8.3868207102626471</v>
      </c>
      <c r="Q231" s="270">
        <f t="shared" si="27"/>
        <v>23.28515726731997</v>
      </c>
      <c r="R231" s="270">
        <f t="shared" si="27"/>
        <v>8.3868207102626471</v>
      </c>
      <c r="S231" s="270">
        <f t="shared" si="27"/>
        <v>8.3868207102626471</v>
      </c>
      <c r="T231" s="270">
        <f t="shared" si="27"/>
        <v>8.3868207102626471</v>
      </c>
      <c r="U231" s="270">
        <f t="shared" si="27"/>
        <v>8.3868207102626471</v>
      </c>
      <c r="V231" s="270">
        <f t="shared" si="27"/>
        <v>8.3868207102626471</v>
      </c>
      <c r="W231" s="270">
        <f t="shared" si="27"/>
        <v>8.3868207102626471</v>
      </c>
      <c r="X231" s="270">
        <f t="shared" si="27"/>
        <v>8.3868207102626471</v>
      </c>
      <c r="Y231" s="270">
        <f t="shared" si="27"/>
        <v>8.3868207102626471</v>
      </c>
    </row>
    <row r="232" spans="5:25" x14ac:dyDescent="0.25">
      <c r="F232" s="396" t="s">
        <v>46</v>
      </c>
      <c r="G232" s="14" t="s">
        <v>427</v>
      </c>
      <c r="J232" s="270">
        <f t="shared" ref="J232:Y232" si="28">J192 * J224 * hours_in_year</f>
        <v>6.9256857566893322</v>
      </c>
      <c r="K232" s="270">
        <f t="shared" si="28"/>
        <v>6.9256857566893322</v>
      </c>
      <c r="L232" s="270">
        <f t="shared" si="28"/>
        <v>6.9256857566893322</v>
      </c>
      <c r="M232" s="270">
        <f t="shared" si="28"/>
        <v>6.9256857566893322</v>
      </c>
      <c r="N232" s="270">
        <f t="shared" si="28"/>
        <v>6.9256857566893322</v>
      </c>
      <c r="O232" s="270">
        <f t="shared" si="28"/>
        <v>6.9256857566893322</v>
      </c>
      <c r="P232" s="270">
        <f t="shared" si="28"/>
        <v>6.9256857566893322</v>
      </c>
      <c r="Q232" s="270">
        <f t="shared" si="28"/>
        <v>19.289267102262539</v>
      </c>
      <c r="R232" s="270">
        <f t="shared" si="28"/>
        <v>6.9256857566893322</v>
      </c>
      <c r="S232" s="270">
        <f t="shared" si="28"/>
        <v>6.9256857566893322</v>
      </c>
      <c r="T232" s="270">
        <f t="shared" si="28"/>
        <v>6.9256857566893322</v>
      </c>
      <c r="U232" s="270">
        <f t="shared" si="28"/>
        <v>6.9256857566893322</v>
      </c>
      <c r="V232" s="270">
        <f t="shared" si="28"/>
        <v>6.9256857566893322</v>
      </c>
      <c r="W232" s="270">
        <f t="shared" si="28"/>
        <v>6.9256857566893322</v>
      </c>
      <c r="X232" s="270">
        <f t="shared" si="28"/>
        <v>6.9256857566893322</v>
      </c>
      <c r="Y232" s="270">
        <f t="shared" si="28"/>
        <v>6.9256857566893322</v>
      </c>
    </row>
    <row r="233" spans="5:25" x14ac:dyDescent="0.25">
      <c r="F233" s="396" t="s">
        <v>47</v>
      </c>
      <c r="G233" s="14" t="s">
        <v>427</v>
      </c>
      <c r="J233" s="270">
        <f t="shared" ref="J233:Y233" si="29">J197 * J224 * hours_in_year</f>
        <v>6.9256857566893322</v>
      </c>
      <c r="K233" s="270">
        <f t="shared" si="29"/>
        <v>6.9256857566893322</v>
      </c>
      <c r="L233" s="270">
        <f t="shared" si="29"/>
        <v>6.9256857566893322</v>
      </c>
      <c r="M233" s="270">
        <f t="shared" si="29"/>
        <v>6.9256857566893322</v>
      </c>
      <c r="N233" s="270">
        <f t="shared" si="29"/>
        <v>6.9256857566893322</v>
      </c>
      <c r="O233" s="270">
        <f t="shared" si="29"/>
        <v>6.9256857566893322</v>
      </c>
      <c r="P233" s="270">
        <f t="shared" si="29"/>
        <v>6.9256857566893322</v>
      </c>
      <c r="Q233" s="270">
        <f t="shared" si="29"/>
        <v>19.289267102262539</v>
      </c>
      <c r="R233" s="270">
        <f t="shared" si="29"/>
        <v>6.9256857566893322</v>
      </c>
      <c r="S233" s="270">
        <f t="shared" si="29"/>
        <v>6.9256857566893322</v>
      </c>
      <c r="T233" s="270">
        <f t="shared" si="29"/>
        <v>6.9256857566893322</v>
      </c>
      <c r="U233" s="270">
        <f t="shared" si="29"/>
        <v>6.9256857566893322</v>
      </c>
      <c r="V233" s="270">
        <f t="shared" si="29"/>
        <v>6.9256857566893322</v>
      </c>
      <c r="W233" s="270">
        <f t="shared" si="29"/>
        <v>6.9256857566893322</v>
      </c>
      <c r="X233" s="270">
        <f t="shared" si="29"/>
        <v>6.9256857566893322</v>
      </c>
      <c r="Y233" s="270">
        <f t="shared" si="29"/>
        <v>6.9256857566893322</v>
      </c>
    </row>
    <row r="234" spans="5:25" x14ac:dyDescent="0.25">
      <c r="F234" s="396" t="s">
        <v>51</v>
      </c>
      <c r="G234" s="14" t="s">
        <v>427</v>
      </c>
      <c r="J234" s="270">
        <f t="shared" ref="J234:Y234" si="30">J202 * J224 * hours_in_year</f>
        <v>0</v>
      </c>
      <c r="K234" s="270">
        <f t="shared" si="30"/>
        <v>0</v>
      </c>
      <c r="L234" s="270">
        <f t="shared" si="30"/>
        <v>0</v>
      </c>
      <c r="M234" s="270">
        <f t="shared" si="30"/>
        <v>0</v>
      </c>
      <c r="N234" s="270">
        <f t="shared" si="30"/>
        <v>0</v>
      </c>
      <c r="O234" s="270">
        <f t="shared" si="30"/>
        <v>0</v>
      </c>
      <c r="P234" s="270">
        <f t="shared" si="30"/>
        <v>0</v>
      </c>
      <c r="Q234" s="270">
        <f t="shared" si="30"/>
        <v>0</v>
      </c>
      <c r="R234" s="270">
        <f t="shared" si="30"/>
        <v>0</v>
      </c>
      <c r="S234" s="270">
        <f t="shared" si="30"/>
        <v>0</v>
      </c>
      <c r="T234" s="270">
        <f t="shared" si="30"/>
        <v>0</v>
      </c>
      <c r="U234" s="270">
        <f t="shared" si="30"/>
        <v>0</v>
      </c>
      <c r="V234" s="270">
        <f t="shared" si="30"/>
        <v>0</v>
      </c>
      <c r="W234" s="270">
        <f t="shared" si="30"/>
        <v>0</v>
      </c>
      <c r="X234" s="270">
        <f t="shared" si="30"/>
        <v>0</v>
      </c>
      <c r="Y234" s="270">
        <f t="shared" si="30"/>
        <v>0</v>
      </c>
    </row>
    <row r="235" spans="5:25" x14ac:dyDescent="0.25">
      <c r="F235" s="396" t="s">
        <v>48</v>
      </c>
      <c r="G235" s="14" t="s">
        <v>427</v>
      </c>
      <c r="J235" s="270">
        <f t="shared" ref="J235:Y235" si="31">J207 * J224 * hours_in_year</f>
        <v>4.2787408263309548</v>
      </c>
      <c r="K235" s="270">
        <f t="shared" si="31"/>
        <v>4.2787408263309548</v>
      </c>
      <c r="L235" s="270">
        <f t="shared" si="31"/>
        <v>4.2787408263309548</v>
      </c>
      <c r="M235" s="270">
        <f t="shared" si="31"/>
        <v>4.2787408263309548</v>
      </c>
      <c r="N235" s="270">
        <f t="shared" si="31"/>
        <v>4.2787408263309548</v>
      </c>
      <c r="O235" s="270">
        <f t="shared" si="31"/>
        <v>4.2787408263309548</v>
      </c>
      <c r="P235" s="270">
        <f t="shared" si="31"/>
        <v>4.2787408263309548</v>
      </c>
      <c r="Q235" s="270">
        <f t="shared" si="31"/>
        <v>11.358069424110502</v>
      </c>
      <c r="R235" s="270">
        <f t="shared" si="31"/>
        <v>4.2787408263309548</v>
      </c>
      <c r="S235" s="270">
        <f t="shared" si="31"/>
        <v>4.2787408263309548</v>
      </c>
      <c r="T235" s="270">
        <f t="shared" si="31"/>
        <v>4.2787408263309548</v>
      </c>
      <c r="U235" s="270">
        <f t="shared" si="31"/>
        <v>4.2787408263309548</v>
      </c>
      <c r="V235" s="270">
        <f t="shared" si="31"/>
        <v>4.2787408263309548</v>
      </c>
      <c r="W235" s="270">
        <f t="shared" si="31"/>
        <v>4.2787408263309548</v>
      </c>
      <c r="X235" s="270">
        <f t="shared" si="31"/>
        <v>4.2787408263309548</v>
      </c>
      <c r="Y235" s="270">
        <f t="shared" si="31"/>
        <v>4.2787408263309548</v>
      </c>
    </row>
    <row r="236" spans="5:25" x14ac:dyDescent="0.25">
      <c r="F236" s="396" t="s">
        <v>49</v>
      </c>
      <c r="G236" s="14" t="s">
        <v>427</v>
      </c>
      <c r="J236" s="270">
        <f t="shared" ref="J236:Y236" si="32">J212 * J224 * hours_in_year</f>
        <v>4.2787408263309548</v>
      </c>
      <c r="K236" s="270">
        <f t="shared" si="32"/>
        <v>4.2787408263309548</v>
      </c>
      <c r="L236" s="270">
        <f t="shared" si="32"/>
        <v>4.2787408263309548</v>
      </c>
      <c r="M236" s="270">
        <f t="shared" si="32"/>
        <v>4.2787408263309548</v>
      </c>
      <c r="N236" s="270">
        <f t="shared" si="32"/>
        <v>4.2787408263309548</v>
      </c>
      <c r="O236" s="270">
        <f t="shared" si="32"/>
        <v>4.2787408263309548</v>
      </c>
      <c r="P236" s="270">
        <f t="shared" si="32"/>
        <v>4.2787408263309548</v>
      </c>
      <c r="Q236" s="270">
        <f t="shared" si="32"/>
        <v>11.358069424110502</v>
      </c>
      <c r="R236" s="270">
        <f t="shared" si="32"/>
        <v>4.2787408263309548</v>
      </c>
      <c r="S236" s="270">
        <f t="shared" si="32"/>
        <v>4.2787408263309548</v>
      </c>
      <c r="T236" s="270">
        <f t="shared" si="32"/>
        <v>4.2787408263309548</v>
      </c>
      <c r="U236" s="270">
        <f t="shared" si="32"/>
        <v>4.2787408263309548</v>
      </c>
      <c r="V236" s="270">
        <f t="shared" si="32"/>
        <v>4.2787408263309548</v>
      </c>
      <c r="W236" s="270">
        <f t="shared" si="32"/>
        <v>4.2787408263309548</v>
      </c>
      <c r="X236" s="270">
        <f t="shared" si="32"/>
        <v>4.2787408263309548</v>
      </c>
      <c r="Y236" s="270">
        <f t="shared" si="32"/>
        <v>4.2787408263309548</v>
      </c>
    </row>
    <row r="237" spans="5:25" x14ac:dyDescent="0.25">
      <c r="F237" s="116" t="s">
        <v>50</v>
      </c>
      <c r="G237" s="15" t="s">
        <v>427</v>
      </c>
      <c r="H237" s="93"/>
      <c r="I237" s="93"/>
      <c r="J237" s="270">
        <f t="shared" ref="J237:Y237" si="33">J217 * J224 * hours_in_year</f>
        <v>4.2787408263309548</v>
      </c>
      <c r="K237" s="270">
        <f t="shared" si="33"/>
        <v>4.2787408263309548</v>
      </c>
      <c r="L237" s="270">
        <f t="shared" si="33"/>
        <v>4.2787408263309548</v>
      </c>
      <c r="M237" s="270">
        <f t="shared" si="33"/>
        <v>4.2787408263309548</v>
      </c>
      <c r="N237" s="270">
        <f t="shared" si="33"/>
        <v>4.2787408263309548</v>
      </c>
      <c r="O237" s="270">
        <f t="shared" si="33"/>
        <v>4.2787408263309548</v>
      </c>
      <c r="P237" s="270">
        <f t="shared" si="33"/>
        <v>4.2787408263309548</v>
      </c>
      <c r="Q237" s="270">
        <f t="shared" si="33"/>
        <v>11.358069424110502</v>
      </c>
      <c r="R237" s="270">
        <f t="shared" si="33"/>
        <v>4.2787408263309548</v>
      </c>
      <c r="S237" s="270">
        <f t="shared" si="33"/>
        <v>4.2787408263309548</v>
      </c>
      <c r="T237" s="270">
        <f t="shared" si="33"/>
        <v>4.2787408263309548</v>
      </c>
      <c r="U237" s="270">
        <f t="shared" si="33"/>
        <v>4.2787408263309548</v>
      </c>
      <c r="V237" s="270">
        <f t="shared" si="33"/>
        <v>4.2787408263309548</v>
      </c>
      <c r="W237" s="270">
        <f t="shared" si="33"/>
        <v>4.2787408263309548</v>
      </c>
      <c r="X237" s="270">
        <f t="shared" si="33"/>
        <v>4.2787408263309548</v>
      </c>
      <c r="Y237" s="270">
        <f t="shared" si="33"/>
        <v>4.2787408263309548</v>
      </c>
    </row>
    <row r="238" spans="5:25" x14ac:dyDescent="0.25">
      <c r="G238" s="14"/>
      <c r="J238" s="275"/>
      <c r="K238" s="275"/>
      <c r="L238" s="275"/>
      <c r="M238" s="275"/>
      <c r="N238" s="275"/>
      <c r="O238" s="275"/>
      <c r="P238" s="275"/>
      <c r="Q238" s="275"/>
      <c r="R238" s="275"/>
      <c r="S238" s="275"/>
      <c r="T238" s="275"/>
      <c r="U238" s="275"/>
      <c r="V238" s="275"/>
      <c r="W238" s="275"/>
      <c r="X238" s="275"/>
      <c r="Y238" s="275"/>
    </row>
    <row r="239" spans="5:25" x14ac:dyDescent="0.25">
      <c r="E239" s="96" t="s">
        <v>135</v>
      </c>
      <c r="G239" s="14"/>
      <c r="J239" s="252"/>
      <c r="K239" s="252"/>
      <c r="L239" s="252"/>
      <c r="M239" s="252"/>
      <c r="N239" s="252"/>
      <c r="O239" s="252"/>
      <c r="P239" s="252"/>
      <c r="Q239" s="252"/>
      <c r="R239" s="252"/>
      <c r="S239" s="252"/>
      <c r="T239" s="252"/>
      <c r="U239" s="252"/>
      <c r="V239" s="252"/>
      <c r="W239" s="252"/>
      <c r="X239" s="252"/>
      <c r="Y239" s="252"/>
    </row>
    <row r="240" spans="5:25" x14ac:dyDescent="0.25">
      <c r="F240" s="16" t="s">
        <v>43</v>
      </c>
      <c r="G240" s="16" t="s">
        <v>427</v>
      </c>
      <c r="H240" s="91"/>
      <c r="I240" s="91"/>
      <c r="J240" s="270">
        <f t="shared" ref="J240:Y240" si="34">J178 * J225 * hours_in_year</f>
        <v>0.29507671102532174</v>
      </c>
      <c r="K240" s="270">
        <f t="shared" si="34"/>
        <v>0.29507671102532174</v>
      </c>
      <c r="L240" s="270">
        <f t="shared" si="34"/>
        <v>0.29507671102532174</v>
      </c>
      <c r="M240" s="270">
        <f t="shared" si="34"/>
        <v>0.29507671102532174</v>
      </c>
      <c r="N240" s="270">
        <f t="shared" si="34"/>
        <v>0.29507671102532174</v>
      </c>
      <c r="O240" s="270">
        <f t="shared" si="34"/>
        <v>0.29507671102532174</v>
      </c>
      <c r="P240" s="270">
        <f t="shared" si="34"/>
        <v>0.29507671102532174</v>
      </c>
      <c r="Q240" s="270">
        <f t="shared" si="34"/>
        <v>0.584974414655557</v>
      </c>
      <c r="R240" s="270">
        <f t="shared" si="34"/>
        <v>0.29507671102532174</v>
      </c>
      <c r="S240" s="270">
        <f t="shared" si="34"/>
        <v>0.29507671102532174</v>
      </c>
      <c r="T240" s="270">
        <f t="shared" si="34"/>
        <v>0.29507671102532174</v>
      </c>
      <c r="U240" s="270">
        <f t="shared" si="34"/>
        <v>0.29507671102532174</v>
      </c>
      <c r="V240" s="270">
        <f t="shared" si="34"/>
        <v>0.29507671102532174</v>
      </c>
      <c r="W240" s="270">
        <f t="shared" si="34"/>
        <v>0.29507671102532174</v>
      </c>
      <c r="X240" s="270">
        <f t="shared" si="34"/>
        <v>0.29507671102532174</v>
      </c>
      <c r="Y240" s="270">
        <f t="shared" si="34"/>
        <v>0.29507671102532174</v>
      </c>
    </row>
    <row r="241" spans="5:25" x14ac:dyDescent="0.25">
      <c r="F241" s="14" t="s">
        <v>44</v>
      </c>
      <c r="G241" s="14" t="s">
        <v>427</v>
      </c>
      <c r="J241" s="270">
        <f t="shared" ref="J241:Y241" si="35">J183 * J225 * hours_in_year</f>
        <v>0.49318639924225077</v>
      </c>
      <c r="K241" s="270">
        <f t="shared" si="35"/>
        <v>0.49318639924225077</v>
      </c>
      <c r="L241" s="270">
        <f t="shared" si="35"/>
        <v>0.49318639924225077</v>
      </c>
      <c r="M241" s="270">
        <f t="shared" si="35"/>
        <v>0.49318639924225077</v>
      </c>
      <c r="N241" s="270">
        <f t="shared" si="35"/>
        <v>0.49318639924225077</v>
      </c>
      <c r="O241" s="270">
        <f t="shared" si="35"/>
        <v>0.49318639924225077</v>
      </c>
      <c r="P241" s="270">
        <f t="shared" si="35"/>
        <v>0.49318639924225077</v>
      </c>
      <c r="Q241" s="270">
        <f t="shared" si="35"/>
        <v>0.53560756927434672</v>
      </c>
      <c r="R241" s="270">
        <f t="shared" si="35"/>
        <v>0.49318639924225077</v>
      </c>
      <c r="S241" s="270">
        <f t="shared" si="35"/>
        <v>0.49318639924225077</v>
      </c>
      <c r="T241" s="270">
        <f t="shared" si="35"/>
        <v>0.49318639924225077</v>
      </c>
      <c r="U241" s="270">
        <f t="shared" si="35"/>
        <v>0.49318639924225077</v>
      </c>
      <c r="V241" s="270">
        <f t="shared" si="35"/>
        <v>0.49318639924225077</v>
      </c>
      <c r="W241" s="270">
        <f t="shared" si="35"/>
        <v>0.49318639924225077</v>
      </c>
      <c r="X241" s="270">
        <f t="shared" si="35"/>
        <v>0.49318639924225077</v>
      </c>
      <c r="Y241" s="270">
        <f t="shared" si="35"/>
        <v>0.49318639924225077</v>
      </c>
    </row>
    <row r="242" spans="5:25" x14ac:dyDescent="0.25">
      <c r="F242" s="14" t="s">
        <v>45</v>
      </c>
      <c r="G242" s="14" t="s">
        <v>427</v>
      </c>
      <c r="J242" s="270">
        <f t="shared" ref="J242:Y242" si="36">J188 * J225 * hours_in_year</f>
        <v>0.49318639924225077</v>
      </c>
      <c r="K242" s="270">
        <f t="shared" si="36"/>
        <v>0.49318639924225077</v>
      </c>
      <c r="L242" s="270">
        <f t="shared" si="36"/>
        <v>0.49318639924225077</v>
      </c>
      <c r="M242" s="270">
        <f t="shared" si="36"/>
        <v>0.49318639924225077</v>
      </c>
      <c r="N242" s="270">
        <f t="shared" si="36"/>
        <v>0.49318639924225077</v>
      </c>
      <c r="O242" s="270">
        <f t="shared" si="36"/>
        <v>0.49318639924225077</v>
      </c>
      <c r="P242" s="270">
        <f t="shared" si="36"/>
        <v>0.49318639924225077</v>
      </c>
      <c r="Q242" s="270">
        <f t="shared" si="36"/>
        <v>0.53560756927434672</v>
      </c>
      <c r="R242" s="270">
        <f t="shared" si="36"/>
        <v>0.49318639924225077</v>
      </c>
      <c r="S242" s="270">
        <f t="shared" si="36"/>
        <v>0.49318639924225077</v>
      </c>
      <c r="T242" s="270">
        <f t="shared" si="36"/>
        <v>0.49318639924225077</v>
      </c>
      <c r="U242" s="270">
        <f t="shared" si="36"/>
        <v>0.49318639924225077</v>
      </c>
      <c r="V242" s="270">
        <f t="shared" si="36"/>
        <v>0.49318639924225077</v>
      </c>
      <c r="W242" s="270">
        <f t="shared" si="36"/>
        <v>0.49318639924225077</v>
      </c>
      <c r="X242" s="270">
        <f t="shared" si="36"/>
        <v>0.49318639924225077</v>
      </c>
      <c r="Y242" s="270">
        <f t="shared" si="36"/>
        <v>0.49318639924225077</v>
      </c>
    </row>
    <row r="243" spans="5:25" x14ac:dyDescent="0.25">
      <c r="F243" s="14" t="s">
        <v>46</v>
      </c>
      <c r="G243" s="14" t="s">
        <v>427</v>
      </c>
      <c r="J243" s="270">
        <f t="shared" ref="J243:Y243" si="37">J193 * J225 * hours_in_year</f>
        <v>0.74360382913426004</v>
      </c>
      <c r="K243" s="270">
        <f t="shared" si="37"/>
        <v>0.74360382913426004</v>
      </c>
      <c r="L243" s="270">
        <f t="shared" si="37"/>
        <v>0.74360382913426004</v>
      </c>
      <c r="M243" s="270">
        <f t="shared" si="37"/>
        <v>0.74360382913426004</v>
      </c>
      <c r="N243" s="270">
        <f t="shared" si="37"/>
        <v>0.74360382913426004</v>
      </c>
      <c r="O243" s="270">
        <f t="shared" si="37"/>
        <v>0.74360382913426004</v>
      </c>
      <c r="P243" s="270">
        <f t="shared" si="37"/>
        <v>0.74360382913426004</v>
      </c>
      <c r="Q243" s="270">
        <f t="shared" si="37"/>
        <v>0.73985831685702019</v>
      </c>
      <c r="R243" s="270">
        <f t="shared" si="37"/>
        <v>0.74360382913426004</v>
      </c>
      <c r="S243" s="270">
        <f t="shared" si="37"/>
        <v>0.74360382913426004</v>
      </c>
      <c r="T243" s="270">
        <f t="shared" si="37"/>
        <v>0.74360382913426004</v>
      </c>
      <c r="U243" s="270">
        <f t="shared" si="37"/>
        <v>0.74360382913426004</v>
      </c>
      <c r="V243" s="270">
        <f t="shared" si="37"/>
        <v>0.74360382913426004</v>
      </c>
      <c r="W243" s="270">
        <f t="shared" si="37"/>
        <v>0.74360382913426004</v>
      </c>
      <c r="X243" s="270">
        <f t="shared" si="37"/>
        <v>0.74360382913426004</v>
      </c>
      <c r="Y243" s="270">
        <f t="shared" si="37"/>
        <v>0.74360382913426004</v>
      </c>
    </row>
    <row r="244" spans="5:25" x14ac:dyDescent="0.25">
      <c r="F244" s="14" t="s">
        <v>47</v>
      </c>
      <c r="G244" s="14" t="s">
        <v>427</v>
      </c>
      <c r="J244" s="270">
        <f t="shared" ref="J244:Y244" si="38">J198 * J225 * hours_in_year</f>
        <v>0.74360382913426004</v>
      </c>
      <c r="K244" s="270">
        <f t="shared" si="38"/>
        <v>0.74360382913426004</v>
      </c>
      <c r="L244" s="270">
        <f t="shared" si="38"/>
        <v>0.74360382913426004</v>
      </c>
      <c r="M244" s="270">
        <f t="shared" si="38"/>
        <v>0.74360382913426004</v>
      </c>
      <c r="N244" s="270">
        <f t="shared" si="38"/>
        <v>0.74360382913426004</v>
      </c>
      <c r="O244" s="270">
        <f t="shared" si="38"/>
        <v>0.74360382913426004</v>
      </c>
      <c r="P244" s="270">
        <f t="shared" si="38"/>
        <v>0.74360382913426004</v>
      </c>
      <c r="Q244" s="270">
        <f t="shared" si="38"/>
        <v>0.73985831685702019</v>
      </c>
      <c r="R244" s="270">
        <f t="shared" si="38"/>
        <v>0.74360382913426004</v>
      </c>
      <c r="S244" s="270">
        <f t="shared" si="38"/>
        <v>0.74360382913426004</v>
      </c>
      <c r="T244" s="270">
        <f t="shared" si="38"/>
        <v>0.74360382913426004</v>
      </c>
      <c r="U244" s="270">
        <f t="shared" si="38"/>
        <v>0.74360382913426004</v>
      </c>
      <c r="V244" s="270">
        <f t="shared" si="38"/>
        <v>0.74360382913426004</v>
      </c>
      <c r="W244" s="270">
        <f t="shared" si="38"/>
        <v>0.74360382913426004</v>
      </c>
      <c r="X244" s="270">
        <f t="shared" si="38"/>
        <v>0.74360382913426004</v>
      </c>
      <c r="Y244" s="270">
        <f t="shared" si="38"/>
        <v>0.74360382913426004</v>
      </c>
    </row>
    <row r="245" spans="5:25" x14ac:dyDescent="0.25">
      <c r="F245" s="14" t="s">
        <v>51</v>
      </c>
      <c r="G245" s="14" t="s">
        <v>427</v>
      </c>
      <c r="J245" s="270">
        <f t="shared" ref="J245:Y245" si="39">J203 * J225 * hours_in_year</f>
        <v>0</v>
      </c>
      <c r="K245" s="270">
        <f t="shared" si="39"/>
        <v>0</v>
      </c>
      <c r="L245" s="270">
        <f t="shared" si="39"/>
        <v>0</v>
      </c>
      <c r="M245" s="270">
        <f t="shared" si="39"/>
        <v>0</v>
      </c>
      <c r="N245" s="270">
        <f t="shared" si="39"/>
        <v>0</v>
      </c>
      <c r="O245" s="270">
        <f t="shared" si="39"/>
        <v>0</v>
      </c>
      <c r="P245" s="270">
        <f t="shared" si="39"/>
        <v>0</v>
      </c>
      <c r="Q245" s="270">
        <f t="shared" si="39"/>
        <v>0</v>
      </c>
      <c r="R245" s="270">
        <f t="shared" si="39"/>
        <v>0</v>
      </c>
      <c r="S245" s="270">
        <f t="shared" si="39"/>
        <v>0</v>
      </c>
      <c r="T245" s="270">
        <f t="shared" si="39"/>
        <v>0</v>
      </c>
      <c r="U245" s="270">
        <f t="shared" si="39"/>
        <v>0</v>
      </c>
      <c r="V245" s="270">
        <f t="shared" si="39"/>
        <v>0</v>
      </c>
      <c r="W245" s="270">
        <f t="shared" si="39"/>
        <v>0</v>
      </c>
      <c r="X245" s="270">
        <f t="shared" si="39"/>
        <v>0</v>
      </c>
      <c r="Y245" s="270">
        <f t="shared" si="39"/>
        <v>0</v>
      </c>
    </row>
    <row r="246" spans="5:25" x14ac:dyDescent="0.25">
      <c r="F246" s="14" t="s">
        <v>48</v>
      </c>
      <c r="G246" s="14" t="s">
        <v>427</v>
      </c>
      <c r="J246" s="270">
        <f t="shared" ref="J246:Y246" si="40">J208 * J225 * hours_in_year</f>
        <v>1.1877585416519114</v>
      </c>
      <c r="K246" s="270">
        <f t="shared" si="40"/>
        <v>1.1877585416519114</v>
      </c>
      <c r="L246" s="270">
        <f t="shared" si="40"/>
        <v>1.1877585416519114</v>
      </c>
      <c r="M246" s="270">
        <f t="shared" si="40"/>
        <v>1.1877585416519114</v>
      </c>
      <c r="N246" s="270">
        <f t="shared" si="40"/>
        <v>1.1877585416519114</v>
      </c>
      <c r="O246" s="270">
        <f t="shared" si="40"/>
        <v>1.1877585416519114</v>
      </c>
      <c r="P246" s="270">
        <f t="shared" si="40"/>
        <v>1.1877585416519114</v>
      </c>
      <c r="Q246" s="270">
        <f t="shared" si="40"/>
        <v>1.138179034775096</v>
      </c>
      <c r="R246" s="270">
        <f t="shared" si="40"/>
        <v>1.1877585416519114</v>
      </c>
      <c r="S246" s="270">
        <f t="shared" si="40"/>
        <v>1.1877585416519114</v>
      </c>
      <c r="T246" s="270">
        <f t="shared" si="40"/>
        <v>1.1877585416519114</v>
      </c>
      <c r="U246" s="270">
        <f t="shared" si="40"/>
        <v>1.1877585416519114</v>
      </c>
      <c r="V246" s="270">
        <f t="shared" si="40"/>
        <v>1.1877585416519114</v>
      </c>
      <c r="W246" s="270">
        <f t="shared" si="40"/>
        <v>1.1877585416519114</v>
      </c>
      <c r="X246" s="270">
        <f t="shared" si="40"/>
        <v>1.1877585416519114</v>
      </c>
      <c r="Y246" s="270">
        <f t="shared" si="40"/>
        <v>1.1877585416519114</v>
      </c>
    </row>
    <row r="247" spans="5:25" x14ac:dyDescent="0.25">
      <c r="F247" s="14" t="s">
        <v>49</v>
      </c>
      <c r="G247" s="14" t="s">
        <v>427</v>
      </c>
      <c r="J247" s="270">
        <f t="shared" ref="J247:Y247" si="41">J213 * J225 * hours_in_year</f>
        <v>1.1877585416519114</v>
      </c>
      <c r="K247" s="270">
        <f t="shared" si="41"/>
        <v>1.1877585416519114</v>
      </c>
      <c r="L247" s="270">
        <f t="shared" si="41"/>
        <v>1.1877585416519114</v>
      </c>
      <c r="M247" s="270">
        <f t="shared" si="41"/>
        <v>1.1877585416519114</v>
      </c>
      <c r="N247" s="270">
        <f t="shared" si="41"/>
        <v>1.1877585416519114</v>
      </c>
      <c r="O247" s="270">
        <f t="shared" si="41"/>
        <v>1.1877585416519114</v>
      </c>
      <c r="P247" s="270">
        <f t="shared" si="41"/>
        <v>1.1877585416519114</v>
      </c>
      <c r="Q247" s="270">
        <f t="shared" si="41"/>
        <v>1.138179034775096</v>
      </c>
      <c r="R247" s="270">
        <f t="shared" si="41"/>
        <v>1.1877585416519114</v>
      </c>
      <c r="S247" s="270">
        <f t="shared" si="41"/>
        <v>1.1877585416519114</v>
      </c>
      <c r="T247" s="270">
        <f t="shared" si="41"/>
        <v>1.1877585416519114</v>
      </c>
      <c r="U247" s="270">
        <f t="shared" si="41"/>
        <v>1.1877585416519114</v>
      </c>
      <c r="V247" s="270">
        <f t="shared" si="41"/>
        <v>1.1877585416519114</v>
      </c>
      <c r="W247" s="270">
        <f t="shared" si="41"/>
        <v>1.1877585416519114</v>
      </c>
      <c r="X247" s="270">
        <f t="shared" si="41"/>
        <v>1.1877585416519114</v>
      </c>
      <c r="Y247" s="270">
        <f t="shared" si="41"/>
        <v>1.1877585416519114</v>
      </c>
    </row>
    <row r="248" spans="5:25" x14ac:dyDescent="0.25">
      <c r="F248" s="15" t="s">
        <v>50</v>
      </c>
      <c r="G248" s="15" t="s">
        <v>427</v>
      </c>
      <c r="H248" s="93"/>
      <c r="I248" s="93"/>
      <c r="J248" s="270">
        <f t="shared" ref="J248:Y248" si="42">J218 * J225 * hours_in_year</f>
        <v>1.1877585416519114</v>
      </c>
      <c r="K248" s="270">
        <f t="shared" si="42"/>
        <v>1.1877585416519114</v>
      </c>
      <c r="L248" s="270">
        <f t="shared" si="42"/>
        <v>1.1877585416519114</v>
      </c>
      <c r="M248" s="270">
        <f t="shared" si="42"/>
        <v>1.1877585416519114</v>
      </c>
      <c r="N248" s="270">
        <f t="shared" si="42"/>
        <v>1.1877585416519114</v>
      </c>
      <c r="O248" s="270">
        <f t="shared" si="42"/>
        <v>1.1877585416519114</v>
      </c>
      <c r="P248" s="270">
        <f t="shared" si="42"/>
        <v>1.1877585416519114</v>
      </c>
      <c r="Q248" s="270">
        <f t="shared" si="42"/>
        <v>1.138179034775096</v>
      </c>
      <c r="R248" s="270">
        <f t="shared" si="42"/>
        <v>1.1877585416519114</v>
      </c>
      <c r="S248" s="270">
        <f t="shared" si="42"/>
        <v>1.1877585416519114</v>
      </c>
      <c r="T248" s="270">
        <f t="shared" si="42"/>
        <v>1.1877585416519114</v>
      </c>
      <c r="U248" s="270">
        <f t="shared" si="42"/>
        <v>1.1877585416519114</v>
      </c>
      <c r="V248" s="270">
        <f t="shared" si="42"/>
        <v>1.1877585416519114</v>
      </c>
      <c r="W248" s="270">
        <f t="shared" si="42"/>
        <v>1.1877585416519114</v>
      </c>
      <c r="X248" s="270">
        <f t="shared" si="42"/>
        <v>1.1877585416519114</v>
      </c>
      <c r="Y248" s="270">
        <f t="shared" si="42"/>
        <v>1.1877585416519114</v>
      </c>
    </row>
    <row r="249" spans="5:25" x14ac:dyDescent="0.25">
      <c r="J249" s="252"/>
      <c r="K249" s="252"/>
      <c r="L249" s="252"/>
      <c r="M249" s="252"/>
      <c r="N249" s="252"/>
      <c r="O249" s="252"/>
      <c r="P249" s="252"/>
      <c r="Q249" s="252"/>
      <c r="R249" s="252"/>
      <c r="S249" s="252"/>
      <c r="T249" s="252"/>
      <c r="U249" s="252"/>
      <c r="V249" s="252"/>
      <c r="W249" s="252"/>
      <c r="X249" s="252"/>
      <c r="Y249" s="252"/>
    </row>
    <row r="250" spans="5:25" x14ac:dyDescent="0.25">
      <c r="E250" s="96" t="s">
        <v>136</v>
      </c>
      <c r="G250" s="14"/>
      <c r="J250" s="252"/>
      <c r="K250" s="252"/>
      <c r="L250" s="252"/>
      <c r="M250" s="252"/>
      <c r="N250" s="252"/>
      <c r="O250" s="252"/>
      <c r="P250" s="252"/>
      <c r="Q250" s="252"/>
      <c r="R250" s="252"/>
      <c r="S250" s="252"/>
      <c r="T250" s="252"/>
      <c r="U250" s="252"/>
      <c r="V250" s="252"/>
      <c r="W250" s="252"/>
      <c r="X250" s="252"/>
      <c r="Y250" s="252"/>
    </row>
    <row r="251" spans="5:25" x14ac:dyDescent="0.25">
      <c r="F251" s="16" t="s">
        <v>43</v>
      </c>
      <c r="G251" s="16" t="s">
        <v>427</v>
      </c>
      <c r="H251" s="91"/>
      <c r="I251" s="91"/>
      <c r="J251" s="270">
        <f t="shared" ref="J251:Y251" si="43">J179 * J226 * hours_in_year</f>
        <v>0</v>
      </c>
      <c r="K251" s="270">
        <f t="shared" si="43"/>
        <v>0</v>
      </c>
      <c r="L251" s="270">
        <f t="shared" si="43"/>
        <v>0</v>
      </c>
      <c r="M251" s="270">
        <f t="shared" si="43"/>
        <v>0</v>
      </c>
      <c r="N251" s="270">
        <f t="shared" si="43"/>
        <v>0</v>
      </c>
      <c r="O251" s="270">
        <f t="shared" si="43"/>
        <v>0</v>
      </c>
      <c r="P251" s="270">
        <f t="shared" si="43"/>
        <v>0</v>
      </c>
      <c r="Q251" s="270">
        <f t="shared" si="43"/>
        <v>0</v>
      </c>
      <c r="R251" s="270">
        <f t="shared" si="43"/>
        <v>0</v>
      </c>
      <c r="S251" s="270">
        <f t="shared" si="43"/>
        <v>0</v>
      </c>
      <c r="T251" s="270">
        <f t="shared" si="43"/>
        <v>0</v>
      </c>
      <c r="U251" s="270">
        <f t="shared" si="43"/>
        <v>0</v>
      </c>
      <c r="V251" s="270">
        <f t="shared" si="43"/>
        <v>0</v>
      </c>
      <c r="W251" s="270">
        <f t="shared" si="43"/>
        <v>0</v>
      </c>
      <c r="X251" s="270">
        <f t="shared" si="43"/>
        <v>0</v>
      </c>
      <c r="Y251" s="270">
        <f t="shared" si="43"/>
        <v>0</v>
      </c>
    </row>
    <row r="252" spans="5:25" x14ac:dyDescent="0.25">
      <c r="F252" s="14" t="s">
        <v>44</v>
      </c>
      <c r="G252" s="14" t="s">
        <v>427</v>
      </c>
      <c r="J252" s="270">
        <f t="shared" ref="J252:Y252" si="44">J184 * J226 * hours_in_year</f>
        <v>2.1097779768319658E-2</v>
      </c>
      <c r="K252" s="270">
        <f t="shared" si="44"/>
        <v>2.1097779768319658E-2</v>
      </c>
      <c r="L252" s="270">
        <f t="shared" si="44"/>
        <v>2.1097779768319658E-2</v>
      </c>
      <c r="M252" s="270">
        <f t="shared" si="44"/>
        <v>2.1097779768319658E-2</v>
      </c>
      <c r="N252" s="270">
        <f t="shared" si="44"/>
        <v>2.1097779768319658E-2</v>
      </c>
      <c r="O252" s="270">
        <f t="shared" si="44"/>
        <v>2.1097779768319658E-2</v>
      </c>
      <c r="P252" s="270">
        <f t="shared" si="44"/>
        <v>2.1097779768319658E-2</v>
      </c>
      <c r="Q252" s="270">
        <f t="shared" si="44"/>
        <v>2.1097779768319658E-2</v>
      </c>
      <c r="R252" s="270">
        <f t="shared" si="44"/>
        <v>2.1097779768319658E-2</v>
      </c>
      <c r="S252" s="270">
        <f t="shared" si="44"/>
        <v>2.1097779768319658E-2</v>
      </c>
      <c r="T252" s="270">
        <f t="shared" si="44"/>
        <v>2.1097779768319658E-2</v>
      </c>
      <c r="U252" s="270">
        <f t="shared" si="44"/>
        <v>2.1097779768319658E-2</v>
      </c>
      <c r="V252" s="270">
        <f t="shared" si="44"/>
        <v>2.1097779768319658E-2</v>
      </c>
      <c r="W252" s="270">
        <f t="shared" si="44"/>
        <v>2.1097779768319658E-2</v>
      </c>
      <c r="X252" s="270">
        <f t="shared" si="44"/>
        <v>2.1097779768319658E-2</v>
      </c>
      <c r="Y252" s="270">
        <f t="shared" si="44"/>
        <v>2.1097779768319658E-2</v>
      </c>
    </row>
    <row r="253" spans="5:25" x14ac:dyDescent="0.25">
      <c r="F253" s="14" t="s">
        <v>45</v>
      </c>
      <c r="G253" s="14" t="s">
        <v>427</v>
      </c>
      <c r="J253" s="270">
        <f t="shared" ref="J253:Y253" si="45">J189 * J226 * hours_in_year</f>
        <v>2.1097779768319658E-2</v>
      </c>
      <c r="K253" s="270">
        <f t="shared" si="45"/>
        <v>2.1097779768319658E-2</v>
      </c>
      <c r="L253" s="270">
        <f t="shared" si="45"/>
        <v>2.1097779768319658E-2</v>
      </c>
      <c r="M253" s="270">
        <f t="shared" si="45"/>
        <v>2.1097779768319658E-2</v>
      </c>
      <c r="N253" s="270">
        <f t="shared" si="45"/>
        <v>2.1097779768319658E-2</v>
      </c>
      <c r="O253" s="270">
        <f t="shared" si="45"/>
        <v>2.1097779768319658E-2</v>
      </c>
      <c r="P253" s="270">
        <f t="shared" si="45"/>
        <v>2.1097779768319658E-2</v>
      </c>
      <c r="Q253" s="270">
        <f t="shared" si="45"/>
        <v>2.1097779768319658E-2</v>
      </c>
      <c r="R253" s="270">
        <f t="shared" si="45"/>
        <v>2.1097779768319658E-2</v>
      </c>
      <c r="S253" s="270">
        <f t="shared" si="45"/>
        <v>2.1097779768319658E-2</v>
      </c>
      <c r="T253" s="270">
        <f t="shared" si="45"/>
        <v>2.1097779768319658E-2</v>
      </c>
      <c r="U253" s="270">
        <f t="shared" si="45"/>
        <v>2.1097779768319658E-2</v>
      </c>
      <c r="V253" s="270">
        <f t="shared" si="45"/>
        <v>2.1097779768319658E-2</v>
      </c>
      <c r="W253" s="270">
        <f t="shared" si="45"/>
        <v>2.1097779768319658E-2</v>
      </c>
      <c r="X253" s="270">
        <f t="shared" si="45"/>
        <v>2.1097779768319658E-2</v>
      </c>
      <c r="Y253" s="270">
        <f t="shared" si="45"/>
        <v>2.1097779768319658E-2</v>
      </c>
    </row>
    <row r="254" spans="5:25" x14ac:dyDescent="0.25">
      <c r="F254" s="14" t="s">
        <v>46</v>
      </c>
      <c r="G254" s="14" t="s">
        <v>427</v>
      </c>
      <c r="J254" s="270">
        <f t="shared" ref="J254:Y254" si="46">J194 * J226 * hours_in_year</f>
        <v>3.2130977913801401E-2</v>
      </c>
      <c r="K254" s="270">
        <f t="shared" si="46"/>
        <v>3.2130977913801401E-2</v>
      </c>
      <c r="L254" s="270">
        <f t="shared" si="46"/>
        <v>3.2130977913801401E-2</v>
      </c>
      <c r="M254" s="270">
        <f t="shared" si="46"/>
        <v>3.2130977913801401E-2</v>
      </c>
      <c r="N254" s="270">
        <f t="shared" si="46"/>
        <v>3.2130977913801401E-2</v>
      </c>
      <c r="O254" s="270">
        <f t="shared" si="46"/>
        <v>3.2130977913801401E-2</v>
      </c>
      <c r="P254" s="270">
        <f t="shared" si="46"/>
        <v>3.2130977913801401E-2</v>
      </c>
      <c r="Q254" s="270">
        <f t="shared" si="46"/>
        <v>3.2130977913801401E-2</v>
      </c>
      <c r="R254" s="270">
        <f t="shared" si="46"/>
        <v>3.2130977913801401E-2</v>
      </c>
      <c r="S254" s="270">
        <f t="shared" si="46"/>
        <v>3.2130977913801401E-2</v>
      </c>
      <c r="T254" s="270">
        <f t="shared" si="46"/>
        <v>3.2130977913801401E-2</v>
      </c>
      <c r="U254" s="270">
        <f t="shared" si="46"/>
        <v>3.2130977913801401E-2</v>
      </c>
      <c r="V254" s="270">
        <f t="shared" si="46"/>
        <v>3.2130977913801401E-2</v>
      </c>
      <c r="W254" s="270">
        <f t="shared" si="46"/>
        <v>3.2130977913801401E-2</v>
      </c>
      <c r="X254" s="270">
        <f t="shared" si="46"/>
        <v>3.2130977913801401E-2</v>
      </c>
      <c r="Y254" s="270">
        <f t="shared" si="46"/>
        <v>3.2130977913801401E-2</v>
      </c>
    </row>
    <row r="255" spans="5:25" x14ac:dyDescent="0.25">
      <c r="F255" s="14" t="s">
        <v>47</v>
      </c>
      <c r="G255" s="14" t="s">
        <v>427</v>
      </c>
      <c r="J255" s="270">
        <f t="shared" ref="J255:Y255" si="47">J199 * J226 * hours_in_year</f>
        <v>3.2130977913801401E-2</v>
      </c>
      <c r="K255" s="270">
        <f t="shared" si="47"/>
        <v>3.2130977913801401E-2</v>
      </c>
      <c r="L255" s="270">
        <f t="shared" si="47"/>
        <v>3.2130977913801401E-2</v>
      </c>
      <c r="M255" s="270">
        <f t="shared" si="47"/>
        <v>3.2130977913801401E-2</v>
      </c>
      <c r="N255" s="270">
        <f t="shared" si="47"/>
        <v>3.2130977913801401E-2</v>
      </c>
      <c r="O255" s="270">
        <f t="shared" si="47"/>
        <v>3.2130977913801401E-2</v>
      </c>
      <c r="P255" s="270">
        <f t="shared" si="47"/>
        <v>3.2130977913801401E-2</v>
      </c>
      <c r="Q255" s="270">
        <f t="shared" si="47"/>
        <v>3.2130977913801401E-2</v>
      </c>
      <c r="R255" s="270">
        <f t="shared" si="47"/>
        <v>3.2130977913801401E-2</v>
      </c>
      <c r="S255" s="270">
        <f t="shared" si="47"/>
        <v>3.2130977913801401E-2</v>
      </c>
      <c r="T255" s="270">
        <f t="shared" si="47"/>
        <v>3.2130977913801401E-2</v>
      </c>
      <c r="U255" s="270">
        <f t="shared" si="47"/>
        <v>3.2130977913801401E-2</v>
      </c>
      <c r="V255" s="270">
        <f t="shared" si="47"/>
        <v>3.2130977913801401E-2</v>
      </c>
      <c r="W255" s="270">
        <f t="shared" si="47"/>
        <v>3.2130977913801401E-2</v>
      </c>
      <c r="X255" s="270">
        <f t="shared" si="47"/>
        <v>3.2130977913801401E-2</v>
      </c>
      <c r="Y255" s="270">
        <f t="shared" si="47"/>
        <v>3.2130977913801401E-2</v>
      </c>
    </row>
    <row r="256" spans="5:25" x14ac:dyDescent="0.25">
      <c r="F256" s="14" t="s">
        <v>51</v>
      </c>
      <c r="G256" s="14" t="s">
        <v>427</v>
      </c>
      <c r="J256" s="270">
        <f t="shared" ref="J256:Y256" si="48">J204 * J226 * hours_in_year</f>
        <v>0</v>
      </c>
      <c r="K256" s="270">
        <f t="shared" si="48"/>
        <v>0</v>
      </c>
      <c r="L256" s="270">
        <f t="shared" si="48"/>
        <v>0</v>
      </c>
      <c r="M256" s="270">
        <f t="shared" si="48"/>
        <v>0</v>
      </c>
      <c r="N256" s="270">
        <f t="shared" si="48"/>
        <v>0</v>
      </c>
      <c r="O256" s="270">
        <f t="shared" si="48"/>
        <v>0</v>
      </c>
      <c r="P256" s="270">
        <f t="shared" si="48"/>
        <v>0</v>
      </c>
      <c r="Q256" s="270">
        <f t="shared" si="48"/>
        <v>0</v>
      </c>
      <c r="R256" s="270">
        <f t="shared" si="48"/>
        <v>0</v>
      </c>
      <c r="S256" s="270">
        <f t="shared" si="48"/>
        <v>0</v>
      </c>
      <c r="T256" s="270">
        <f t="shared" si="48"/>
        <v>0</v>
      </c>
      <c r="U256" s="270">
        <f t="shared" si="48"/>
        <v>0</v>
      </c>
      <c r="V256" s="270">
        <f t="shared" si="48"/>
        <v>0</v>
      </c>
      <c r="W256" s="270">
        <f t="shared" si="48"/>
        <v>0</v>
      </c>
      <c r="X256" s="270">
        <f t="shared" si="48"/>
        <v>0</v>
      </c>
      <c r="Y256" s="270">
        <f t="shared" si="48"/>
        <v>0</v>
      </c>
    </row>
    <row r="257" spans="2:27" x14ac:dyDescent="0.25">
      <c r="F257" s="14" t="s">
        <v>48</v>
      </c>
      <c r="G257" s="14" t="s">
        <v>427</v>
      </c>
      <c r="J257" s="270">
        <f t="shared" ref="J257:Y257" si="49">J209 * J226 * hours_in_year</f>
        <v>6.3661860610924922E-2</v>
      </c>
      <c r="K257" s="270">
        <f t="shared" si="49"/>
        <v>6.3661860610924922E-2</v>
      </c>
      <c r="L257" s="270">
        <f t="shared" si="49"/>
        <v>6.3661860610924922E-2</v>
      </c>
      <c r="M257" s="270">
        <f t="shared" si="49"/>
        <v>6.3661860610924922E-2</v>
      </c>
      <c r="N257" s="270">
        <f t="shared" si="49"/>
        <v>6.3661860610924922E-2</v>
      </c>
      <c r="O257" s="270">
        <f t="shared" si="49"/>
        <v>6.3661860610924922E-2</v>
      </c>
      <c r="P257" s="270">
        <f t="shared" si="49"/>
        <v>6.3661860610924922E-2</v>
      </c>
      <c r="Q257" s="270">
        <f t="shared" si="49"/>
        <v>6.3661860610924922E-2</v>
      </c>
      <c r="R257" s="270">
        <f t="shared" si="49"/>
        <v>6.3661860610924922E-2</v>
      </c>
      <c r="S257" s="270">
        <f t="shared" si="49"/>
        <v>6.3661860610924922E-2</v>
      </c>
      <c r="T257" s="270">
        <f t="shared" si="49"/>
        <v>6.3661860610924922E-2</v>
      </c>
      <c r="U257" s="270">
        <f t="shared" si="49"/>
        <v>6.3661860610924922E-2</v>
      </c>
      <c r="V257" s="270">
        <f t="shared" si="49"/>
        <v>6.3661860610924922E-2</v>
      </c>
      <c r="W257" s="270">
        <f t="shared" si="49"/>
        <v>6.3661860610924922E-2</v>
      </c>
      <c r="X257" s="270">
        <f t="shared" si="49"/>
        <v>6.3661860610924922E-2</v>
      </c>
      <c r="Y257" s="270">
        <f t="shared" si="49"/>
        <v>6.3661860610924922E-2</v>
      </c>
    </row>
    <row r="258" spans="2:27" x14ac:dyDescent="0.25">
      <c r="F258" s="14" t="s">
        <v>49</v>
      </c>
      <c r="G258" s="14" t="s">
        <v>427</v>
      </c>
      <c r="J258" s="270">
        <f t="shared" ref="J258:Y258" si="50">J214 * J226 * hours_in_year</f>
        <v>6.3661860610924922E-2</v>
      </c>
      <c r="K258" s="270">
        <f t="shared" si="50"/>
        <v>6.3661860610924922E-2</v>
      </c>
      <c r="L258" s="270">
        <f t="shared" si="50"/>
        <v>6.3661860610924922E-2</v>
      </c>
      <c r="M258" s="270">
        <f t="shared" si="50"/>
        <v>6.3661860610924922E-2</v>
      </c>
      <c r="N258" s="270">
        <f t="shared" si="50"/>
        <v>6.3661860610924922E-2</v>
      </c>
      <c r="O258" s="270">
        <f t="shared" si="50"/>
        <v>6.3661860610924922E-2</v>
      </c>
      <c r="P258" s="270">
        <f t="shared" si="50"/>
        <v>6.3661860610924922E-2</v>
      </c>
      <c r="Q258" s="270">
        <f t="shared" si="50"/>
        <v>6.3661860610924922E-2</v>
      </c>
      <c r="R258" s="270">
        <f t="shared" si="50"/>
        <v>6.3661860610924922E-2</v>
      </c>
      <c r="S258" s="270">
        <f t="shared" si="50"/>
        <v>6.3661860610924922E-2</v>
      </c>
      <c r="T258" s="270">
        <f t="shared" si="50"/>
        <v>6.3661860610924922E-2</v>
      </c>
      <c r="U258" s="270">
        <f t="shared" si="50"/>
        <v>6.3661860610924922E-2</v>
      </c>
      <c r="V258" s="270">
        <f t="shared" si="50"/>
        <v>6.3661860610924922E-2</v>
      </c>
      <c r="W258" s="270">
        <f t="shared" si="50"/>
        <v>6.3661860610924922E-2</v>
      </c>
      <c r="X258" s="270">
        <f t="shared" si="50"/>
        <v>6.3661860610924922E-2</v>
      </c>
      <c r="Y258" s="270">
        <f t="shared" si="50"/>
        <v>6.3661860610924922E-2</v>
      </c>
    </row>
    <row r="259" spans="2:27" x14ac:dyDescent="0.25">
      <c r="F259" s="15" t="s">
        <v>50</v>
      </c>
      <c r="G259" s="15" t="s">
        <v>427</v>
      </c>
      <c r="H259" s="93"/>
      <c r="I259" s="93"/>
      <c r="J259" s="270">
        <f t="shared" ref="J259:Y259" si="51">J219 * J226 * hours_in_year</f>
        <v>6.3661860610924922E-2</v>
      </c>
      <c r="K259" s="270">
        <f t="shared" si="51"/>
        <v>6.3661860610924922E-2</v>
      </c>
      <c r="L259" s="270">
        <f t="shared" si="51"/>
        <v>6.3661860610924922E-2</v>
      </c>
      <c r="M259" s="270">
        <f t="shared" si="51"/>
        <v>6.3661860610924922E-2</v>
      </c>
      <c r="N259" s="270">
        <f t="shared" si="51"/>
        <v>6.3661860610924922E-2</v>
      </c>
      <c r="O259" s="270">
        <f t="shared" si="51"/>
        <v>6.3661860610924922E-2</v>
      </c>
      <c r="P259" s="270">
        <f t="shared" si="51"/>
        <v>6.3661860610924922E-2</v>
      </c>
      <c r="Q259" s="270">
        <f t="shared" si="51"/>
        <v>6.3661860610924922E-2</v>
      </c>
      <c r="R259" s="270">
        <f t="shared" si="51"/>
        <v>6.3661860610924922E-2</v>
      </c>
      <c r="S259" s="270">
        <f t="shared" si="51"/>
        <v>6.3661860610924922E-2</v>
      </c>
      <c r="T259" s="270">
        <f t="shared" si="51"/>
        <v>6.3661860610924922E-2</v>
      </c>
      <c r="U259" s="270">
        <f t="shared" si="51"/>
        <v>6.3661860610924922E-2</v>
      </c>
      <c r="V259" s="270">
        <f t="shared" si="51"/>
        <v>6.3661860610924922E-2</v>
      </c>
      <c r="W259" s="270">
        <f t="shared" si="51"/>
        <v>6.3661860610924922E-2</v>
      </c>
      <c r="X259" s="270">
        <f t="shared" si="51"/>
        <v>6.3661860610924922E-2</v>
      </c>
      <c r="Y259" s="270">
        <f t="shared" si="51"/>
        <v>6.3661860610924922E-2</v>
      </c>
    </row>
    <row r="260" spans="2:27" x14ac:dyDescent="0.25">
      <c r="J260" s="252"/>
      <c r="K260" s="252"/>
      <c r="L260" s="252"/>
      <c r="M260" s="252"/>
      <c r="N260" s="252"/>
      <c r="O260" s="252"/>
      <c r="P260" s="252"/>
      <c r="Q260" s="252"/>
      <c r="R260" s="252"/>
      <c r="S260" s="252"/>
      <c r="T260" s="252"/>
      <c r="U260" s="252"/>
      <c r="V260" s="252"/>
      <c r="W260" s="252"/>
      <c r="X260" s="252"/>
      <c r="Y260" s="252"/>
    </row>
    <row r="261" spans="2:27" x14ac:dyDescent="0.25">
      <c r="B261" s="95" t="s">
        <v>954</v>
      </c>
      <c r="C261" s="72"/>
      <c r="D261" s="71"/>
      <c r="E261" s="71"/>
      <c r="F261" s="72"/>
      <c r="G261" s="72"/>
      <c r="H261" s="72"/>
      <c r="I261" s="72"/>
      <c r="J261" s="278"/>
      <c r="K261" s="278"/>
      <c r="L261" s="278"/>
      <c r="M261" s="278"/>
      <c r="N261" s="278"/>
      <c r="O261" s="278"/>
      <c r="P261" s="278"/>
      <c r="Q261" s="278"/>
      <c r="R261" s="278"/>
      <c r="S261" s="278"/>
      <c r="T261" s="278"/>
      <c r="U261" s="278"/>
      <c r="V261" s="278"/>
      <c r="W261" s="278"/>
      <c r="X261" s="278"/>
      <c r="Y261" s="278"/>
      <c r="Z261" s="72"/>
      <c r="AA261" s="72"/>
    </row>
    <row r="262" spans="2:27" x14ac:dyDescent="0.25">
      <c r="F262" s="14"/>
      <c r="G262" s="14"/>
      <c r="J262" s="252"/>
      <c r="K262" s="252"/>
      <c r="L262" s="252"/>
      <c r="M262" s="252"/>
      <c r="N262" s="252"/>
      <c r="O262" s="252"/>
      <c r="P262" s="252"/>
      <c r="Q262" s="252"/>
      <c r="R262" s="252"/>
      <c r="S262" s="252"/>
      <c r="T262" s="252"/>
      <c r="U262" s="252"/>
      <c r="V262" s="252"/>
      <c r="W262" s="252"/>
      <c r="X262" s="252"/>
      <c r="Y262" s="252"/>
    </row>
    <row r="263" spans="2:27" x14ac:dyDescent="0.25">
      <c r="C263" s="82" t="s">
        <v>956</v>
      </c>
      <c r="F263" s="14"/>
      <c r="G263" s="14"/>
      <c r="J263" s="252"/>
      <c r="K263" s="252"/>
      <c r="L263" s="252"/>
      <c r="M263" s="252"/>
      <c r="N263" s="252"/>
      <c r="O263" s="252"/>
      <c r="P263" s="252"/>
      <c r="Q263" s="252"/>
      <c r="R263" s="252"/>
      <c r="S263" s="252"/>
      <c r="T263" s="252"/>
      <c r="U263" s="252"/>
      <c r="V263" s="252"/>
      <c r="W263" s="252"/>
      <c r="X263" s="252"/>
      <c r="Y263" s="252"/>
    </row>
    <row r="264" spans="2:27" x14ac:dyDescent="0.25">
      <c r="F264" s="14"/>
      <c r="G264" s="14"/>
      <c r="J264" s="252"/>
      <c r="K264" s="252"/>
      <c r="L264" s="252"/>
      <c r="M264" s="252"/>
      <c r="N264" s="252"/>
      <c r="O264" s="252"/>
      <c r="P264" s="252"/>
      <c r="Q264" s="252"/>
      <c r="R264" s="252"/>
      <c r="S264" s="252"/>
      <c r="T264" s="252"/>
      <c r="U264" s="252"/>
      <c r="V264" s="252"/>
      <c r="W264" s="252"/>
      <c r="X264" s="252"/>
      <c r="Y264" s="252"/>
    </row>
    <row r="265" spans="2:27" x14ac:dyDescent="0.25">
      <c r="C265" s="7" t="str">
        <f ca="1">INDEX('Version control'!$H$35:$H$61,MATCH($A$1,'Version control'!$F$35:$F$61,0),1)&amp;"-K: Load coefficient"</f>
        <v>Section 508-K: Load coefficient</v>
      </c>
      <c r="D265" s="7"/>
      <c r="E265" s="7"/>
      <c r="F265" s="7"/>
      <c r="G265" s="7"/>
      <c r="H265" s="7"/>
      <c r="I265" s="7"/>
      <c r="J265" s="242"/>
      <c r="K265" s="242"/>
      <c r="L265" s="242"/>
      <c r="M265" s="242"/>
      <c r="N265" s="242"/>
      <c r="O265" s="242"/>
      <c r="P265" s="242"/>
      <c r="Q265" s="242"/>
      <c r="R265" s="242"/>
      <c r="S265" s="242"/>
      <c r="T265" s="242"/>
      <c r="U265" s="242"/>
      <c r="V265" s="242"/>
      <c r="W265" s="242"/>
      <c r="X265" s="242"/>
      <c r="Y265" s="242"/>
      <c r="Z265" s="7"/>
      <c r="AA265" s="7"/>
    </row>
    <row r="266" spans="2:27" x14ac:dyDescent="0.25">
      <c r="F266" s="14"/>
      <c r="G266" s="14"/>
      <c r="J266" s="252"/>
      <c r="K266" s="252"/>
      <c r="L266" s="252"/>
      <c r="M266" s="252"/>
      <c r="N266" s="252"/>
      <c r="O266" s="252"/>
      <c r="P266" s="252"/>
      <c r="Q266" s="252"/>
      <c r="R266" s="252"/>
      <c r="S266" s="252"/>
      <c r="T266" s="252"/>
      <c r="U266" s="252"/>
      <c r="V266" s="252"/>
      <c r="W266" s="252"/>
      <c r="X266" s="252"/>
      <c r="Y266" s="252"/>
    </row>
    <row r="267" spans="2:27" x14ac:dyDescent="0.25">
      <c r="E267" s="14" t="s">
        <v>143</v>
      </c>
      <c r="G267" s="14" t="s">
        <v>427</v>
      </c>
      <c r="J267" s="256">
        <f>J91</f>
        <v>2.0901539554412625</v>
      </c>
      <c r="K267" s="256">
        <f t="shared" ref="K267:Y267" si="52">K91</f>
        <v>2.0901539554412625</v>
      </c>
      <c r="L267" s="256">
        <f t="shared" si="52"/>
        <v>1.4382225505906223</v>
      </c>
      <c r="M267" s="256">
        <f t="shared" si="52"/>
        <v>1.4382225505906223</v>
      </c>
      <c r="N267" s="256">
        <f t="shared" si="52"/>
        <v>1.321213653067566</v>
      </c>
      <c r="O267" s="256">
        <f t="shared" si="52"/>
        <v>1.0640246522506869</v>
      </c>
      <c r="P267" s="256">
        <f t="shared" si="52"/>
        <v>1.0864224960399176</v>
      </c>
      <c r="Q267" s="256">
        <f t="shared" si="52"/>
        <v>1.9422680087920212</v>
      </c>
      <c r="R267" s="256">
        <f t="shared" si="52"/>
        <v>1</v>
      </c>
      <c r="S267" s="256">
        <f t="shared" si="52"/>
        <v>1</v>
      </c>
      <c r="T267" s="256">
        <f t="shared" si="52"/>
        <v>1</v>
      </c>
      <c r="U267" s="256">
        <f t="shared" si="52"/>
        <v>1</v>
      </c>
      <c r="V267" s="256">
        <f t="shared" si="52"/>
        <v>1</v>
      </c>
      <c r="W267" s="256">
        <f t="shared" si="52"/>
        <v>1</v>
      </c>
      <c r="X267" s="256">
        <f t="shared" si="52"/>
        <v>1</v>
      </c>
      <c r="Y267" s="256">
        <f t="shared" si="52"/>
        <v>1</v>
      </c>
    </row>
    <row r="268" spans="2:27" x14ac:dyDescent="0.25">
      <c r="F268" s="14"/>
      <c r="G268" s="14"/>
      <c r="J268" s="252"/>
      <c r="K268" s="252"/>
      <c r="L268" s="252"/>
      <c r="M268" s="252"/>
      <c r="N268" s="252"/>
      <c r="O268" s="252"/>
      <c r="P268" s="252"/>
      <c r="Q268" s="252"/>
      <c r="R268" s="252"/>
      <c r="S268" s="252"/>
      <c r="T268" s="252"/>
      <c r="U268" s="252"/>
      <c r="V268" s="252"/>
      <c r="W268" s="252"/>
      <c r="X268" s="252"/>
      <c r="Y268" s="252"/>
    </row>
    <row r="269" spans="2:27" x14ac:dyDescent="0.25">
      <c r="C269" s="7" t="str">
        <f ca="1">INDEX('Version control'!$H$35:$H$61,MATCH($A$1,'Version control'!$F$35:$F$61,0),1)&amp;"-L: Pseudo load coefficients, by unit rate"</f>
        <v>Section 508-L: Pseudo load coefficients, by unit rate</v>
      </c>
      <c r="D269" s="7"/>
      <c r="E269" s="7"/>
      <c r="F269" s="7"/>
      <c r="G269" s="7"/>
      <c r="H269" s="7"/>
      <c r="I269" s="7"/>
      <c r="J269" s="242"/>
      <c r="K269" s="242"/>
      <c r="L269" s="242"/>
      <c r="M269" s="242"/>
      <c r="N269" s="242"/>
      <c r="O269" s="242"/>
      <c r="P269" s="242"/>
      <c r="Q269" s="242"/>
      <c r="R269" s="242"/>
      <c r="S269" s="242"/>
      <c r="T269" s="242"/>
      <c r="U269" s="242"/>
      <c r="V269" s="242"/>
      <c r="W269" s="242"/>
      <c r="X269" s="242"/>
      <c r="Y269" s="242"/>
      <c r="Z269" s="7"/>
      <c r="AA269" s="7"/>
    </row>
    <row r="270" spans="2:27" x14ac:dyDescent="0.25">
      <c r="F270" s="14"/>
      <c r="G270" s="14"/>
      <c r="J270" s="252"/>
      <c r="K270" s="252"/>
      <c r="L270" s="252"/>
      <c r="M270" s="252"/>
      <c r="N270" s="252"/>
      <c r="O270" s="252"/>
      <c r="P270" s="252"/>
      <c r="Q270" s="252"/>
      <c r="R270" s="252"/>
      <c r="S270" s="252"/>
      <c r="T270" s="252"/>
      <c r="U270" s="252"/>
      <c r="V270" s="252"/>
      <c r="W270" s="252"/>
      <c r="X270" s="252"/>
      <c r="Y270" s="252"/>
    </row>
    <row r="271" spans="2:27" x14ac:dyDescent="0.25">
      <c r="E271" s="96" t="s">
        <v>134</v>
      </c>
      <c r="G271" s="14"/>
      <c r="J271" s="252"/>
      <c r="K271" s="252"/>
      <c r="L271" s="252"/>
      <c r="M271" s="252"/>
      <c r="N271" s="252"/>
      <c r="O271" s="252"/>
      <c r="P271" s="252"/>
      <c r="Q271" s="252"/>
      <c r="R271" s="252"/>
      <c r="S271" s="252"/>
      <c r="T271" s="252"/>
      <c r="U271" s="252"/>
      <c r="V271" s="252"/>
      <c r="W271" s="252"/>
      <c r="X271" s="252"/>
      <c r="Y271" s="252"/>
    </row>
    <row r="272" spans="2:27" x14ac:dyDescent="0.25">
      <c r="F272" s="16" t="s">
        <v>43</v>
      </c>
      <c r="G272" s="16" t="s">
        <v>427</v>
      </c>
      <c r="H272" s="91"/>
      <c r="I272" s="91"/>
      <c r="J272" s="254">
        <f>J229 * J$93</f>
        <v>14.144860268155654</v>
      </c>
      <c r="K272" s="254">
        <f t="shared" ref="K272:Y272" si="53">K229 * K$93</f>
        <v>14.144860268155654</v>
      </c>
      <c r="L272" s="254">
        <f t="shared" si="53"/>
        <v>12.467031654274232</v>
      </c>
      <c r="M272" s="254">
        <f t="shared" si="53"/>
        <v>12.467031654274232</v>
      </c>
      <c r="N272" s="254">
        <f t="shared" si="53"/>
        <v>10.91970204405601</v>
      </c>
      <c r="O272" s="254">
        <f t="shared" si="53"/>
        <v>9.1022229805313177</v>
      </c>
      <c r="P272" s="254">
        <f t="shared" si="53"/>
        <v>9.6346822756543471</v>
      </c>
      <c r="Q272" s="254">
        <f t="shared" si="53"/>
        <v>22.060966846561783</v>
      </c>
      <c r="R272" s="254">
        <f t="shared" si="53"/>
        <v>9.6000295963804945</v>
      </c>
      <c r="S272" s="254">
        <f t="shared" si="53"/>
        <v>9.6000295963804945</v>
      </c>
      <c r="T272" s="254">
        <f t="shared" si="53"/>
        <v>9.6000295963804945</v>
      </c>
      <c r="U272" s="254">
        <f t="shared" si="53"/>
        <v>9.6000295963804945</v>
      </c>
      <c r="V272" s="254">
        <f t="shared" si="53"/>
        <v>9.6000295963804945</v>
      </c>
      <c r="W272" s="254">
        <f t="shared" si="53"/>
        <v>9.6000295963804945</v>
      </c>
      <c r="X272" s="254">
        <f t="shared" si="53"/>
        <v>9.6000295963804945</v>
      </c>
      <c r="Y272" s="254">
        <f t="shared" si="53"/>
        <v>9.6000295963804945</v>
      </c>
    </row>
    <row r="273" spans="5:25" x14ac:dyDescent="0.25">
      <c r="F273" s="14" t="s">
        <v>44</v>
      </c>
      <c r="G273" s="14" t="s">
        <v>427</v>
      </c>
      <c r="J273" s="256">
        <f t="shared" ref="J273:Y280" si="54">J230 * J$93</f>
        <v>12.357295969740175</v>
      </c>
      <c r="K273" s="256">
        <f t="shared" si="54"/>
        <v>12.357295969740175</v>
      </c>
      <c r="L273" s="256">
        <f t="shared" si="54"/>
        <v>10.891503846299493</v>
      </c>
      <c r="M273" s="256">
        <f t="shared" si="54"/>
        <v>10.891503846299493</v>
      </c>
      <c r="N273" s="256">
        <f t="shared" si="54"/>
        <v>9.5397188449830796</v>
      </c>
      <c r="O273" s="256">
        <f t="shared" si="54"/>
        <v>7.9519246723292065</v>
      </c>
      <c r="P273" s="256">
        <f t="shared" si="54"/>
        <v>8.417094138618495</v>
      </c>
      <c r="Q273" s="256">
        <f t="shared" si="54"/>
        <v>22.681368691552095</v>
      </c>
      <c r="R273" s="256">
        <f t="shared" si="54"/>
        <v>8.3868207102626471</v>
      </c>
      <c r="S273" s="256">
        <f t="shared" si="54"/>
        <v>8.3868207102626471</v>
      </c>
      <c r="T273" s="256">
        <f t="shared" si="54"/>
        <v>8.3868207102626471</v>
      </c>
      <c r="U273" s="256">
        <f t="shared" si="54"/>
        <v>8.3868207102626471</v>
      </c>
      <c r="V273" s="256">
        <f t="shared" si="54"/>
        <v>8.3868207102626471</v>
      </c>
      <c r="W273" s="256">
        <f t="shared" si="54"/>
        <v>8.3868207102626471</v>
      </c>
      <c r="X273" s="256">
        <f t="shared" si="54"/>
        <v>8.3868207102626471</v>
      </c>
      <c r="Y273" s="256">
        <f t="shared" si="54"/>
        <v>8.3868207102626471</v>
      </c>
    </row>
    <row r="274" spans="5:25" x14ac:dyDescent="0.25">
      <c r="F274" s="14" t="s">
        <v>45</v>
      </c>
      <c r="G274" s="14" t="s">
        <v>427</v>
      </c>
      <c r="J274" s="256">
        <f t="shared" si="54"/>
        <v>12.357295969740175</v>
      </c>
      <c r="K274" s="256">
        <f t="shared" si="54"/>
        <v>12.357295969740175</v>
      </c>
      <c r="L274" s="256">
        <f t="shared" si="54"/>
        <v>10.891503846299493</v>
      </c>
      <c r="M274" s="256">
        <f t="shared" si="54"/>
        <v>10.891503846299493</v>
      </c>
      <c r="N274" s="256">
        <f t="shared" si="54"/>
        <v>9.5397188449830796</v>
      </c>
      <c r="O274" s="256">
        <f t="shared" si="54"/>
        <v>7.9519246723292065</v>
      </c>
      <c r="P274" s="256">
        <f t="shared" si="54"/>
        <v>8.417094138618495</v>
      </c>
      <c r="Q274" s="256">
        <f t="shared" si="54"/>
        <v>22.681368691552095</v>
      </c>
      <c r="R274" s="256">
        <f t="shared" si="54"/>
        <v>8.3868207102626471</v>
      </c>
      <c r="S274" s="256">
        <f t="shared" si="54"/>
        <v>8.3868207102626471</v>
      </c>
      <c r="T274" s="256">
        <f t="shared" si="54"/>
        <v>8.3868207102626471</v>
      </c>
      <c r="U274" s="256">
        <f t="shared" si="54"/>
        <v>8.3868207102626471</v>
      </c>
      <c r="V274" s="256">
        <f t="shared" si="54"/>
        <v>8.3868207102626471</v>
      </c>
      <c r="W274" s="256">
        <f t="shared" si="54"/>
        <v>8.3868207102626471</v>
      </c>
      <c r="X274" s="256">
        <f t="shared" si="54"/>
        <v>8.3868207102626471</v>
      </c>
      <c r="Y274" s="256">
        <f t="shared" si="54"/>
        <v>8.3868207102626471</v>
      </c>
    </row>
    <row r="275" spans="5:25" x14ac:dyDescent="0.25">
      <c r="F275" s="14" t="s">
        <v>46</v>
      </c>
      <c r="G275" s="14" t="s">
        <v>427</v>
      </c>
      <c r="J275" s="256">
        <f t="shared" si="54"/>
        <v>10.204432841171808</v>
      </c>
      <c r="K275" s="256">
        <f t="shared" si="54"/>
        <v>10.204432841171808</v>
      </c>
      <c r="L275" s="256">
        <f t="shared" si="54"/>
        <v>8.9940080589705644</v>
      </c>
      <c r="M275" s="256">
        <f t="shared" si="54"/>
        <v>8.9940080589705644</v>
      </c>
      <c r="N275" s="256">
        <f t="shared" si="54"/>
        <v>7.8777283084964216</v>
      </c>
      <c r="O275" s="256">
        <f t="shared" si="54"/>
        <v>6.5665564275180728</v>
      </c>
      <c r="P275" s="256">
        <f t="shared" si="54"/>
        <v>6.950685009542525</v>
      </c>
      <c r="Q275" s="256">
        <f t="shared" si="54"/>
        <v>18.789092721751611</v>
      </c>
      <c r="R275" s="256">
        <f t="shared" si="54"/>
        <v>6.9256857566893322</v>
      </c>
      <c r="S275" s="256">
        <f t="shared" si="54"/>
        <v>6.9256857566893322</v>
      </c>
      <c r="T275" s="256">
        <f t="shared" si="54"/>
        <v>6.9256857566893322</v>
      </c>
      <c r="U275" s="256">
        <f t="shared" si="54"/>
        <v>6.9256857566893322</v>
      </c>
      <c r="V275" s="256">
        <f t="shared" si="54"/>
        <v>6.9256857566893322</v>
      </c>
      <c r="W275" s="256">
        <f t="shared" si="54"/>
        <v>6.9256857566893322</v>
      </c>
      <c r="X275" s="256">
        <f t="shared" si="54"/>
        <v>6.9256857566893322</v>
      </c>
      <c r="Y275" s="256">
        <f t="shared" si="54"/>
        <v>6.9256857566893322</v>
      </c>
    </row>
    <row r="276" spans="5:25" x14ac:dyDescent="0.25">
      <c r="F276" s="14" t="s">
        <v>47</v>
      </c>
      <c r="G276" s="14" t="s">
        <v>427</v>
      </c>
      <c r="J276" s="256">
        <f t="shared" si="54"/>
        <v>10.204432841171808</v>
      </c>
      <c r="K276" s="256">
        <f t="shared" si="54"/>
        <v>10.204432841171808</v>
      </c>
      <c r="L276" s="256">
        <f t="shared" si="54"/>
        <v>8.9940080589705644</v>
      </c>
      <c r="M276" s="256">
        <f t="shared" si="54"/>
        <v>8.9940080589705644</v>
      </c>
      <c r="N276" s="256">
        <f t="shared" si="54"/>
        <v>7.8777283084964216</v>
      </c>
      <c r="O276" s="256">
        <f t="shared" si="54"/>
        <v>6.5665564275180728</v>
      </c>
      <c r="P276" s="256">
        <f t="shared" si="54"/>
        <v>6.950685009542525</v>
      </c>
      <c r="Q276" s="256">
        <f t="shared" si="54"/>
        <v>18.789092721751611</v>
      </c>
      <c r="R276" s="256">
        <f t="shared" si="54"/>
        <v>6.9256857566893322</v>
      </c>
      <c r="S276" s="256">
        <f t="shared" si="54"/>
        <v>6.9256857566893322</v>
      </c>
      <c r="T276" s="256">
        <f t="shared" si="54"/>
        <v>6.9256857566893322</v>
      </c>
      <c r="U276" s="256">
        <f t="shared" si="54"/>
        <v>6.9256857566893322</v>
      </c>
      <c r="V276" s="256">
        <f t="shared" si="54"/>
        <v>6.9256857566893322</v>
      </c>
      <c r="W276" s="256">
        <f t="shared" si="54"/>
        <v>6.9256857566893322</v>
      </c>
      <c r="X276" s="256">
        <f t="shared" si="54"/>
        <v>6.9256857566893322</v>
      </c>
      <c r="Y276" s="256">
        <f t="shared" si="54"/>
        <v>6.9256857566893322</v>
      </c>
    </row>
    <row r="277" spans="5:25" x14ac:dyDescent="0.25">
      <c r="F277" s="14" t="s">
        <v>51</v>
      </c>
      <c r="G277" s="14" t="s">
        <v>427</v>
      </c>
      <c r="J277" s="256">
        <f t="shared" si="54"/>
        <v>0</v>
      </c>
      <c r="K277" s="256">
        <f t="shared" si="54"/>
        <v>0</v>
      </c>
      <c r="L277" s="256">
        <f t="shared" si="54"/>
        <v>0</v>
      </c>
      <c r="M277" s="256">
        <f t="shared" si="54"/>
        <v>0</v>
      </c>
      <c r="N277" s="256">
        <f t="shared" si="54"/>
        <v>0</v>
      </c>
      <c r="O277" s="256">
        <f t="shared" si="54"/>
        <v>0</v>
      </c>
      <c r="P277" s="256">
        <f t="shared" si="54"/>
        <v>0</v>
      </c>
      <c r="Q277" s="256">
        <f t="shared" si="54"/>
        <v>0</v>
      </c>
      <c r="R277" s="256">
        <f t="shared" si="54"/>
        <v>0</v>
      </c>
      <c r="S277" s="256">
        <f t="shared" si="54"/>
        <v>0</v>
      </c>
      <c r="T277" s="256">
        <f t="shared" si="54"/>
        <v>0</v>
      </c>
      <c r="U277" s="256">
        <f t="shared" si="54"/>
        <v>0</v>
      </c>
      <c r="V277" s="256">
        <f t="shared" si="54"/>
        <v>0</v>
      </c>
      <c r="W277" s="256">
        <f t="shared" si="54"/>
        <v>0</v>
      </c>
      <c r="X277" s="256">
        <f t="shared" si="54"/>
        <v>0</v>
      </c>
      <c r="Y277" s="256">
        <f t="shared" si="54"/>
        <v>0</v>
      </c>
    </row>
    <row r="278" spans="5:25" x14ac:dyDescent="0.25">
      <c r="F278" s="14" t="s">
        <v>48</v>
      </c>
      <c r="G278" s="14" t="s">
        <v>427</v>
      </c>
      <c r="J278" s="256">
        <f t="shared" si="54"/>
        <v>6.3043754713967681</v>
      </c>
      <c r="K278" s="256">
        <f t="shared" si="54"/>
        <v>6.3043754713967681</v>
      </c>
      <c r="L278" s="256">
        <f t="shared" si="54"/>
        <v>5.5565659237566853</v>
      </c>
      <c r="M278" s="256">
        <f t="shared" si="54"/>
        <v>5.5565659237566853</v>
      </c>
      <c r="N278" s="256">
        <f t="shared" si="54"/>
        <v>4.8669198858395051</v>
      </c>
      <c r="O278" s="256">
        <f t="shared" si="54"/>
        <v>4.0568680217247488</v>
      </c>
      <c r="P278" s="256">
        <f t="shared" si="54"/>
        <v>4.2941855530437447</v>
      </c>
      <c r="Q278" s="256">
        <f t="shared" si="54"/>
        <v>11.063552514375854</v>
      </c>
      <c r="R278" s="256">
        <f t="shared" si="54"/>
        <v>4.2787408263309548</v>
      </c>
      <c r="S278" s="256">
        <f t="shared" si="54"/>
        <v>4.2787408263309548</v>
      </c>
      <c r="T278" s="256">
        <f t="shared" si="54"/>
        <v>4.2787408263309548</v>
      </c>
      <c r="U278" s="256">
        <f t="shared" si="54"/>
        <v>4.2787408263309548</v>
      </c>
      <c r="V278" s="256">
        <f t="shared" si="54"/>
        <v>4.2787408263309548</v>
      </c>
      <c r="W278" s="256">
        <f t="shared" si="54"/>
        <v>4.2787408263309548</v>
      </c>
      <c r="X278" s="256">
        <f t="shared" si="54"/>
        <v>4.2787408263309548</v>
      </c>
      <c r="Y278" s="256">
        <f t="shared" si="54"/>
        <v>4.2787408263309548</v>
      </c>
    </row>
    <row r="279" spans="5:25" x14ac:dyDescent="0.25">
      <c r="F279" s="14" t="s">
        <v>49</v>
      </c>
      <c r="G279" s="14" t="s">
        <v>427</v>
      </c>
      <c r="J279" s="256">
        <f t="shared" si="54"/>
        <v>6.3043754713967681</v>
      </c>
      <c r="K279" s="256">
        <f t="shared" si="54"/>
        <v>6.3043754713967681</v>
      </c>
      <c r="L279" s="256">
        <f t="shared" si="54"/>
        <v>5.5565659237566853</v>
      </c>
      <c r="M279" s="256">
        <f t="shared" si="54"/>
        <v>5.5565659237566853</v>
      </c>
      <c r="N279" s="256">
        <f t="shared" si="54"/>
        <v>4.8669198858395051</v>
      </c>
      <c r="O279" s="256">
        <f t="shared" si="54"/>
        <v>4.0568680217247488</v>
      </c>
      <c r="P279" s="256">
        <f t="shared" si="54"/>
        <v>4.2941855530437447</v>
      </c>
      <c r="Q279" s="256">
        <f t="shared" si="54"/>
        <v>11.063552514375854</v>
      </c>
      <c r="R279" s="256">
        <f t="shared" si="54"/>
        <v>4.2787408263309548</v>
      </c>
      <c r="S279" s="256">
        <f t="shared" si="54"/>
        <v>4.2787408263309548</v>
      </c>
      <c r="T279" s="256">
        <f t="shared" si="54"/>
        <v>4.2787408263309548</v>
      </c>
      <c r="U279" s="256">
        <f t="shared" si="54"/>
        <v>4.2787408263309548</v>
      </c>
      <c r="V279" s="256">
        <f t="shared" si="54"/>
        <v>4.2787408263309548</v>
      </c>
      <c r="W279" s="256">
        <f t="shared" si="54"/>
        <v>4.2787408263309548</v>
      </c>
      <c r="X279" s="256">
        <f t="shared" si="54"/>
        <v>4.2787408263309548</v>
      </c>
      <c r="Y279" s="256">
        <f t="shared" si="54"/>
        <v>4.2787408263309548</v>
      </c>
    </row>
    <row r="280" spans="5:25" x14ac:dyDescent="0.25">
      <c r="F280" s="15" t="s">
        <v>50</v>
      </c>
      <c r="G280" s="15" t="s">
        <v>427</v>
      </c>
      <c r="H280" s="93"/>
      <c r="I280" s="93"/>
      <c r="J280" s="258">
        <f t="shared" si="54"/>
        <v>6.3043754713967681</v>
      </c>
      <c r="K280" s="258">
        <f t="shared" si="54"/>
        <v>6.3043754713967681</v>
      </c>
      <c r="L280" s="258">
        <f t="shared" si="54"/>
        <v>5.5565659237566853</v>
      </c>
      <c r="M280" s="258">
        <f t="shared" si="54"/>
        <v>5.5565659237566853</v>
      </c>
      <c r="N280" s="258">
        <f t="shared" si="54"/>
        <v>4.8669198858395051</v>
      </c>
      <c r="O280" s="258">
        <f t="shared" si="54"/>
        <v>4.0568680217247488</v>
      </c>
      <c r="P280" s="258">
        <f t="shared" si="54"/>
        <v>4.2941855530437447</v>
      </c>
      <c r="Q280" s="258">
        <f t="shared" si="54"/>
        <v>11.063552514375854</v>
      </c>
      <c r="R280" s="258">
        <f t="shared" si="54"/>
        <v>4.2787408263309548</v>
      </c>
      <c r="S280" s="258">
        <f t="shared" si="54"/>
        <v>4.2787408263309548</v>
      </c>
      <c r="T280" s="258">
        <f t="shared" si="54"/>
        <v>4.2787408263309548</v>
      </c>
      <c r="U280" s="258">
        <f t="shared" si="54"/>
        <v>4.2787408263309548</v>
      </c>
      <c r="V280" s="258">
        <f t="shared" si="54"/>
        <v>4.2787408263309548</v>
      </c>
      <c r="W280" s="258">
        <f t="shared" si="54"/>
        <v>4.2787408263309548</v>
      </c>
      <c r="X280" s="258">
        <f t="shared" si="54"/>
        <v>4.2787408263309548</v>
      </c>
      <c r="Y280" s="258">
        <f t="shared" si="54"/>
        <v>4.2787408263309548</v>
      </c>
    </row>
    <row r="281" spans="5:25" x14ac:dyDescent="0.25">
      <c r="J281" s="252"/>
      <c r="K281" s="252"/>
      <c r="L281" s="252"/>
      <c r="M281" s="252"/>
      <c r="N281" s="252"/>
      <c r="O281" s="252"/>
      <c r="P281" s="252"/>
      <c r="Q281" s="252"/>
      <c r="R281" s="252"/>
      <c r="S281" s="252"/>
      <c r="T281" s="252"/>
      <c r="U281" s="252"/>
      <c r="V281" s="252"/>
      <c r="W281" s="252"/>
      <c r="X281" s="252"/>
      <c r="Y281" s="252"/>
    </row>
    <row r="282" spans="5:25" x14ac:dyDescent="0.25">
      <c r="E282" s="96" t="s">
        <v>135</v>
      </c>
      <c r="F282" s="14"/>
      <c r="G282" s="14"/>
      <c r="J282" s="252"/>
      <c r="K282" s="252"/>
      <c r="L282" s="252"/>
      <c r="M282" s="252"/>
      <c r="N282" s="252"/>
      <c r="O282" s="252"/>
      <c r="P282" s="252"/>
      <c r="Q282" s="252"/>
      <c r="R282" s="252"/>
      <c r="S282" s="252"/>
      <c r="T282" s="252"/>
      <c r="U282" s="252"/>
      <c r="V282" s="252"/>
      <c r="W282" s="252"/>
      <c r="X282" s="252"/>
      <c r="Y282" s="252"/>
    </row>
    <row r="283" spans="5:25" x14ac:dyDescent="0.25">
      <c r="F283" s="16" t="s">
        <v>43</v>
      </c>
      <c r="G283" s="16" t="s">
        <v>427</v>
      </c>
      <c r="H283" s="91"/>
      <c r="I283" s="91"/>
      <c r="J283" s="254">
        <f>J240 * J$93</f>
        <v>0.43477145606027906</v>
      </c>
      <c r="K283" s="254">
        <f t="shared" ref="K283:Y283" si="55">K240 * K$93</f>
        <v>0.43477145606027906</v>
      </c>
      <c r="L283" s="254">
        <f t="shared" si="55"/>
        <v>0.3831999328604998</v>
      </c>
      <c r="M283" s="254">
        <f t="shared" si="55"/>
        <v>0.3831999328604998</v>
      </c>
      <c r="N283" s="254">
        <f t="shared" si="55"/>
        <v>0.33563956571044112</v>
      </c>
      <c r="O283" s="254">
        <f t="shared" si="55"/>
        <v>0.27977559789262851</v>
      </c>
      <c r="P283" s="254">
        <f t="shared" si="55"/>
        <v>0.29614183259871762</v>
      </c>
      <c r="Q283" s="254">
        <f t="shared" si="55"/>
        <v>0.56980591634435029</v>
      </c>
      <c r="R283" s="254">
        <f t="shared" si="55"/>
        <v>0.29507671102532174</v>
      </c>
      <c r="S283" s="254">
        <f t="shared" si="55"/>
        <v>0.29507671102532174</v>
      </c>
      <c r="T283" s="254">
        <f t="shared" si="55"/>
        <v>0.29507671102532174</v>
      </c>
      <c r="U283" s="254">
        <f t="shared" si="55"/>
        <v>0.29507671102532174</v>
      </c>
      <c r="V283" s="254">
        <f t="shared" si="55"/>
        <v>0.29507671102532174</v>
      </c>
      <c r="W283" s="254">
        <f t="shared" si="55"/>
        <v>0.29507671102532174</v>
      </c>
      <c r="X283" s="254">
        <f t="shared" si="55"/>
        <v>0.29507671102532174</v>
      </c>
      <c r="Y283" s="254">
        <f t="shared" si="55"/>
        <v>0.29507671102532174</v>
      </c>
    </row>
    <row r="284" spans="5:25" x14ac:dyDescent="0.25">
      <c r="F284" s="14" t="s">
        <v>44</v>
      </c>
      <c r="G284" s="14" t="s">
        <v>427</v>
      </c>
      <c r="J284" s="256">
        <f t="shared" ref="J284:Y291" si="56">J241 * J$93</f>
        <v>0.72666991631636735</v>
      </c>
      <c r="K284" s="256">
        <f t="shared" si="56"/>
        <v>0.72666991631636735</v>
      </c>
      <c r="L284" s="256">
        <f t="shared" si="56"/>
        <v>0.64047411407240551</v>
      </c>
      <c r="M284" s="256">
        <f t="shared" si="56"/>
        <v>0.64047411407240551</v>
      </c>
      <c r="N284" s="256">
        <f t="shared" si="56"/>
        <v>0.56098249258905497</v>
      </c>
      <c r="O284" s="256">
        <f t="shared" si="56"/>
        <v>0.46761236846195076</v>
      </c>
      <c r="P284" s="256">
        <f t="shared" si="56"/>
        <v>0.49496662605755265</v>
      </c>
      <c r="Q284" s="256">
        <f t="shared" si="56"/>
        <v>0.52171916269370811</v>
      </c>
      <c r="R284" s="256">
        <f t="shared" si="56"/>
        <v>0.49318639924225077</v>
      </c>
      <c r="S284" s="256">
        <f t="shared" si="56"/>
        <v>0.49318639924225077</v>
      </c>
      <c r="T284" s="256">
        <f t="shared" si="56"/>
        <v>0.49318639924225077</v>
      </c>
      <c r="U284" s="256">
        <f t="shared" si="56"/>
        <v>0.49318639924225077</v>
      </c>
      <c r="V284" s="256">
        <f t="shared" si="56"/>
        <v>0.49318639924225077</v>
      </c>
      <c r="W284" s="256">
        <f t="shared" si="56"/>
        <v>0.49318639924225077</v>
      </c>
      <c r="X284" s="256">
        <f t="shared" si="56"/>
        <v>0.49318639924225077</v>
      </c>
      <c r="Y284" s="256">
        <f t="shared" si="56"/>
        <v>0.49318639924225077</v>
      </c>
    </row>
    <row r="285" spans="5:25" x14ac:dyDescent="0.25">
      <c r="F285" s="14" t="s">
        <v>45</v>
      </c>
      <c r="G285" s="14" t="s">
        <v>427</v>
      </c>
      <c r="J285" s="256">
        <f t="shared" si="56"/>
        <v>0.72666991631636735</v>
      </c>
      <c r="K285" s="256">
        <f t="shared" si="56"/>
        <v>0.72666991631636735</v>
      </c>
      <c r="L285" s="256">
        <f t="shared" si="56"/>
        <v>0.64047411407240551</v>
      </c>
      <c r="M285" s="256">
        <f t="shared" si="56"/>
        <v>0.64047411407240551</v>
      </c>
      <c r="N285" s="256">
        <f t="shared" si="56"/>
        <v>0.56098249258905497</v>
      </c>
      <c r="O285" s="256">
        <f t="shared" si="56"/>
        <v>0.46761236846195076</v>
      </c>
      <c r="P285" s="256">
        <f t="shared" si="56"/>
        <v>0.49496662605755265</v>
      </c>
      <c r="Q285" s="256">
        <f t="shared" si="56"/>
        <v>0.52171916269370811</v>
      </c>
      <c r="R285" s="256">
        <f t="shared" si="56"/>
        <v>0.49318639924225077</v>
      </c>
      <c r="S285" s="256">
        <f t="shared" si="56"/>
        <v>0.49318639924225077</v>
      </c>
      <c r="T285" s="256">
        <f t="shared" si="56"/>
        <v>0.49318639924225077</v>
      </c>
      <c r="U285" s="256">
        <f t="shared" si="56"/>
        <v>0.49318639924225077</v>
      </c>
      <c r="V285" s="256">
        <f t="shared" si="56"/>
        <v>0.49318639924225077</v>
      </c>
      <c r="W285" s="256">
        <f t="shared" si="56"/>
        <v>0.49318639924225077</v>
      </c>
      <c r="X285" s="256">
        <f t="shared" si="56"/>
        <v>0.49318639924225077</v>
      </c>
      <c r="Y285" s="256">
        <f t="shared" si="56"/>
        <v>0.49318639924225077</v>
      </c>
    </row>
    <row r="286" spans="5:25" x14ac:dyDescent="0.25">
      <c r="F286" s="14" t="s">
        <v>46</v>
      </c>
      <c r="G286" s="14" t="s">
        <v>427</v>
      </c>
      <c r="J286" s="256">
        <f t="shared" si="56"/>
        <v>1.0956395657295968</v>
      </c>
      <c r="K286" s="256">
        <f t="shared" si="56"/>
        <v>1.0956395657295968</v>
      </c>
      <c r="L286" s="256">
        <f t="shared" si="56"/>
        <v>0.96567748911436924</v>
      </c>
      <c r="M286" s="256">
        <f t="shared" si="56"/>
        <v>0.96567748911436924</v>
      </c>
      <c r="N286" s="256">
        <f t="shared" si="56"/>
        <v>0.84582366871313797</v>
      </c>
      <c r="O286" s="256">
        <f t="shared" si="56"/>
        <v>0.70504447866586339</v>
      </c>
      <c r="P286" s="256">
        <f t="shared" si="56"/>
        <v>0.74628797346309772</v>
      </c>
      <c r="Q286" s="256">
        <f t="shared" si="56"/>
        <v>0.72067364937650136</v>
      </c>
      <c r="R286" s="256">
        <f t="shared" si="56"/>
        <v>0.74360382913426004</v>
      </c>
      <c r="S286" s="256">
        <f t="shared" si="56"/>
        <v>0.74360382913426004</v>
      </c>
      <c r="T286" s="256">
        <f t="shared" si="56"/>
        <v>0.74360382913426004</v>
      </c>
      <c r="U286" s="256">
        <f t="shared" si="56"/>
        <v>0.74360382913426004</v>
      </c>
      <c r="V286" s="256">
        <f t="shared" si="56"/>
        <v>0.74360382913426004</v>
      </c>
      <c r="W286" s="256">
        <f t="shared" si="56"/>
        <v>0.74360382913426004</v>
      </c>
      <c r="X286" s="256">
        <f t="shared" si="56"/>
        <v>0.74360382913426004</v>
      </c>
      <c r="Y286" s="256">
        <f t="shared" si="56"/>
        <v>0.74360382913426004</v>
      </c>
    </row>
    <row r="287" spans="5:25" x14ac:dyDescent="0.25">
      <c r="F287" s="14" t="s">
        <v>47</v>
      </c>
      <c r="G287" s="14" t="s">
        <v>427</v>
      </c>
      <c r="J287" s="256">
        <f t="shared" si="56"/>
        <v>1.0956395657295968</v>
      </c>
      <c r="K287" s="256">
        <f t="shared" si="56"/>
        <v>1.0956395657295968</v>
      </c>
      <c r="L287" s="256">
        <f t="shared" si="56"/>
        <v>0.96567748911436924</v>
      </c>
      <c r="M287" s="256">
        <f t="shared" si="56"/>
        <v>0.96567748911436924</v>
      </c>
      <c r="N287" s="256">
        <f t="shared" si="56"/>
        <v>0.84582366871313797</v>
      </c>
      <c r="O287" s="256">
        <f t="shared" si="56"/>
        <v>0.70504447866586339</v>
      </c>
      <c r="P287" s="256">
        <f t="shared" si="56"/>
        <v>0.74628797346309772</v>
      </c>
      <c r="Q287" s="256">
        <f t="shared" si="56"/>
        <v>0.72067364937650136</v>
      </c>
      <c r="R287" s="256">
        <f t="shared" si="56"/>
        <v>0.74360382913426004</v>
      </c>
      <c r="S287" s="256">
        <f t="shared" si="56"/>
        <v>0.74360382913426004</v>
      </c>
      <c r="T287" s="256">
        <f t="shared" si="56"/>
        <v>0.74360382913426004</v>
      </c>
      <c r="U287" s="256">
        <f t="shared" si="56"/>
        <v>0.74360382913426004</v>
      </c>
      <c r="V287" s="256">
        <f t="shared" si="56"/>
        <v>0.74360382913426004</v>
      </c>
      <c r="W287" s="256">
        <f t="shared" si="56"/>
        <v>0.74360382913426004</v>
      </c>
      <c r="X287" s="256">
        <f t="shared" si="56"/>
        <v>0.74360382913426004</v>
      </c>
      <c r="Y287" s="256">
        <f t="shared" si="56"/>
        <v>0.74360382913426004</v>
      </c>
    </row>
    <row r="288" spans="5:25" x14ac:dyDescent="0.25">
      <c r="F288" s="14" t="s">
        <v>51</v>
      </c>
      <c r="G288" s="14" t="s">
        <v>427</v>
      </c>
      <c r="J288" s="256">
        <f t="shared" si="56"/>
        <v>0</v>
      </c>
      <c r="K288" s="256">
        <f t="shared" si="56"/>
        <v>0</v>
      </c>
      <c r="L288" s="256">
        <f t="shared" si="56"/>
        <v>0</v>
      </c>
      <c r="M288" s="256">
        <f t="shared" si="56"/>
        <v>0</v>
      </c>
      <c r="N288" s="256">
        <f t="shared" si="56"/>
        <v>0</v>
      </c>
      <c r="O288" s="256">
        <f t="shared" si="56"/>
        <v>0</v>
      </c>
      <c r="P288" s="256">
        <f t="shared" si="56"/>
        <v>0</v>
      </c>
      <c r="Q288" s="256">
        <f t="shared" si="56"/>
        <v>0</v>
      </c>
      <c r="R288" s="256">
        <f t="shared" si="56"/>
        <v>0</v>
      </c>
      <c r="S288" s="256">
        <f t="shared" si="56"/>
        <v>0</v>
      </c>
      <c r="T288" s="256">
        <f t="shared" si="56"/>
        <v>0</v>
      </c>
      <c r="U288" s="256">
        <f t="shared" si="56"/>
        <v>0</v>
      </c>
      <c r="V288" s="256">
        <f t="shared" si="56"/>
        <v>0</v>
      </c>
      <c r="W288" s="256">
        <f t="shared" si="56"/>
        <v>0</v>
      </c>
      <c r="X288" s="256">
        <f t="shared" si="56"/>
        <v>0</v>
      </c>
      <c r="Y288" s="256">
        <f t="shared" si="56"/>
        <v>0</v>
      </c>
    </row>
    <row r="289" spans="2:27" x14ac:dyDescent="0.25">
      <c r="F289" s="14" t="s">
        <v>48</v>
      </c>
      <c r="G289" s="14" t="s">
        <v>427</v>
      </c>
      <c r="J289" s="256">
        <f t="shared" si="56"/>
        <v>1.7500652925392015</v>
      </c>
      <c r="K289" s="256">
        <f t="shared" si="56"/>
        <v>1.7500652925392015</v>
      </c>
      <c r="L289" s="256">
        <f t="shared" si="56"/>
        <v>1.5424768421539015</v>
      </c>
      <c r="M289" s="256">
        <f t="shared" si="56"/>
        <v>1.5424768421539015</v>
      </c>
      <c r="N289" s="256">
        <f t="shared" si="56"/>
        <v>1.351034311395398</v>
      </c>
      <c r="O289" s="256">
        <f t="shared" si="56"/>
        <v>1.1261676836103258</v>
      </c>
      <c r="P289" s="256">
        <f t="shared" si="56"/>
        <v>1.1920459259131184</v>
      </c>
      <c r="Q289" s="256">
        <f t="shared" si="56"/>
        <v>1.108665834993525</v>
      </c>
      <c r="R289" s="256">
        <f t="shared" si="56"/>
        <v>1.1877585416519114</v>
      </c>
      <c r="S289" s="256">
        <f t="shared" si="56"/>
        <v>1.1877585416519114</v>
      </c>
      <c r="T289" s="256">
        <f t="shared" si="56"/>
        <v>1.1877585416519114</v>
      </c>
      <c r="U289" s="256">
        <f t="shared" si="56"/>
        <v>1.1877585416519114</v>
      </c>
      <c r="V289" s="256">
        <f t="shared" si="56"/>
        <v>1.1877585416519114</v>
      </c>
      <c r="W289" s="256">
        <f t="shared" si="56"/>
        <v>1.1877585416519114</v>
      </c>
      <c r="X289" s="256">
        <f t="shared" si="56"/>
        <v>1.1877585416519114</v>
      </c>
      <c r="Y289" s="256">
        <f t="shared" si="56"/>
        <v>1.1877585416519114</v>
      </c>
    </row>
    <row r="290" spans="2:27" x14ac:dyDescent="0.25">
      <c r="F290" s="14" t="s">
        <v>49</v>
      </c>
      <c r="G290" s="14" t="s">
        <v>427</v>
      </c>
      <c r="J290" s="256">
        <f t="shared" si="56"/>
        <v>1.7500652925392015</v>
      </c>
      <c r="K290" s="256">
        <f t="shared" si="56"/>
        <v>1.7500652925392015</v>
      </c>
      <c r="L290" s="256">
        <f t="shared" si="56"/>
        <v>1.5424768421539015</v>
      </c>
      <c r="M290" s="256">
        <f t="shared" si="56"/>
        <v>1.5424768421539015</v>
      </c>
      <c r="N290" s="256">
        <f t="shared" si="56"/>
        <v>1.351034311395398</v>
      </c>
      <c r="O290" s="256">
        <f t="shared" si="56"/>
        <v>1.1261676836103258</v>
      </c>
      <c r="P290" s="256">
        <f t="shared" si="56"/>
        <v>1.1920459259131184</v>
      </c>
      <c r="Q290" s="256">
        <f t="shared" si="56"/>
        <v>1.108665834993525</v>
      </c>
      <c r="R290" s="256">
        <f t="shared" si="56"/>
        <v>1.1877585416519114</v>
      </c>
      <c r="S290" s="256">
        <f t="shared" si="56"/>
        <v>1.1877585416519114</v>
      </c>
      <c r="T290" s="256">
        <f t="shared" si="56"/>
        <v>1.1877585416519114</v>
      </c>
      <c r="U290" s="256">
        <f t="shared" si="56"/>
        <v>1.1877585416519114</v>
      </c>
      <c r="V290" s="256">
        <f t="shared" si="56"/>
        <v>1.1877585416519114</v>
      </c>
      <c r="W290" s="256">
        <f t="shared" si="56"/>
        <v>1.1877585416519114</v>
      </c>
      <c r="X290" s="256">
        <f t="shared" si="56"/>
        <v>1.1877585416519114</v>
      </c>
      <c r="Y290" s="256">
        <f t="shared" si="56"/>
        <v>1.1877585416519114</v>
      </c>
    </row>
    <row r="291" spans="2:27" x14ac:dyDescent="0.25">
      <c r="F291" s="15" t="s">
        <v>50</v>
      </c>
      <c r="G291" s="15" t="s">
        <v>427</v>
      </c>
      <c r="H291" s="93"/>
      <c r="I291" s="93"/>
      <c r="J291" s="258">
        <f t="shared" si="56"/>
        <v>1.7500652925392015</v>
      </c>
      <c r="K291" s="258">
        <f t="shared" si="56"/>
        <v>1.7500652925392015</v>
      </c>
      <c r="L291" s="258">
        <f t="shared" si="56"/>
        <v>1.5424768421539015</v>
      </c>
      <c r="M291" s="258">
        <f t="shared" si="56"/>
        <v>1.5424768421539015</v>
      </c>
      <c r="N291" s="258">
        <f t="shared" si="56"/>
        <v>1.351034311395398</v>
      </c>
      <c r="O291" s="258">
        <f t="shared" si="56"/>
        <v>1.1261676836103258</v>
      </c>
      <c r="P291" s="258">
        <f t="shared" si="56"/>
        <v>1.1920459259131184</v>
      </c>
      <c r="Q291" s="258">
        <f t="shared" si="56"/>
        <v>1.108665834993525</v>
      </c>
      <c r="R291" s="258">
        <f t="shared" si="56"/>
        <v>1.1877585416519114</v>
      </c>
      <c r="S291" s="258">
        <f t="shared" si="56"/>
        <v>1.1877585416519114</v>
      </c>
      <c r="T291" s="258">
        <f t="shared" si="56"/>
        <v>1.1877585416519114</v>
      </c>
      <c r="U291" s="258">
        <f t="shared" si="56"/>
        <v>1.1877585416519114</v>
      </c>
      <c r="V291" s="258">
        <f t="shared" si="56"/>
        <v>1.1877585416519114</v>
      </c>
      <c r="W291" s="258">
        <f t="shared" si="56"/>
        <v>1.1877585416519114</v>
      </c>
      <c r="X291" s="258">
        <f t="shared" si="56"/>
        <v>1.1877585416519114</v>
      </c>
      <c r="Y291" s="258">
        <f t="shared" si="56"/>
        <v>1.1877585416519114</v>
      </c>
    </row>
    <row r="292" spans="2:27" x14ac:dyDescent="0.25">
      <c r="J292" s="252"/>
      <c r="K292" s="252"/>
      <c r="L292" s="252"/>
      <c r="M292" s="252"/>
      <c r="N292" s="252"/>
      <c r="O292" s="252"/>
      <c r="P292" s="252"/>
      <c r="Q292" s="252"/>
      <c r="R292" s="252"/>
      <c r="S292" s="252"/>
      <c r="T292" s="252"/>
      <c r="U292" s="252"/>
      <c r="V292" s="252"/>
      <c r="W292" s="252"/>
      <c r="X292" s="252"/>
      <c r="Y292" s="252"/>
    </row>
    <row r="293" spans="2:27" x14ac:dyDescent="0.25">
      <c r="E293" s="96" t="s">
        <v>136</v>
      </c>
      <c r="F293" s="14"/>
      <c r="G293" s="14"/>
      <c r="J293" s="252"/>
      <c r="K293" s="252"/>
      <c r="L293" s="252"/>
      <c r="M293" s="252"/>
      <c r="N293" s="252"/>
      <c r="O293" s="252"/>
      <c r="P293" s="252"/>
      <c r="Q293" s="252"/>
      <c r="R293" s="252"/>
      <c r="S293" s="252"/>
      <c r="T293" s="252"/>
      <c r="U293" s="252"/>
      <c r="V293" s="252"/>
      <c r="W293" s="252"/>
      <c r="X293" s="252"/>
      <c r="Y293" s="252"/>
    </row>
    <row r="294" spans="2:27" x14ac:dyDescent="0.25">
      <c r="F294" s="16" t="s">
        <v>43</v>
      </c>
      <c r="G294" s="16" t="s">
        <v>427</v>
      </c>
      <c r="H294" s="91"/>
      <c r="I294" s="91"/>
      <c r="J294" s="254">
        <f>J251 * J$93</f>
        <v>0</v>
      </c>
      <c r="K294" s="254">
        <f t="shared" ref="K294:Y294" si="57">K251 * K$93</f>
        <v>0</v>
      </c>
      <c r="L294" s="254">
        <f t="shared" si="57"/>
        <v>0</v>
      </c>
      <c r="M294" s="254">
        <f t="shared" si="57"/>
        <v>0</v>
      </c>
      <c r="N294" s="254">
        <f t="shared" si="57"/>
        <v>0</v>
      </c>
      <c r="O294" s="254">
        <f t="shared" si="57"/>
        <v>0</v>
      </c>
      <c r="P294" s="254">
        <f t="shared" si="57"/>
        <v>0</v>
      </c>
      <c r="Q294" s="254">
        <f t="shared" si="57"/>
        <v>0</v>
      </c>
      <c r="R294" s="254">
        <f t="shared" si="57"/>
        <v>0</v>
      </c>
      <c r="S294" s="254">
        <f t="shared" si="57"/>
        <v>0</v>
      </c>
      <c r="T294" s="254">
        <f t="shared" si="57"/>
        <v>0</v>
      </c>
      <c r="U294" s="254">
        <f t="shared" si="57"/>
        <v>0</v>
      </c>
      <c r="V294" s="254">
        <f t="shared" si="57"/>
        <v>0</v>
      </c>
      <c r="W294" s="254">
        <f t="shared" si="57"/>
        <v>0</v>
      </c>
      <c r="X294" s="254">
        <f t="shared" si="57"/>
        <v>0</v>
      </c>
      <c r="Y294" s="254">
        <f t="shared" si="57"/>
        <v>0</v>
      </c>
    </row>
    <row r="295" spans="2:27" x14ac:dyDescent="0.25">
      <c r="F295" s="14" t="s">
        <v>44</v>
      </c>
      <c r="G295" s="14" t="s">
        <v>427</v>
      </c>
      <c r="J295" s="256">
        <f t="shared" ref="J295:Y302" si="58">J252 * J$93</f>
        <v>3.1085856954411718E-2</v>
      </c>
      <c r="K295" s="256">
        <f t="shared" si="58"/>
        <v>3.1085856954411718E-2</v>
      </c>
      <c r="L295" s="256">
        <f t="shared" si="58"/>
        <v>2.7398528886381432E-2</v>
      </c>
      <c r="M295" s="256">
        <f t="shared" si="58"/>
        <v>2.7398528886381432E-2</v>
      </c>
      <c r="N295" s="256">
        <f t="shared" si="58"/>
        <v>2.3997995688265855E-2</v>
      </c>
      <c r="O295" s="256">
        <f t="shared" si="58"/>
        <v>2.0003760813174117E-2</v>
      </c>
      <c r="P295" s="256">
        <f t="shared" si="58"/>
        <v>2.1173935220588014E-2</v>
      </c>
      <c r="Q295" s="256">
        <f t="shared" si="58"/>
        <v>2.0550710308923897E-2</v>
      </c>
      <c r="R295" s="256">
        <f t="shared" si="58"/>
        <v>2.1097779768319658E-2</v>
      </c>
      <c r="S295" s="256">
        <f t="shared" si="58"/>
        <v>2.1097779768319658E-2</v>
      </c>
      <c r="T295" s="256">
        <f t="shared" si="58"/>
        <v>2.1097779768319658E-2</v>
      </c>
      <c r="U295" s="256">
        <f t="shared" si="58"/>
        <v>2.1097779768319658E-2</v>
      </c>
      <c r="V295" s="256">
        <f t="shared" si="58"/>
        <v>2.1097779768319658E-2</v>
      </c>
      <c r="W295" s="256">
        <f t="shared" si="58"/>
        <v>2.1097779768319658E-2</v>
      </c>
      <c r="X295" s="256">
        <f t="shared" si="58"/>
        <v>2.1097779768319658E-2</v>
      </c>
      <c r="Y295" s="256">
        <f t="shared" si="58"/>
        <v>2.1097779768319658E-2</v>
      </c>
    </row>
    <row r="296" spans="2:27" x14ac:dyDescent="0.25">
      <c r="F296" s="14" t="s">
        <v>45</v>
      </c>
      <c r="G296" s="14" t="s">
        <v>427</v>
      </c>
      <c r="J296" s="256">
        <f t="shared" si="58"/>
        <v>3.1085856954411718E-2</v>
      </c>
      <c r="K296" s="256">
        <f t="shared" si="58"/>
        <v>3.1085856954411718E-2</v>
      </c>
      <c r="L296" s="256">
        <f t="shared" si="58"/>
        <v>2.7398528886381432E-2</v>
      </c>
      <c r="M296" s="256">
        <f t="shared" si="58"/>
        <v>2.7398528886381432E-2</v>
      </c>
      <c r="N296" s="256">
        <f t="shared" si="58"/>
        <v>2.3997995688265855E-2</v>
      </c>
      <c r="O296" s="256">
        <f t="shared" si="58"/>
        <v>2.0003760813174117E-2</v>
      </c>
      <c r="P296" s="256">
        <f t="shared" si="58"/>
        <v>2.1173935220588014E-2</v>
      </c>
      <c r="Q296" s="256">
        <f t="shared" si="58"/>
        <v>2.0550710308923897E-2</v>
      </c>
      <c r="R296" s="256">
        <f t="shared" si="58"/>
        <v>2.1097779768319658E-2</v>
      </c>
      <c r="S296" s="256">
        <f t="shared" si="58"/>
        <v>2.1097779768319658E-2</v>
      </c>
      <c r="T296" s="256">
        <f t="shared" si="58"/>
        <v>2.1097779768319658E-2</v>
      </c>
      <c r="U296" s="256">
        <f t="shared" si="58"/>
        <v>2.1097779768319658E-2</v>
      </c>
      <c r="V296" s="256">
        <f t="shared" si="58"/>
        <v>2.1097779768319658E-2</v>
      </c>
      <c r="W296" s="256">
        <f t="shared" si="58"/>
        <v>2.1097779768319658E-2</v>
      </c>
      <c r="X296" s="256">
        <f t="shared" si="58"/>
        <v>2.1097779768319658E-2</v>
      </c>
      <c r="Y296" s="256">
        <f t="shared" si="58"/>
        <v>2.1097779768319658E-2</v>
      </c>
    </row>
    <row r="297" spans="2:27" x14ac:dyDescent="0.25">
      <c r="F297" s="14" t="s">
        <v>46</v>
      </c>
      <c r="G297" s="14" t="s">
        <v>427</v>
      </c>
      <c r="J297" s="256">
        <f t="shared" si="58"/>
        <v>4.7342374136145601E-2</v>
      </c>
      <c r="K297" s="256">
        <f t="shared" si="58"/>
        <v>4.7342374136145601E-2</v>
      </c>
      <c r="L297" s="256">
        <f t="shared" si="58"/>
        <v>4.1726737893097589E-2</v>
      </c>
      <c r="M297" s="256">
        <f t="shared" si="58"/>
        <v>4.1726737893097589E-2</v>
      </c>
      <c r="N297" s="256">
        <f t="shared" si="58"/>
        <v>3.6547877449788373E-2</v>
      </c>
      <c r="O297" s="256">
        <f t="shared" si="58"/>
        <v>3.0464835823445269E-2</v>
      </c>
      <c r="P297" s="256">
        <f t="shared" si="58"/>
        <v>3.2246959272111173E-2</v>
      </c>
      <c r="Q297" s="256">
        <f t="shared" si="58"/>
        <v>3.1297815518981288E-2</v>
      </c>
      <c r="R297" s="256">
        <f t="shared" si="58"/>
        <v>3.2130977913801401E-2</v>
      </c>
      <c r="S297" s="256">
        <f t="shared" si="58"/>
        <v>3.2130977913801401E-2</v>
      </c>
      <c r="T297" s="256">
        <f t="shared" si="58"/>
        <v>3.2130977913801401E-2</v>
      </c>
      <c r="U297" s="256">
        <f t="shared" si="58"/>
        <v>3.2130977913801401E-2</v>
      </c>
      <c r="V297" s="256">
        <f t="shared" si="58"/>
        <v>3.2130977913801401E-2</v>
      </c>
      <c r="W297" s="256">
        <f t="shared" si="58"/>
        <v>3.2130977913801401E-2</v>
      </c>
      <c r="X297" s="256">
        <f t="shared" si="58"/>
        <v>3.2130977913801401E-2</v>
      </c>
      <c r="Y297" s="256">
        <f t="shared" si="58"/>
        <v>3.2130977913801401E-2</v>
      </c>
    </row>
    <row r="298" spans="2:27" x14ac:dyDescent="0.25">
      <c r="F298" s="14" t="s">
        <v>47</v>
      </c>
      <c r="G298" s="14" t="s">
        <v>427</v>
      </c>
      <c r="J298" s="256">
        <f t="shared" si="58"/>
        <v>4.7342374136145601E-2</v>
      </c>
      <c r="K298" s="256">
        <f t="shared" si="58"/>
        <v>4.7342374136145601E-2</v>
      </c>
      <c r="L298" s="256">
        <f t="shared" si="58"/>
        <v>4.1726737893097589E-2</v>
      </c>
      <c r="M298" s="256">
        <f t="shared" si="58"/>
        <v>4.1726737893097589E-2</v>
      </c>
      <c r="N298" s="256">
        <f t="shared" si="58"/>
        <v>3.6547877449788373E-2</v>
      </c>
      <c r="O298" s="256">
        <f t="shared" si="58"/>
        <v>3.0464835823445269E-2</v>
      </c>
      <c r="P298" s="256">
        <f t="shared" si="58"/>
        <v>3.2246959272111173E-2</v>
      </c>
      <c r="Q298" s="256">
        <f t="shared" si="58"/>
        <v>3.1297815518981288E-2</v>
      </c>
      <c r="R298" s="256">
        <f t="shared" si="58"/>
        <v>3.2130977913801401E-2</v>
      </c>
      <c r="S298" s="256">
        <f t="shared" si="58"/>
        <v>3.2130977913801401E-2</v>
      </c>
      <c r="T298" s="256">
        <f t="shared" si="58"/>
        <v>3.2130977913801401E-2</v>
      </c>
      <c r="U298" s="256">
        <f t="shared" si="58"/>
        <v>3.2130977913801401E-2</v>
      </c>
      <c r="V298" s="256">
        <f t="shared" si="58"/>
        <v>3.2130977913801401E-2</v>
      </c>
      <c r="W298" s="256">
        <f t="shared" si="58"/>
        <v>3.2130977913801401E-2</v>
      </c>
      <c r="X298" s="256">
        <f t="shared" si="58"/>
        <v>3.2130977913801401E-2</v>
      </c>
      <c r="Y298" s="256">
        <f t="shared" si="58"/>
        <v>3.2130977913801401E-2</v>
      </c>
    </row>
    <row r="299" spans="2:27" x14ac:dyDescent="0.25">
      <c r="F299" s="14" t="s">
        <v>51</v>
      </c>
      <c r="G299" s="14" t="s">
        <v>427</v>
      </c>
      <c r="J299" s="256">
        <f t="shared" si="58"/>
        <v>0</v>
      </c>
      <c r="K299" s="256">
        <f t="shared" si="58"/>
        <v>0</v>
      </c>
      <c r="L299" s="256">
        <f t="shared" si="58"/>
        <v>0</v>
      </c>
      <c r="M299" s="256">
        <f t="shared" si="58"/>
        <v>0</v>
      </c>
      <c r="N299" s="256">
        <f t="shared" si="58"/>
        <v>0</v>
      </c>
      <c r="O299" s="256">
        <f t="shared" si="58"/>
        <v>0</v>
      </c>
      <c r="P299" s="256">
        <f t="shared" si="58"/>
        <v>0</v>
      </c>
      <c r="Q299" s="256">
        <f t="shared" si="58"/>
        <v>0</v>
      </c>
      <c r="R299" s="256">
        <f t="shared" si="58"/>
        <v>0</v>
      </c>
      <c r="S299" s="256">
        <f t="shared" si="58"/>
        <v>0</v>
      </c>
      <c r="T299" s="256">
        <f t="shared" si="58"/>
        <v>0</v>
      </c>
      <c r="U299" s="256">
        <f t="shared" si="58"/>
        <v>0</v>
      </c>
      <c r="V299" s="256">
        <f t="shared" si="58"/>
        <v>0</v>
      </c>
      <c r="W299" s="256">
        <f t="shared" si="58"/>
        <v>0</v>
      </c>
      <c r="X299" s="256">
        <f t="shared" si="58"/>
        <v>0</v>
      </c>
      <c r="Y299" s="256">
        <f t="shared" si="58"/>
        <v>0</v>
      </c>
    </row>
    <row r="300" spans="2:27" x14ac:dyDescent="0.25">
      <c r="F300" s="14" t="s">
        <v>48</v>
      </c>
      <c r="G300" s="14" t="s">
        <v>427</v>
      </c>
      <c r="J300" s="256">
        <f t="shared" si="58"/>
        <v>9.3800556937016832E-2</v>
      </c>
      <c r="K300" s="256">
        <f t="shared" si="58"/>
        <v>9.3800556937016832E-2</v>
      </c>
      <c r="L300" s="256">
        <f t="shared" si="58"/>
        <v>8.2674165057327997E-2</v>
      </c>
      <c r="M300" s="256">
        <f t="shared" si="58"/>
        <v>8.2674165057327997E-2</v>
      </c>
      <c r="N300" s="256">
        <f t="shared" si="58"/>
        <v>7.2413167320195093E-2</v>
      </c>
      <c r="O300" s="256">
        <f t="shared" si="58"/>
        <v>6.0360694185215655E-2</v>
      </c>
      <c r="P300" s="256">
        <f t="shared" si="58"/>
        <v>6.3891657198068663E-2</v>
      </c>
      <c r="Q300" s="256">
        <f t="shared" si="58"/>
        <v>6.2011096404880652E-2</v>
      </c>
      <c r="R300" s="256">
        <f t="shared" si="58"/>
        <v>6.3661860610924922E-2</v>
      </c>
      <c r="S300" s="256">
        <f t="shared" si="58"/>
        <v>6.3661860610924922E-2</v>
      </c>
      <c r="T300" s="256">
        <f t="shared" si="58"/>
        <v>6.3661860610924922E-2</v>
      </c>
      <c r="U300" s="256">
        <f t="shared" si="58"/>
        <v>6.3661860610924922E-2</v>
      </c>
      <c r="V300" s="256">
        <f t="shared" si="58"/>
        <v>6.3661860610924922E-2</v>
      </c>
      <c r="W300" s="256">
        <f t="shared" si="58"/>
        <v>6.3661860610924922E-2</v>
      </c>
      <c r="X300" s="256">
        <f t="shared" si="58"/>
        <v>6.3661860610924922E-2</v>
      </c>
      <c r="Y300" s="256">
        <f t="shared" si="58"/>
        <v>6.3661860610924922E-2</v>
      </c>
    </row>
    <row r="301" spans="2:27" x14ac:dyDescent="0.25">
      <c r="F301" s="14" t="s">
        <v>49</v>
      </c>
      <c r="G301" s="14" t="s">
        <v>427</v>
      </c>
      <c r="J301" s="256">
        <f t="shared" si="58"/>
        <v>9.3800556937016832E-2</v>
      </c>
      <c r="K301" s="256">
        <f t="shared" si="58"/>
        <v>9.3800556937016832E-2</v>
      </c>
      <c r="L301" s="256">
        <f t="shared" si="58"/>
        <v>8.2674165057327997E-2</v>
      </c>
      <c r="M301" s="256">
        <f t="shared" si="58"/>
        <v>8.2674165057327997E-2</v>
      </c>
      <c r="N301" s="256">
        <f t="shared" si="58"/>
        <v>7.2413167320195093E-2</v>
      </c>
      <c r="O301" s="256">
        <f t="shared" si="58"/>
        <v>6.0360694185215655E-2</v>
      </c>
      <c r="P301" s="256">
        <f t="shared" si="58"/>
        <v>6.3891657198068663E-2</v>
      </c>
      <c r="Q301" s="256">
        <f t="shared" si="58"/>
        <v>6.2011096404880652E-2</v>
      </c>
      <c r="R301" s="256">
        <f t="shared" si="58"/>
        <v>6.3661860610924922E-2</v>
      </c>
      <c r="S301" s="256">
        <f t="shared" si="58"/>
        <v>6.3661860610924922E-2</v>
      </c>
      <c r="T301" s="256">
        <f t="shared" si="58"/>
        <v>6.3661860610924922E-2</v>
      </c>
      <c r="U301" s="256">
        <f t="shared" si="58"/>
        <v>6.3661860610924922E-2</v>
      </c>
      <c r="V301" s="256">
        <f t="shared" si="58"/>
        <v>6.3661860610924922E-2</v>
      </c>
      <c r="W301" s="256">
        <f t="shared" si="58"/>
        <v>6.3661860610924922E-2</v>
      </c>
      <c r="X301" s="256">
        <f t="shared" si="58"/>
        <v>6.3661860610924922E-2</v>
      </c>
      <c r="Y301" s="256">
        <f t="shared" si="58"/>
        <v>6.3661860610924922E-2</v>
      </c>
    </row>
    <row r="302" spans="2:27" x14ac:dyDescent="0.25">
      <c r="F302" s="15" t="s">
        <v>50</v>
      </c>
      <c r="G302" s="15" t="s">
        <v>427</v>
      </c>
      <c r="H302" s="93"/>
      <c r="I302" s="93"/>
      <c r="J302" s="258">
        <f t="shared" si="58"/>
        <v>9.3800556937016832E-2</v>
      </c>
      <c r="K302" s="258">
        <f t="shared" si="58"/>
        <v>9.3800556937016832E-2</v>
      </c>
      <c r="L302" s="258">
        <f t="shared" si="58"/>
        <v>8.2674165057327997E-2</v>
      </c>
      <c r="M302" s="258">
        <f t="shared" si="58"/>
        <v>8.2674165057327997E-2</v>
      </c>
      <c r="N302" s="258">
        <f t="shared" si="58"/>
        <v>7.2413167320195093E-2</v>
      </c>
      <c r="O302" s="258">
        <f t="shared" si="58"/>
        <v>6.0360694185215655E-2</v>
      </c>
      <c r="P302" s="258">
        <f t="shared" si="58"/>
        <v>6.3891657198068663E-2</v>
      </c>
      <c r="Q302" s="258">
        <f t="shared" si="58"/>
        <v>6.2011096404880652E-2</v>
      </c>
      <c r="R302" s="258">
        <f t="shared" si="58"/>
        <v>6.3661860610924922E-2</v>
      </c>
      <c r="S302" s="258">
        <f t="shared" si="58"/>
        <v>6.3661860610924922E-2</v>
      </c>
      <c r="T302" s="258">
        <f t="shared" si="58"/>
        <v>6.3661860610924922E-2</v>
      </c>
      <c r="U302" s="258">
        <f t="shared" si="58"/>
        <v>6.3661860610924922E-2</v>
      </c>
      <c r="V302" s="258">
        <f t="shared" si="58"/>
        <v>6.3661860610924922E-2</v>
      </c>
      <c r="W302" s="258">
        <f t="shared" si="58"/>
        <v>6.3661860610924922E-2</v>
      </c>
      <c r="X302" s="258">
        <f t="shared" si="58"/>
        <v>6.3661860610924922E-2</v>
      </c>
      <c r="Y302" s="258">
        <f t="shared" si="58"/>
        <v>6.3661860610924922E-2</v>
      </c>
    </row>
    <row r="304" spans="2:27" x14ac:dyDescent="0.25">
      <c r="B304" s="95" t="s">
        <v>109</v>
      </c>
      <c r="C304" s="95"/>
      <c r="D304" s="95"/>
      <c r="E304" s="95"/>
      <c r="F304" s="95"/>
      <c r="G304" s="95"/>
      <c r="H304" s="95"/>
      <c r="I304" s="95"/>
      <c r="J304" s="95"/>
      <c r="K304" s="95"/>
      <c r="L304" s="95"/>
      <c r="M304" s="95"/>
      <c r="N304" s="95"/>
      <c r="O304" s="95"/>
      <c r="P304" s="95"/>
      <c r="Q304" s="95"/>
      <c r="R304" s="95"/>
      <c r="S304" s="95"/>
      <c r="T304" s="95"/>
      <c r="U304" s="95"/>
      <c r="V304" s="95"/>
      <c r="W304" s="95"/>
      <c r="X304" s="95"/>
      <c r="Y304" s="95"/>
      <c r="Z304" s="95"/>
      <c r="AA304" s="95"/>
    </row>
    <row r="306" spans="2:27" x14ac:dyDescent="0.25">
      <c r="E306" s="293" t="s">
        <v>415</v>
      </c>
      <c r="G306" s="122" t="s">
        <v>588</v>
      </c>
      <c r="H306" s="310">
        <f t="array" ref="H306">SUM(IF(ISERROR(H20:Y302), 1))</f>
        <v>0</v>
      </c>
    </row>
    <row r="308" spans="2:27" x14ac:dyDescent="0.25">
      <c r="B308" s="95" t="s">
        <v>110</v>
      </c>
      <c r="C308" s="95"/>
      <c r="D308" s="95"/>
      <c r="E308" s="95"/>
      <c r="F308" s="95"/>
      <c r="G308" s="95"/>
      <c r="H308" s="95"/>
      <c r="I308" s="95"/>
      <c r="J308" s="95"/>
      <c r="K308" s="95"/>
      <c r="L308" s="95"/>
      <c r="M308" s="95"/>
      <c r="N308" s="95"/>
      <c r="O308" s="95"/>
      <c r="P308" s="95"/>
      <c r="Q308" s="95"/>
      <c r="R308" s="95"/>
      <c r="S308" s="95"/>
      <c r="T308" s="95"/>
      <c r="U308" s="95"/>
      <c r="V308" s="95"/>
      <c r="W308" s="95"/>
      <c r="X308" s="95"/>
      <c r="Y308" s="95"/>
      <c r="Z308" s="95"/>
      <c r="AA308" s="95"/>
    </row>
  </sheetData>
  <sheetProtection sheet="1" objects="1" formatCells="0" formatColumns="0" formatRows="0" sort="0" autoFilter="0"/>
  <conditionalFormatting sqref="A4:I4 Z4:XFD4">
    <cfRule type="expression" dxfId="155" priority="10">
      <formula>LEFT($A$4,1) &lt;&gt; "0"</formula>
    </cfRule>
  </conditionalFormatting>
  <conditionalFormatting sqref="N4:P4">
    <cfRule type="expression" dxfId="154" priority="9">
      <formula>LEFT($A$4,1) &lt;&gt; "0"</formula>
    </cfRule>
  </conditionalFormatting>
  <conditionalFormatting sqref="L4:M4">
    <cfRule type="expression" dxfId="153" priority="8">
      <formula>LEFT($A$4,1) &lt;&gt; "0"</formula>
    </cfRule>
  </conditionalFormatting>
  <conditionalFormatting sqref="J4:K4">
    <cfRule type="expression" dxfId="152" priority="7">
      <formula>LEFT($A$4,1) &lt;&gt; "0"</formula>
    </cfRule>
  </conditionalFormatting>
  <conditionalFormatting sqref="Q4">
    <cfRule type="expression" dxfId="151" priority="6">
      <formula>LEFT($A$4,1) &lt;&gt; "0"</formula>
    </cfRule>
  </conditionalFormatting>
  <conditionalFormatting sqref="R4:S4">
    <cfRule type="expression" dxfId="150" priority="5">
      <formula>LEFT($A$4,1) &lt;&gt; "0"</formula>
    </cfRule>
  </conditionalFormatting>
  <conditionalFormatting sqref="T4:U4">
    <cfRule type="expression" dxfId="149" priority="4">
      <formula>LEFT($A$4,1) &lt;&gt; "0"</formula>
    </cfRule>
  </conditionalFormatting>
  <conditionalFormatting sqref="V4:W4">
    <cfRule type="expression" dxfId="148" priority="3">
      <formula>LEFT($A$4,1) &lt;&gt; "0"</formula>
    </cfRule>
  </conditionalFormatting>
  <conditionalFormatting sqref="X4:Y4">
    <cfRule type="expression" dxfId="147" priority="2">
      <formula>LEFT($A$4,1) &lt;&gt; "0"</formula>
    </cfRule>
  </conditionalFormatting>
  <conditionalFormatting sqref="H306">
    <cfRule type="cellIs" dxfId="146" priority="1" operator="greaterThan">
      <formula>0</formula>
    </cfRule>
  </conditionalFormatting>
  <hyperlinks>
    <hyperlink ref="B5:F5" location="'Model map'!A1" display="Click here to return to model map" xr:uid="{EE74F333-8581-488A-A2C3-D732840072F9}"/>
  </hyperlinks>
  <pageMargins left="0.7" right="0.7" top="0.75" bottom="0.75" header="0.3" footer="0.3"/>
  <pageSetup paperSize="9" fitToHeight="0" orientation="portrait" r:id="rId1"/>
  <headerFooter>
    <oddHeader>&amp;L&amp;A&amp;C&amp;R&amp;P of &amp;N</oddHeader>
    <oddFooter>&amp;F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82C147-2FF7-45BA-9679-DD0393E07A7E}">
  <sheetPr codeName="Sheet38">
    <tabColor theme="4" tint="0.59999389629810485"/>
    <pageSetUpPr fitToPage="1"/>
  </sheetPr>
  <dimension ref="A1:LK283"/>
  <sheetViews>
    <sheetView showGridLines="0" zoomScale="80" zoomScaleNormal="80" workbookViewId="0">
      <pane xSplit="9" ySplit="5" topLeftCell="J6" activePane="bottomRight" state="frozen"/>
      <selection pane="topRight"/>
      <selection pane="bottomLeft"/>
      <selection pane="bottomRight"/>
    </sheetView>
  </sheetViews>
  <sheetFormatPr defaultColWidth="0" defaultRowHeight="15" x14ac:dyDescent="0.25"/>
  <cols>
    <col min="1" max="5" width="2.5703125" style="293" customWidth="1"/>
    <col min="6" max="6" width="59.5703125" style="293" customWidth="1"/>
    <col min="7" max="8" width="20.5703125" style="293" customWidth="1"/>
    <col min="9" max="9" width="2.42578125" style="293" customWidth="1"/>
    <col min="10" max="25" width="17" style="293" customWidth="1"/>
    <col min="26" max="26" width="2.42578125" style="293" customWidth="1"/>
    <col min="27" max="27" width="50.5703125" style="293" customWidth="1"/>
    <col min="28" max="28" width="2.42578125" style="293" customWidth="1"/>
    <col min="29" max="41" width="17" style="293" hidden="1" customWidth="1"/>
    <col min="42" max="42" width="3.5703125" style="293" hidden="1" customWidth="1"/>
    <col min="43" max="43" width="18.42578125" style="293" hidden="1" customWidth="1"/>
    <col min="44" max="44" width="4.42578125" style="293" hidden="1" customWidth="1"/>
    <col min="45" max="45" width="24.5703125" style="293" hidden="1" customWidth="1"/>
    <col min="46" max="46" width="3.5703125" style="293" hidden="1" customWidth="1"/>
    <col min="47" max="47" width="15.42578125" style="293" hidden="1" customWidth="1"/>
    <col min="48" max="323" width="24.5703125" style="293" hidden="1" customWidth="1"/>
    <col min="324" max="16384" width="8.5703125" style="293" hidden="1"/>
  </cols>
  <sheetData>
    <row r="1" spans="1:43" s="10" customFormat="1" x14ac:dyDescent="0.25">
      <c r="A1" s="10" t="str">
        <f ca="1">MID(CELL("filename",A1),FIND("]",CELL("filename",A1))+1,255)</f>
        <v>System peak demand</v>
      </c>
    </row>
    <row r="2" spans="1:43" s="10" customFormat="1" x14ac:dyDescent="0.25">
      <c r="A2" s="10" t="str">
        <f>Cover!D21&amp;" - "&amp;Cover!D23</f>
        <v>Southern Electric Power Distribution plc - Final</v>
      </c>
    </row>
    <row r="3" spans="1:43" s="46" customFormat="1" x14ac:dyDescent="0.25">
      <c r="A3" s="46" t="str">
        <f>Cover!D2&amp;" - "&amp;Cover!D8&amp;" v"&amp;Cover!D10&amp;" - "&amp;Cover!D19</f>
        <v>ARP model - Release for charge setting v7 - 2023/24</v>
      </c>
    </row>
    <row r="4" spans="1:43" x14ac:dyDescent="0.25">
      <c r="A4" s="366" t="str">
        <f>H281 &amp; IF(H281 = 1, " issue", " issues") &amp;" identified in checks on this sheet"</f>
        <v>0 issues identified in checks on this sheet</v>
      </c>
      <c r="B4" s="108"/>
      <c r="C4" s="108"/>
      <c r="D4" s="108"/>
      <c r="E4" s="108"/>
      <c r="F4" s="108"/>
      <c r="G4" s="108"/>
      <c r="H4" s="111"/>
      <c r="I4" s="111"/>
    </row>
    <row r="5" spans="1:43" ht="60" x14ac:dyDescent="0.25">
      <c r="B5" s="367" t="s">
        <v>451</v>
      </c>
      <c r="C5" s="368"/>
      <c r="D5" s="368"/>
      <c r="E5" s="368"/>
      <c r="F5" s="368"/>
      <c r="G5" s="1" t="s">
        <v>91</v>
      </c>
      <c r="H5" s="2" t="s">
        <v>92</v>
      </c>
      <c r="I5" s="111"/>
      <c r="J5" s="2" t="s">
        <v>926</v>
      </c>
      <c r="K5" s="2" t="s">
        <v>927</v>
      </c>
      <c r="L5" s="2" t="s">
        <v>928</v>
      </c>
      <c r="M5" s="2" t="s">
        <v>929</v>
      </c>
      <c r="N5" s="2" t="s">
        <v>930</v>
      </c>
      <c r="O5" s="2" t="s">
        <v>931</v>
      </c>
      <c r="P5" s="2" t="s">
        <v>932</v>
      </c>
      <c r="Q5" s="2" t="s">
        <v>933</v>
      </c>
      <c r="R5" s="2" t="s">
        <v>934</v>
      </c>
      <c r="S5" s="2" t="s">
        <v>935</v>
      </c>
      <c r="T5" s="2" t="s">
        <v>936</v>
      </c>
      <c r="U5" s="2" t="s">
        <v>937</v>
      </c>
      <c r="V5" s="2" t="s">
        <v>938</v>
      </c>
      <c r="W5" s="2" t="s">
        <v>939</v>
      </c>
      <c r="X5" s="2" t="s">
        <v>940</v>
      </c>
      <c r="Y5" s="2" t="s">
        <v>941</v>
      </c>
      <c r="AA5" s="1" t="s">
        <v>93</v>
      </c>
    </row>
    <row r="7" spans="1:43" x14ac:dyDescent="0.25">
      <c r="B7" s="95" t="s">
        <v>90</v>
      </c>
      <c r="C7" s="95"/>
      <c r="D7" s="95"/>
      <c r="E7" s="95"/>
      <c r="F7" s="95"/>
      <c r="G7" s="95"/>
      <c r="H7" s="95"/>
      <c r="I7" s="95"/>
      <c r="J7" s="95"/>
      <c r="K7" s="95"/>
      <c r="L7" s="95"/>
      <c r="M7" s="95"/>
      <c r="N7" s="95"/>
      <c r="O7" s="95"/>
      <c r="P7" s="95"/>
      <c r="Q7" s="95"/>
      <c r="R7" s="95"/>
      <c r="S7" s="95"/>
      <c r="T7" s="95"/>
      <c r="U7" s="95"/>
      <c r="V7" s="95"/>
      <c r="W7" s="95"/>
      <c r="X7" s="95"/>
      <c r="Y7" s="95"/>
      <c r="Z7" s="95"/>
      <c r="AA7" s="95"/>
      <c r="AC7" s="95"/>
      <c r="AD7" s="95"/>
      <c r="AE7" s="95"/>
      <c r="AF7" s="95"/>
      <c r="AG7" s="95"/>
      <c r="AH7" s="95"/>
      <c r="AI7" s="95"/>
      <c r="AJ7" s="95"/>
      <c r="AK7" s="95"/>
      <c r="AL7" s="95"/>
      <c r="AM7" s="95"/>
      <c r="AN7" s="95"/>
      <c r="AO7" s="95"/>
      <c r="AQ7" s="95"/>
    </row>
    <row r="9" spans="1:43" x14ac:dyDescent="0.25">
      <c r="C9" s="82" t="s">
        <v>344</v>
      </c>
      <c r="D9" s="82"/>
    </row>
    <row r="10" spans="1:43" x14ac:dyDescent="0.25">
      <c r="C10" s="82" t="s">
        <v>341</v>
      </c>
      <c r="D10" s="82"/>
    </row>
    <row r="11" spans="1:43" x14ac:dyDescent="0.25">
      <c r="C11" s="82" t="s">
        <v>289</v>
      </c>
      <c r="D11" s="82"/>
    </row>
    <row r="12" spans="1:43" x14ac:dyDescent="0.25">
      <c r="C12" s="82"/>
      <c r="D12" s="82" t="s">
        <v>290</v>
      </c>
    </row>
    <row r="13" spans="1:43" x14ac:dyDescent="0.25">
      <c r="C13" s="82"/>
      <c r="D13" s="82" t="s">
        <v>291</v>
      </c>
    </row>
    <row r="14" spans="1:43" x14ac:dyDescent="0.25">
      <c r="C14" s="82"/>
      <c r="D14" s="82" t="s">
        <v>292</v>
      </c>
    </row>
    <row r="16" spans="1:43" x14ac:dyDescent="0.25">
      <c r="B16" s="95" t="s">
        <v>666</v>
      </c>
      <c r="C16" s="95"/>
      <c r="D16" s="95"/>
      <c r="E16" s="95"/>
      <c r="F16" s="95"/>
      <c r="G16" s="95"/>
      <c r="H16" s="95"/>
      <c r="I16" s="95"/>
      <c r="J16" s="95"/>
      <c r="K16" s="95"/>
      <c r="L16" s="95"/>
      <c r="M16" s="95"/>
      <c r="N16" s="95"/>
      <c r="O16" s="95"/>
      <c r="P16" s="95"/>
      <c r="Q16" s="95"/>
      <c r="R16" s="95"/>
      <c r="S16" s="95"/>
      <c r="T16" s="95"/>
      <c r="U16" s="95"/>
      <c r="V16" s="95"/>
      <c r="W16" s="95"/>
      <c r="X16" s="95"/>
      <c r="Y16" s="95"/>
      <c r="Z16" s="95"/>
      <c r="AA16" s="95"/>
      <c r="AC16" s="95"/>
      <c r="AD16" s="95"/>
      <c r="AE16" s="95"/>
      <c r="AF16" s="95"/>
      <c r="AG16" s="95"/>
      <c r="AH16" s="95"/>
      <c r="AI16" s="95"/>
      <c r="AJ16" s="95"/>
      <c r="AK16" s="95"/>
      <c r="AL16" s="95"/>
      <c r="AM16" s="95"/>
      <c r="AN16" s="95"/>
      <c r="AO16" s="95"/>
      <c r="AQ16" s="95"/>
    </row>
    <row r="17" spans="3:43" x14ac:dyDescent="0.25">
      <c r="C17" s="96"/>
      <c r="AQ17" s="88"/>
    </row>
    <row r="18" spans="3:43" x14ac:dyDescent="0.25">
      <c r="C18" s="7" t="str">
        <f ca="1">INDEX('Version control'!$H$35:$H$61,MATCH($A$1,'Version control'!$F$35:$F$61,0),1)&amp;"-A: Common inputs for chargeable load calculations"</f>
        <v>Section 509-A: Common inputs for chargeable load calculations</v>
      </c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Q18" s="88"/>
    </row>
    <row r="19" spans="3:43" x14ac:dyDescent="0.25">
      <c r="H19" s="90"/>
      <c r="J19" s="90"/>
      <c r="K19" s="90"/>
      <c r="L19" s="90"/>
      <c r="M19" s="90"/>
      <c r="N19" s="90"/>
      <c r="O19" s="90"/>
      <c r="P19" s="90"/>
      <c r="Q19" s="90"/>
      <c r="R19" s="90"/>
      <c r="S19" s="90"/>
      <c r="T19" s="90"/>
      <c r="U19" s="90"/>
      <c r="V19" s="90"/>
      <c r="W19" s="90"/>
      <c r="X19" s="90"/>
      <c r="Y19" s="90"/>
    </row>
    <row r="20" spans="3:43" x14ac:dyDescent="0.25">
      <c r="D20" s="82" t="s">
        <v>343</v>
      </c>
      <c r="AQ20" s="88"/>
    </row>
    <row r="21" spans="3:43" x14ac:dyDescent="0.25">
      <c r="C21" s="96"/>
      <c r="AQ21" s="88"/>
    </row>
    <row r="22" spans="3:43" x14ac:dyDescent="0.25">
      <c r="E22" s="96" t="s">
        <v>517</v>
      </c>
      <c r="H22" s="111"/>
      <c r="J22" s="90"/>
      <c r="L22" s="90"/>
      <c r="AQ22" s="88"/>
    </row>
    <row r="23" spans="3:43" x14ac:dyDescent="0.25">
      <c r="E23" s="96"/>
      <c r="F23" s="91" t="s">
        <v>43</v>
      </c>
      <c r="G23" s="91" t="s">
        <v>94</v>
      </c>
      <c r="H23" s="74"/>
      <c r="I23" s="91"/>
      <c r="J23" s="137">
        <f>'Standing charge factors'!J44</f>
        <v>0</v>
      </c>
      <c r="K23" s="137">
        <f>'Standing charge factors'!K44</f>
        <v>0</v>
      </c>
      <c r="L23" s="137">
        <f>'Standing charge factors'!L44</f>
        <v>0</v>
      </c>
      <c r="M23" s="137">
        <f>'Standing charge factors'!M44</f>
        <v>0</v>
      </c>
      <c r="N23" s="137">
        <f>'Standing charge factors'!N44</f>
        <v>0</v>
      </c>
      <c r="O23" s="137">
        <f>'Standing charge factors'!O44</f>
        <v>0</v>
      </c>
      <c r="P23" s="137">
        <f>'Standing charge factors'!P44</f>
        <v>0</v>
      </c>
      <c r="Q23" s="137">
        <f>'Standing charge factors'!Q44</f>
        <v>0</v>
      </c>
      <c r="R23" s="137">
        <f>'Standing charge factors'!R44</f>
        <v>0</v>
      </c>
      <c r="S23" s="137">
        <f>'Standing charge factors'!S44</f>
        <v>0</v>
      </c>
      <c r="T23" s="137">
        <f>'Standing charge factors'!T44</f>
        <v>0</v>
      </c>
      <c r="U23" s="137">
        <f>'Standing charge factors'!U44</f>
        <v>0</v>
      </c>
      <c r="V23" s="137">
        <f>'Standing charge factors'!V44</f>
        <v>0</v>
      </c>
      <c r="W23" s="137">
        <f>'Standing charge factors'!W44</f>
        <v>0</v>
      </c>
      <c r="X23" s="137">
        <f>'Standing charge factors'!X44</f>
        <v>0</v>
      </c>
      <c r="Y23" s="137">
        <f>'Standing charge factors'!Y44</f>
        <v>0</v>
      </c>
      <c r="AQ23" s="88"/>
    </row>
    <row r="24" spans="3:43" x14ac:dyDescent="0.25">
      <c r="E24" s="96"/>
      <c r="F24" s="293" t="s">
        <v>44</v>
      </c>
      <c r="G24" s="293" t="s">
        <v>94</v>
      </c>
      <c r="H24" s="90"/>
      <c r="J24" s="143">
        <f>'Standing charge factors'!J45</f>
        <v>0</v>
      </c>
      <c r="K24" s="143">
        <f>'Standing charge factors'!K45</f>
        <v>0</v>
      </c>
      <c r="L24" s="143">
        <f>'Standing charge factors'!L45</f>
        <v>0</v>
      </c>
      <c r="M24" s="143">
        <f>'Standing charge factors'!M45</f>
        <v>0</v>
      </c>
      <c r="N24" s="143">
        <f>'Standing charge factors'!N45</f>
        <v>0</v>
      </c>
      <c r="O24" s="143">
        <f>'Standing charge factors'!O45</f>
        <v>0</v>
      </c>
      <c r="P24" s="143">
        <f>'Standing charge factors'!P45</f>
        <v>0</v>
      </c>
      <c r="Q24" s="143">
        <f>'Standing charge factors'!Q45</f>
        <v>0</v>
      </c>
      <c r="R24" s="143">
        <f>'Standing charge factors'!R45</f>
        <v>0</v>
      </c>
      <c r="S24" s="143">
        <f>'Standing charge factors'!S45</f>
        <v>0</v>
      </c>
      <c r="T24" s="143">
        <f>'Standing charge factors'!T45</f>
        <v>0</v>
      </c>
      <c r="U24" s="143">
        <f>'Standing charge factors'!U45</f>
        <v>0</v>
      </c>
      <c r="V24" s="143">
        <f>'Standing charge factors'!V45</f>
        <v>0</v>
      </c>
      <c r="W24" s="143">
        <f>'Standing charge factors'!W45</f>
        <v>0</v>
      </c>
      <c r="X24" s="143">
        <f>'Standing charge factors'!X45</f>
        <v>0</v>
      </c>
      <c r="Y24" s="143">
        <f>'Standing charge factors'!Y45</f>
        <v>0</v>
      </c>
      <c r="AQ24" s="88"/>
    </row>
    <row r="25" spans="3:43" x14ac:dyDescent="0.25">
      <c r="E25" s="96"/>
      <c r="F25" s="293" t="s">
        <v>45</v>
      </c>
      <c r="G25" s="293" t="s">
        <v>94</v>
      </c>
      <c r="H25" s="90"/>
      <c r="J25" s="143">
        <f>'Standing charge factors'!J46</f>
        <v>0</v>
      </c>
      <c r="K25" s="143">
        <f>'Standing charge factors'!K46</f>
        <v>0</v>
      </c>
      <c r="L25" s="143">
        <f>'Standing charge factors'!L46</f>
        <v>0</v>
      </c>
      <c r="M25" s="143">
        <f>'Standing charge factors'!M46</f>
        <v>0</v>
      </c>
      <c r="N25" s="143">
        <f>'Standing charge factors'!N46</f>
        <v>0</v>
      </c>
      <c r="O25" s="143">
        <f>'Standing charge factors'!O46</f>
        <v>0</v>
      </c>
      <c r="P25" s="143">
        <f>'Standing charge factors'!P46</f>
        <v>0</v>
      </c>
      <c r="Q25" s="143">
        <f>'Standing charge factors'!Q46</f>
        <v>0</v>
      </c>
      <c r="R25" s="143">
        <f>'Standing charge factors'!R46</f>
        <v>0</v>
      </c>
      <c r="S25" s="143">
        <f>'Standing charge factors'!S46</f>
        <v>0</v>
      </c>
      <c r="T25" s="143">
        <f>'Standing charge factors'!T46</f>
        <v>0</v>
      </c>
      <c r="U25" s="143">
        <f>'Standing charge factors'!U46</f>
        <v>0</v>
      </c>
      <c r="V25" s="143">
        <f>'Standing charge factors'!V46</f>
        <v>0</v>
      </c>
      <c r="W25" s="143">
        <f>'Standing charge factors'!W46</f>
        <v>0</v>
      </c>
      <c r="X25" s="143">
        <f>'Standing charge factors'!X46</f>
        <v>0</v>
      </c>
      <c r="Y25" s="143">
        <f>'Standing charge factors'!Y46</f>
        <v>0</v>
      </c>
      <c r="AQ25" s="88"/>
    </row>
    <row r="26" spans="3:43" x14ac:dyDescent="0.25">
      <c r="E26" s="96"/>
      <c r="F26" s="293" t="s">
        <v>46</v>
      </c>
      <c r="G26" s="293" t="s">
        <v>94</v>
      </c>
      <c r="H26" s="90"/>
      <c r="J26" s="143">
        <f>'Standing charge factors'!J47</f>
        <v>0</v>
      </c>
      <c r="K26" s="143">
        <f>'Standing charge factors'!K47</f>
        <v>0</v>
      </c>
      <c r="L26" s="143">
        <f>'Standing charge factors'!L47</f>
        <v>0</v>
      </c>
      <c r="M26" s="143">
        <f>'Standing charge factors'!M47</f>
        <v>0</v>
      </c>
      <c r="N26" s="143">
        <f>'Standing charge factors'!N47</f>
        <v>0</v>
      </c>
      <c r="O26" s="143">
        <f>'Standing charge factors'!O47</f>
        <v>0</v>
      </c>
      <c r="P26" s="143">
        <f>'Standing charge factors'!P47</f>
        <v>0.2</v>
      </c>
      <c r="Q26" s="143">
        <f>'Standing charge factors'!Q47</f>
        <v>0</v>
      </c>
      <c r="R26" s="143">
        <f>'Standing charge factors'!R47</f>
        <v>0</v>
      </c>
      <c r="S26" s="143">
        <f>'Standing charge factors'!S47</f>
        <v>0</v>
      </c>
      <c r="T26" s="143">
        <f>'Standing charge factors'!T47</f>
        <v>0</v>
      </c>
      <c r="U26" s="143">
        <f>'Standing charge factors'!U47</f>
        <v>0</v>
      </c>
      <c r="V26" s="143">
        <f>'Standing charge factors'!V47</f>
        <v>0</v>
      </c>
      <c r="W26" s="143">
        <f>'Standing charge factors'!W47</f>
        <v>0</v>
      </c>
      <c r="X26" s="143">
        <f>'Standing charge factors'!X47</f>
        <v>0</v>
      </c>
      <c r="Y26" s="143">
        <f>'Standing charge factors'!Y47</f>
        <v>0</v>
      </c>
      <c r="AQ26" s="88"/>
    </row>
    <row r="27" spans="3:43" x14ac:dyDescent="0.25">
      <c r="E27" s="96"/>
      <c r="F27" s="293" t="s">
        <v>47</v>
      </c>
      <c r="G27" s="293" t="s">
        <v>94</v>
      </c>
      <c r="H27" s="90"/>
      <c r="J27" s="143">
        <f>'Standing charge factors'!J48</f>
        <v>0</v>
      </c>
      <c r="K27" s="143">
        <f>'Standing charge factors'!K48</f>
        <v>0</v>
      </c>
      <c r="L27" s="143">
        <f>'Standing charge factors'!L48</f>
        <v>0</v>
      </c>
      <c r="M27" s="143">
        <f>'Standing charge factors'!M48</f>
        <v>0</v>
      </c>
      <c r="N27" s="143">
        <f>'Standing charge factors'!N48</f>
        <v>0</v>
      </c>
      <c r="O27" s="143">
        <f>'Standing charge factors'!O48</f>
        <v>0</v>
      </c>
      <c r="P27" s="143">
        <f>'Standing charge factors'!P48</f>
        <v>1</v>
      </c>
      <c r="Q27" s="143">
        <f>'Standing charge factors'!Q48</f>
        <v>0</v>
      </c>
      <c r="R27" s="143">
        <f>'Standing charge factors'!R48</f>
        <v>0</v>
      </c>
      <c r="S27" s="143">
        <f>'Standing charge factors'!S48</f>
        <v>0</v>
      </c>
      <c r="T27" s="143">
        <f>'Standing charge factors'!T48</f>
        <v>0</v>
      </c>
      <c r="U27" s="143">
        <f>'Standing charge factors'!U48</f>
        <v>0</v>
      </c>
      <c r="V27" s="143">
        <f>'Standing charge factors'!V48</f>
        <v>0</v>
      </c>
      <c r="W27" s="143">
        <f>'Standing charge factors'!W48</f>
        <v>0</v>
      </c>
      <c r="X27" s="143">
        <f>'Standing charge factors'!X48</f>
        <v>0</v>
      </c>
      <c r="Y27" s="143">
        <f>'Standing charge factors'!Y48</f>
        <v>0</v>
      </c>
      <c r="AQ27" s="88"/>
    </row>
    <row r="28" spans="3:43" x14ac:dyDescent="0.25">
      <c r="E28" s="96"/>
      <c r="F28" s="293" t="s">
        <v>51</v>
      </c>
      <c r="G28" s="293" t="s">
        <v>94</v>
      </c>
      <c r="H28" s="90"/>
      <c r="J28" s="143">
        <f>'Standing charge factors'!J49</f>
        <v>0</v>
      </c>
      <c r="K28" s="143">
        <f>'Standing charge factors'!K49</f>
        <v>0</v>
      </c>
      <c r="L28" s="143">
        <f>'Standing charge factors'!L49</f>
        <v>0</v>
      </c>
      <c r="M28" s="143">
        <f>'Standing charge factors'!M49</f>
        <v>0</v>
      </c>
      <c r="N28" s="143">
        <f>'Standing charge factors'!N49</f>
        <v>0</v>
      </c>
      <c r="O28" s="143">
        <f>'Standing charge factors'!O49</f>
        <v>0</v>
      </c>
      <c r="P28" s="143">
        <f>'Standing charge factors'!P49</f>
        <v>1</v>
      </c>
      <c r="Q28" s="143">
        <f>'Standing charge factors'!Q49</f>
        <v>0</v>
      </c>
      <c r="R28" s="143">
        <f>'Standing charge factors'!R49</f>
        <v>0</v>
      </c>
      <c r="S28" s="143">
        <f>'Standing charge factors'!S49</f>
        <v>0</v>
      </c>
      <c r="T28" s="143">
        <f>'Standing charge factors'!T49</f>
        <v>0</v>
      </c>
      <c r="U28" s="143">
        <f>'Standing charge factors'!U49</f>
        <v>0</v>
      </c>
      <c r="V28" s="143">
        <f>'Standing charge factors'!V49</f>
        <v>0</v>
      </c>
      <c r="W28" s="143">
        <f>'Standing charge factors'!W49</f>
        <v>0</v>
      </c>
      <c r="X28" s="143">
        <f>'Standing charge factors'!X49</f>
        <v>0</v>
      </c>
      <c r="Y28" s="143">
        <f>'Standing charge factors'!Y49</f>
        <v>0</v>
      </c>
      <c r="AQ28" s="88"/>
    </row>
    <row r="29" spans="3:43" x14ac:dyDescent="0.25">
      <c r="E29" s="96"/>
      <c r="F29" s="293" t="s">
        <v>48</v>
      </c>
      <c r="G29" s="293" t="s">
        <v>94</v>
      </c>
      <c r="H29" s="90"/>
      <c r="J29" s="143">
        <f>'Standing charge factors'!J50</f>
        <v>0</v>
      </c>
      <c r="K29" s="143">
        <f>'Standing charge factors'!K50</f>
        <v>0</v>
      </c>
      <c r="L29" s="143">
        <f>'Standing charge factors'!L50</f>
        <v>0</v>
      </c>
      <c r="M29" s="143">
        <f>'Standing charge factors'!M50</f>
        <v>0</v>
      </c>
      <c r="N29" s="143">
        <f>'Standing charge factors'!N50</f>
        <v>0.2</v>
      </c>
      <c r="O29" s="143">
        <f>'Standing charge factors'!O50</f>
        <v>1</v>
      </c>
      <c r="P29" s="143">
        <f>'Standing charge factors'!P50</f>
        <v>1</v>
      </c>
      <c r="Q29" s="143">
        <f>'Standing charge factors'!Q50</f>
        <v>0</v>
      </c>
      <c r="R29" s="143">
        <f>'Standing charge factors'!R50</f>
        <v>0</v>
      </c>
      <c r="S29" s="143">
        <f>'Standing charge factors'!S50</f>
        <v>0</v>
      </c>
      <c r="T29" s="143">
        <f>'Standing charge factors'!T50</f>
        <v>0</v>
      </c>
      <c r="U29" s="143">
        <f>'Standing charge factors'!U50</f>
        <v>0</v>
      </c>
      <c r="V29" s="143">
        <f>'Standing charge factors'!V50</f>
        <v>0</v>
      </c>
      <c r="W29" s="143">
        <f>'Standing charge factors'!W50</f>
        <v>0</v>
      </c>
      <c r="X29" s="143">
        <f>'Standing charge factors'!X50</f>
        <v>0</v>
      </c>
      <c r="Y29" s="143">
        <f>'Standing charge factors'!Y50</f>
        <v>0</v>
      </c>
      <c r="AQ29" s="88"/>
    </row>
    <row r="30" spans="3:43" x14ac:dyDescent="0.25">
      <c r="E30" s="96"/>
      <c r="F30" s="293" t="s">
        <v>49</v>
      </c>
      <c r="G30" s="293" t="s">
        <v>94</v>
      </c>
      <c r="H30" s="90"/>
      <c r="J30" s="143">
        <f>'Standing charge factors'!J51</f>
        <v>0</v>
      </c>
      <c r="K30" s="143">
        <f>'Standing charge factors'!K51</f>
        <v>0</v>
      </c>
      <c r="L30" s="143">
        <f>'Standing charge factors'!L51</f>
        <v>0</v>
      </c>
      <c r="M30" s="143">
        <f>'Standing charge factors'!M51</f>
        <v>0</v>
      </c>
      <c r="N30" s="143">
        <f>'Standing charge factors'!N51</f>
        <v>1</v>
      </c>
      <c r="O30" s="143">
        <f>'Standing charge factors'!O51</f>
        <v>1</v>
      </c>
      <c r="P30" s="143">
        <f>'Standing charge factors'!P51</f>
        <v>0</v>
      </c>
      <c r="Q30" s="143">
        <f>'Standing charge factors'!Q51</f>
        <v>0</v>
      </c>
      <c r="R30" s="143">
        <f>'Standing charge factors'!R51</f>
        <v>0</v>
      </c>
      <c r="S30" s="143">
        <f>'Standing charge factors'!S51</f>
        <v>0</v>
      </c>
      <c r="T30" s="143">
        <f>'Standing charge factors'!T51</f>
        <v>0</v>
      </c>
      <c r="U30" s="143">
        <f>'Standing charge factors'!U51</f>
        <v>0</v>
      </c>
      <c r="V30" s="143">
        <f>'Standing charge factors'!V51</f>
        <v>0</v>
      </c>
      <c r="W30" s="143">
        <f>'Standing charge factors'!W51</f>
        <v>0</v>
      </c>
      <c r="X30" s="143">
        <f>'Standing charge factors'!X51</f>
        <v>0</v>
      </c>
      <c r="Y30" s="143">
        <f>'Standing charge factors'!Y51</f>
        <v>0</v>
      </c>
      <c r="AQ30" s="88"/>
    </row>
    <row r="31" spans="3:43" x14ac:dyDescent="0.25">
      <c r="E31" s="96"/>
      <c r="F31" s="93" t="s">
        <v>50</v>
      </c>
      <c r="G31" s="93" t="s">
        <v>94</v>
      </c>
      <c r="H31" s="187"/>
      <c r="I31" s="93"/>
      <c r="J31" s="390">
        <f>'Standing charge factors'!J52</f>
        <v>1</v>
      </c>
      <c r="K31" s="390">
        <f>'Standing charge factors'!K52</f>
        <v>1</v>
      </c>
      <c r="L31" s="390">
        <f>'Standing charge factors'!L52</f>
        <v>1</v>
      </c>
      <c r="M31" s="390">
        <f>'Standing charge factors'!M52</f>
        <v>1</v>
      </c>
      <c r="N31" s="390">
        <f>'Standing charge factors'!N52</f>
        <v>1</v>
      </c>
      <c r="O31" s="390">
        <f>'Standing charge factors'!O52</f>
        <v>0</v>
      </c>
      <c r="P31" s="390">
        <f>'Standing charge factors'!P52</f>
        <v>0</v>
      </c>
      <c r="Q31" s="390">
        <f>'Standing charge factors'!Q52</f>
        <v>0</v>
      </c>
      <c r="R31" s="390">
        <f>'Standing charge factors'!R52</f>
        <v>0</v>
      </c>
      <c r="S31" s="390">
        <f>'Standing charge factors'!S52</f>
        <v>0</v>
      </c>
      <c r="T31" s="390">
        <f>'Standing charge factors'!T52</f>
        <v>0</v>
      </c>
      <c r="U31" s="390">
        <f>'Standing charge factors'!U52</f>
        <v>0</v>
      </c>
      <c r="V31" s="390">
        <f>'Standing charge factors'!V52</f>
        <v>0</v>
      </c>
      <c r="W31" s="390">
        <f>'Standing charge factors'!W52</f>
        <v>0</v>
      </c>
      <c r="X31" s="390">
        <f>'Standing charge factors'!X52</f>
        <v>0</v>
      </c>
      <c r="Y31" s="390">
        <f>'Standing charge factors'!Y52</f>
        <v>0</v>
      </c>
      <c r="AQ31" s="88"/>
    </row>
    <row r="32" spans="3:43" x14ac:dyDescent="0.25">
      <c r="E32" s="96"/>
      <c r="J32" s="90"/>
      <c r="K32" s="90"/>
      <c r="L32" s="90"/>
      <c r="M32" s="90"/>
      <c r="N32" s="90"/>
      <c r="O32" s="90"/>
      <c r="P32" s="90"/>
      <c r="Q32" s="90"/>
      <c r="R32" s="90"/>
      <c r="S32" s="90"/>
      <c r="T32" s="90"/>
      <c r="U32" s="90"/>
      <c r="V32" s="90"/>
      <c r="W32" s="90"/>
      <c r="X32" s="90"/>
      <c r="Y32" s="90"/>
      <c r="AQ32" s="88"/>
    </row>
    <row r="33" spans="5:43" x14ac:dyDescent="0.25">
      <c r="E33" s="96" t="s">
        <v>518</v>
      </c>
      <c r="I33" s="293" t="s">
        <v>359</v>
      </c>
      <c r="J33" s="90"/>
      <c r="K33" s="90"/>
      <c r="L33" s="90"/>
      <c r="M33" s="90"/>
      <c r="N33" s="90"/>
      <c r="O33" s="90"/>
      <c r="P33" s="90"/>
      <c r="Q33" s="90"/>
      <c r="R33" s="90"/>
      <c r="S33" s="90"/>
      <c r="T33" s="90"/>
      <c r="U33" s="90"/>
      <c r="V33" s="90"/>
      <c r="W33" s="90"/>
      <c r="X33" s="90"/>
      <c r="Y33" s="90"/>
      <c r="AA33" s="293" t="s">
        <v>752</v>
      </c>
      <c r="AQ33" s="88"/>
    </row>
    <row r="34" spans="5:43" x14ac:dyDescent="0.25">
      <c r="E34" s="96"/>
      <c r="F34" s="91" t="s">
        <v>43</v>
      </c>
      <c r="G34" s="91" t="s">
        <v>427</v>
      </c>
      <c r="H34" s="277"/>
      <c r="I34" s="277"/>
      <c r="J34" s="272">
        <f t="array" ref="J34:Y42">TRANSPOSE('Load &amp; loss characteristics'!K145:S160)</f>
        <v>1.0880000000000001</v>
      </c>
      <c r="K34" s="272">
        <v>1.0880000000000001</v>
      </c>
      <c r="L34" s="272">
        <v>1.0880000000000001</v>
      </c>
      <c r="M34" s="272">
        <v>1.0880000000000001</v>
      </c>
      <c r="N34" s="272">
        <v>1.0880000000000001</v>
      </c>
      <c r="O34" s="272">
        <v>1.044</v>
      </c>
      <c r="P34" s="272">
        <v>1.0289999999999999</v>
      </c>
      <c r="Q34" s="272">
        <v>1.0880000000000001</v>
      </c>
      <c r="R34" s="272">
        <v>-1.0880000000000001</v>
      </c>
      <c r="S34" s="272">
        <v>-1.044</v>
      </c>
      <c r="T34" s="272">
        <v>-1.0880000000000001</v>
      </c>
      <c r="U34" s="272">
        <v>-1.0880000000000001</v>
      </c>
      <c r="V34" s="272">
        <v>-1.044</v>
      </c>
      <c r="W34" s="272">
        <v>-1.044</v>
      </c>
      <c r="X34" s="272">
        <v>-1.0289999999999999</v>
      </c>
      <c r="Y34" s="272">
        <v>-1.0289999999999999</v>
      </c>
      <c r="AQ34" s="88"/>
    </row>
    <row r="35" spans="5:43" x14ac:dyDescent="0.25">
      <c r="E35" s="96"/>
      <c r="F35" s="293" t="s">
        <v>44</v>
      </c>
      <c r="G35" s="293" t="s">
        <v>427</v>
      </c>
      <c r="H35" s="252"/>
      <c r="I35" s="252"/>
      <c r="J35" s="273">
        <v>1.0880000000000001</v>
      </c>
      <c r="K35" s="273">
        <v>1.0880000000000001</v>
      </c>
      <c r="L35" s="273">
        <v>1.0880000000000001</v>
      </c>
      <c r="M35" s="273">
        <v>1.0880000000000001</v>
      </c>
      <c r="N35" s="273">
        <v>1.0880000000000001</v>
      </c>
      <c r="O35" s="273">
        <v>1.044</v>
      </c>
      <c r="P35" s="273">
        <v>1.0289999999999999</v>
      </c>
      <c r="Q35" s="273">
        <v>1.0880000000000001</v>
      </c>
      <c r="R35" s="273">
        <v>-1.0880000000000001</v>
      </c>
      <c r="S35" s="273">
        <v>-1.044</v>
      </c>
      <c r="T35" s="273">
        <v>-1.0880000000000001</v>
      </c>
      <c r="U35" s="273">
        <v>-1.0880000000000001</v>
      </c>
      <c r="V35" s="273">
        <v>-1.044</v>
      </c>
      <c r="W35" s="273">
        <v>-1.044</v>
      </c>
      <c r="X35" s="273">
        <v>-1.0289999999999999</v>
      </c>
      <c r="Y35" s="273">
        <v>-1.0289999999999999</v>
      </c>
      <c r="AQ35" s="88"/>
    </row>
    <row r="36" spans="5:43" x14ac:dyDescent="0.25">
      <c r="E36" s="96"/>
      <c r="F36" s="293" t="s">
        <v>45</v>
      </c>
      <c r="G36" s="293" t="s">
        <v>427</v>
      </c>
      <c r="H36" s="252"/>
      <c r="I36" s="252"/>
      <c r="J36" s="273">
        <v>1.0880000000000001</v>
      </c>
      <c r="K36" s="273">
        <v>1.0880000000000001</v>
      </c>
      <c r="L36" s="273">
        <v>1.0880000000000001</v>
      </c>
      <c r="M36" s="273">
        <v>1.0880000000000001</v>
      </c>
      <c r="N36" s="273">
        <v>1.0880000000000001</v>
      </c>
      <c r="O36" s="273">
        <v>1.044</v>
      </c>
      <c r="P36" s="273">
        <v>1.0289999999999999</v>
      </c>
      <c r="Q36" s="273">
        <v>1.0880000000000001</v>
      </c>
      <c r="R36" s="273">
        <v>-1.0880000000000001</v>
      </c>
      <c r="S36" s="273">
        <v>-1.044</v>
      </c>
      <c r="T36" s="273">
        <v>-1.0880000000000001</v>
      </c>
      <c r="U36" s="273">
        <v>-1.0880000000000001</v>
      </c>
      <c r="V36" s="273">
        <v>-1.044</v>
      </c>
      <c r="W36" s="273">
        <v>-1.044</v>
      </c>
      <c r="X36" s="273">
        <v>-1.0289999999999999</v>
      </c>
      <c r="Y36" s="273">
        <v>-1.0289999999999999</v>
      </c>
      <c r="AQ36" s="88"/>
    </row>
    <row r="37" spans="5:43" x14ac:dyDescent="0.25">
      <c r="E37" s="96"/>
      <c r="F37" s="293" t="s">
        <v>46</v>
      </c>
      <c r="G37" s="293" t="s">
        <v>427</v>
      </c>
      <c r="H37" s="252"/>
      <c r="I37" s="252"/>
      <c r="J37" s="273">
        <v>1.0880000000000001</v>
      </c>
      <c r="K37" s="273">
        <v>1.0880000000000001</v>
      </c>
      <c r="L37" s="273">
        <v>1.0880000000000001</v>
      </c>
      <c r="M37" s="273">
        <v>1.0880000000000001</v>
      </c>
      <c r="N37" s="273">
        <v>1.0880000000000001</v>
      </c>
      <c r="O37" s="273">
        <v>1.044</v>
      </c>
      <c r="P37" s="273">
        <v>1.0289999999999999</v>
      </c>
      <c r="Q37" s="273">
        <v>1.0880000000000001</v>
      </c>
      <c r="R37" s="273">
        <v>-1.0880000000000001</v>
      </c>
      <c r="S37" s="273">
        <v>-1.044</v>
      </c>
      <c r="T37" s="273">
        <v>-1.0880000000000001</v>
      </c>
      <c r="U37" s="273">
        <v>-1.0880000000000001</v>
      </c>
      <c r="V37" s="273">
        <v>-1.044</v>
      </c>
      <c r="W37" s="273">
        <v>-1.044</v>
      </c>
      <c r="X37" s="273">
        <v>-1.0289999999999999</v>
      </c>
      <c r="Y37" s="273">
        <v>-1.0289999999999999</v>
      </c>
      <c r="AQ37" s="88"/>
    </row>
    <row r="38" spans="5:43" x14ac:dyDescent="0.25">
      <c r="E38" s="96"/>
      <c r="F38" s="293" t="s">
        <v>47</v>
      </c>
      <c r="G38" s="293" t="s">
        <v>427</v>
      </c>
      <c r="H38" s="252"/>
      <c r="I38" s="252"/>
      <c r="J38" s="273">
        <v>1.0880000000000001</v>
      </c>
      <c r="K38" s="273">
        <v>1.0880000000000001</v>
      </c>
      <c r="L38" s="273">
        <v>1.0880000000000001</v>
      </c>
      <c r="M38" s="273">
        <v>1.0880000000000001</v>
      </c>
      <c r="N38" s="273">
        <v>1.0880000000000001</v>
      </c>
      <c r="O38" s="273">
        <v>1.044</v>
      </c>
      <c r="P38" s="273">
        <v>1.0289999999999999</v>
      </c>
      <c r="Q38" s="273">
        <v>1.0880000000000001</v>
      </c>
      <c r="R38" s="273">
        <v>-1.0880000000000001</v>
      </c>
      <c r="S38" s="273">
        <v>-1.044</v>
      </c>
      <c r="T38" s="273">
        <v>-1.0880000000000001</v>
      </c>
      <c r="U38" s="273">
        <v>-1.0880000000000001</v>
      </c>
      <c r="V38" s="273">
        <v>-1.044</v>
      </c>
      <c r="W38" s="273">
        <v>-1.044</v>
      </c>
      <c r="X38" s="273">
        <v>-1.0289999999999999</v>
      </c>
      <c r="Y38" s="273">
        <v>-1.0289999999999999</v>
      </c>
      <c r="AQ38" s="88"/>
    </row>
    <row r="39" spans="5:43" x14ac:dyDescent="0.25">
      <c r="E39" s="96"/>
      <c r="F39" s="293" t="s">
        <v>51</v>
      </c>
      <c r="G39" s="293" t="s">
        <v>427</v>
      </c>
      <c r="H39" s="252"/>
      <c r="I39" s="252"/>
      <c r="J39" s="273">
        <v>0</v>
      </c>
      <c r="K39" s="273">
        <v>0</v>
      </c>
      <c r="L39" s="273">
        <v>0</v>
      </c>
      <c r="M39" s="273">
        <v>0</v>
      </c>
      <c r="N39" s="273">
        <v>0</v>
      </c>
      <c r="O39" s="273">
        <v>0</v>
      </c>
      <c r="P39" s="273">
        <v>0</v>
      </c>
      <c r="Q39" s="273">
        <v>0</v>
      </c>
      <c r="R39" s="273">
        <v>0</v>
      </c>
      <c r="S39" s="273">
        <v>0</v>
      </c>
      <c r="T39" s="273">
        <v>0</v>
      </c>
      <c r="U39" s="273">
        <v>0</v>
      </c>
      <c r="V39" s="273">
        <v>0</v>
      </c>
      <c r="W39" s="273">
        <v>0</v>
      </c>
      <c r="X39" s="273">
        <v>0</v>
      </c>
      <c r="Y39" s="273">
        <v>0</v>
      </c>
      <c r="AQ39" s="88"/>
    </row>
    <row r="40" spans="5:43" x14ac:dyDescent="0.25">
      <c r="E40" s="96"/>
      <c r="F40" s="293" t="s">
        <v>48</v>
      </c>
      <c r="G40" s="293" t="s">
        <v>427</v>
      </c>
      <c r="H40" s="252"/>
      <c r="I40" s="252"/>
      <c r="J40" s="273">
        <v>1.0880000000000001</v>
      </c>
      <c r="K40" s="273">
        <v>1.0880000000000001</v>
      </c>
      <c r="L40" s="273">
        <v>1.0880000000000001</v>
      </c>
      <c r="M40" s="273">
        <v>1.0880000000000001</v>
      </c>
      <c r="N40" s="273">
        <v>1.0880000000000001</v>
      </c>
      <c r="O40" s="273">
        <v>1.044</v>
      </c>
      <c r="P40" s="273">
        <v>1.0289999999999999</v>
      </c>
      <c r="Q40" s="273">
        <v>1.0880000000000001</v>
      </c>
      <c r="R40" s="273">
        <v>-1.0880000000000001</v>
      </c>
      <c r="S40" s="273">
        <v>-1.044</v>
      </c>
      <c r="T40" s="273">
        <v>-1.0880000000000001</v>
      </c>
      <c r="U40" s="273">
        <v>-1.0880000000000001</v>
      </c>
      <c r="V40" s="273">
        <v>-1.044</v>
      </c>
      <c r="W40" s="273">
        <v>-1.044</v>
      </c>
      <c r="X40" s="273">
        <v>0</v>
      </c>
      <c r="Y40" s="273">
        <v>0</v>
      </c>
      <c r="AQ40" s="88"/>
    </row>
    <row r="41" spans="5:43" x14ac:dyDescent="0.25">
      <c r="E41" s="96"/>
      <c r="F41" s="293" t="s">
        <v>49</v>
      </c>
      <c r="G41" s="293" t="s">
        <v>427</v>
      </c>
      <c r="H41" s="252"/>
      <c r="I41" s="252"/>
      <c r="J41" s="273">
        <v>1.0880000000000001</v>
      </c>
      <c r="K41" s="273">
        <v>1.0880000000000001</v>
      </c>
      <c r="L41" s="273">
        <v>1.0880000000000001</v>
      </c>
      <c r="M41" s="273">
        <v>1.0880000000000001</v>
      </c>
      <c r="N41" s="273">
        <v>1.0880000000000001</v>
      </c>
      <c r="O41" s="273">
        <v>1.044</v>
      </c>
      <c r="P41" s="273">
        <v>0</v>
      </c>
      <c r="Q41" s="273">
        <v>1.0880000000000001</v>
      </c>
      <c r="R41" s="273">
        <v>-1.0880000000000001</v>
      </c>
      <c r="S41" s="273">
        <v>0</v>
      </c>
      <c r="T41" s="273">
        <v>-1.0880000000000001</v>
      </c>
      <c r="U41" s="273">
        <v>-1.0880000000000001</v>
      </c>
      <c r="V41" s="273">
        <v>0</v>
      </c>
      <c r="W41" s="273">
        <v>0</v>
      </c>
      <c r="X41" s="273">
        <v>0</v>
      </c>
      <c r="Y41" s="273">
        <v>0</v>
      </c>
      <c r="AQ41" s="88"/>
    </row>
    <row r="42" spans="5:43" x14ac:dyDescent="0.25">
      <c r="E42" s="96"/>
      <c r="F42" s="93" t="s">
        <v>50</v>
      </c>
      <c r="G42" s="93" t="s">
        <v>427</v>
      </c>
      <c r="H42" s="271"/>
      <c r="I42" s="271"/>
      <c r="J42" s="274">
        <v>1.0880000000000001</v>
      </c>
      <c r="K42" s="274">
        <v>1.0880000000000001</v>
      </c>
      <c r="L42" s="274">
        <v>1.0880000000000001</v>
      </c>
      <c r="M42" s="274">
        <v>1.0880000000000001</v>
      </c>
      <c r="N42" s="274">
        <v>1.0880000000000001</v>
      </c>
      <c r="O42" s="274">
        <v>0</v>
      </c>
      <c r="P42" s="274">
        <v>0</v>
      </c>
      <c r="Q42" s="274">
        <v>1.0880000000000001</v>
      </c>
      <c r="R42" s="274">
        <v>0</v>
      </c>
      <c r="S42" s="274">
        <v>0</v>
      </c>
      <c r="T42" s="274">
        <v>0</v>
      </c>
      <c r="U42" s="274">
        <v>0</v>
      </c>
      <c r="V42" s="274">
        <v>0</v>
      </c>
      <c r="W42" s="274">
        <v>0</v>
      </c>
      <c r="X42" s="274">
        <v>0</v>
      </c>
      <c r="Y42" s="274">
        <v>0</v>
      </c>
      <c r="AQ42" s="88"/>
    </row>
    <row r="43" spans="5:43" x14ac:dyDescent="0.25">
      <c r="E43" s="96"/>
      <c r="H43" s="252"/>
      <c r="I43" s="252"/>
      <c r="J43" s="252"/>
      <c r="K43" s="252"/>
      <c r="L43" s="252"/>
      <c r="M43" s="252"/>
      <c r="N43" s="252"/>
      <c r="O43" s="252"/>
      <c r="P43" s="252"/>
      <c r="Q43" s="252"/>
      <c r="R43" s="252"/>
      <c r="S43" s="252"/>
      <c r="T43" s="252"/>
      <c r="U43" s="252"/>
      <c r="V43" s="252"/>
      <c r="W43" s="252"/>
      <c r="X43" s="252"/>
      <c r="Y43" s="252"/>
      <c r="AQ43" s="88"/>
    </row>
    <row r="44" spans="5:43" x14ac:dyDescent="0.25">
      <c r="E44" s="96" t="s">
        <v>519</v>
      </c>
      <c r="H44" s="252"/>
      <c r="I44" s="252"/>
      <c r="J44" s="252"/>
      <c r="K44" s="252"/>
      <c r="L44" s="252"/>
      <c r="M44" s="252"/>
      <c r="N44" s="252"/>
      <c r="O44" s="252"/>
      <c r="P44" s="252"/>
      <c r="Q44" s="252"/>
      <c r="R44" s="252"/>
      <c r="S44" s="252"/>
      <c r="T44" s="252"/>
      <c r="U44" s="252"/>
      <c r="V44" s="252"/>
      <c r="W44" s="252"/>
      <c r="X44" s="252"/>
      <c r="Y44" s="252"/>
      <c r="AQ44" s="88"/>
    </row>
    <row r="45" spans="5:43" x14ac:dyDescent="0.25">
      <c r="E45" s="96"/>
      <c r="F45" s="91" t="s">
        <v>43</v>
      </c>
      <c r="G45" s="91" t="s">
        <v>427</v>
      </c>
      <c r="H45" s="272">
        <f>'Load &amp; loss characteristics'!K29</f>
        <v>1</v>
      </c>
      <c r="I45" s="252"/>
      <c r="J45" s="252"/>
      <c r="K45" s="252"/>
      <c r="L45" s="252"/>
      <c r="M45" s="252"/>
      <c r="N45" s="252"/>
      <c r="O45" s="252"/>
      <c r="P45" s="252"/>
      <c r="Q45" s="252"/>
      <c r="R45" s="252"/>
      <c r="S45" s="252"/>
      <c r="T45" s="252"/>
      <c r="U45" s="252"/>
      <c r="V45" s="252"/>
      <c r="W45" s="252"/>
      <c r="X45" s="252"/>
      <c r="Y45" s="252"/>
      <c r="AQ45" s="88"/>
    </row>
    <row r="46" spans="5:43" x14ac:dyDescent="0.25">
      <c r="E46" s="96"/>
      <c r="F46" s="293" t="s">
        <v>44</v>
      </c>
      <c r="G46" s="293" t="s">
        <v>427</v>
      </c>
      <c r="H46" s="273">
        <f>'Load &amp; loss characteristics'!L29</f>
        <v>1.004</v>
      </c>
      <c r="I46" s="252"/>
      <c r="J46" s="252"/>
      <c r="K46" s="252"/>
      <c r="L46" s="252"/>
      <c r="M46" s="252"/>
      <c r="N46" s="252"/>
      <c r="O46" s="252"/>
      <c r="P46" s="252"/>
      <c r="Q46" s="252"/>
      <c r="R46" s="252"/>
      <c r="S46" s="252"/>
      <c r="T46" s="252"/>
      <c r="U46" s="252"/>
      <c r="V46" s="252"/>
      <c r="W46" s="252"/>
      <c r="X46" s="252"/>
      <c r="Y46" s="252"/>
      <c r="AQ46" s="88"/>
    </row>
    <row r="47" spans="5:43" x14ac:dyDescent="0.25">
      <c r="E47" s="96"/>
      <c r="F47" s="293" t="s">
        <v>45</v>
      </c>
      <c r="G47" s="293" t="s">
        <v>427</v>
      </c>
      <c r="H47" s="273">
        <f>'Load &amp; loss characteristics'!M29</f>
        <v>1.008</v>
      </c>
      <c r="I47" s="252"/>
      <c r="J47" s="252"/>
      <c r="K47" s="252"/>
      <c r="L47" s="252"/>
      <c r="M47" s="252"/>
      <c r="N47" s="252"/>
      <c r="O47" s="252"/>
      <c r="P47" s="252"/>
      <c r="Q47" s="252"/>
      <c r="R47" s="252"/>
      <c r="S47" s="252"/>
      <c r="T47" s="252"/>
      <c r="U47" s="252"/>
      <c r="V47" s="252"/>
      <c r="W47" s="252"/>
      <c r="X47" s="252"/>
      <c r="Y47" s="252"/>
      <c r="AQ47" s="88"/>
    </row>
    <row r="48" spans="5:43" x14ac:dyDescent="0.25">
      <c r="E48" s="96"/>
      <c r="F48" s="293" t="s">
        <v>46</v>
      </c>
      <c r="G48" s="293" t="s">
        <v>427</v>
      </c>
      <c r="H48" s="273">
        <f>'Load &amp; loss characteristics'!N29</f>
        <v>1.014</v>
      </c>
      <c r="I48" s="252"/>
      <c r="J48" s="252"/>
      <c r="K48" s="252"/>
      <c r="L48" s="252"/>
      <c r="M48" s="252"/>
      <c r="N48" s="252"/>
      <c r="O48" s="252"/>
      <c r="P48" s="252"/>
      <c r="Q48" s="252"/>
      <c r="R48" s="252"/>
      <c r="S48" s="252"/>
      <c r="T48" s="252"/>
      <c r="U48" s="252"/>
      <c r="V48" s="252"/>
      <c r="W48" s="252"/>
      <c r="X48" s="252"/>
      <c r="Y48" s="252"/>
      <c r="AQ48" s="88"/>
    </row>
    <row r="49" spans="2:43" x14ac:dyDescent="0.25">
      <c r="E49" s="96"/>
      <c r="F49" s="293" t="s">
        <v>47</v>
      </c>
      <c r="G49" s="293" t="s">
        <v>427</v>
      </c>
      <c r="H49" s="273">
        <f>'Load &amp; loss characteristics'!O29</f>
        <v>1.02</v>
      </c>
      <c r="I49" s="252"/>
      <c r="J49" s="252"/>
      <c r="K49" s="252"/>
      <c r="L49" s="252"/>
      <c r="M49" s="252"/>
      <c r="N49" s="252"/>
      <c r="O49" s="252"/>
      <c r="P49" s="252"/>
      <c r="Q49" s="252"/>
      <c r="R49" s="252"/>
      <c r="S49" s="252"/>
      <c r="T49" s="252"/>
      <c r="U49" s="252"/>
      <c r="V49" s="252"/>
      <c r="W49" s="252"/>
      <c r="X49" s="252"/>
      <c r="Y49" s="252"/>
      <c r="AQ49" s="88"/>
    </row>
    <row r="50" spans="2:43" x14ac:dyDescent="0.25">
      <c r="E50" s="96"/>
      <c r="F50" s="293" t="s">
        <v>51</v>
      </c>
      <c r="G50" s="293" t="s">
        <v>427</v>
      </c>
      <c r="H50" s="273">
        <f>'Load &amp; loss characteristics'!P29</f>
        <v>1.02</v>
      </c>
      <c r="I50" s="252"/>
      <c r="J50" s="252"/>
      <c r="K50" s="252"/>
      <c r="L50" s="252"/>
      <c r="M50" s="252"/>
      <c r="N50" s="252"/>
      <c r="O50" s="252"/>
      <c r="P50" s="252"/>
      <c r="Q50" s="252"/>
      <c r="R50" s="252"/>
      <c r="S50" s="252"/>
      <c r="T50" s="252"/>
      <c r="U50" s="252"/>
      <c r="V50" s="252"/>
      <c r="W50" s="252"/>
      <c r="X50" s="252"/>
      <c r="Y50" s="252"/>
      <c r="AQ50" s="88"/>
    </row>
    <row r="51" spans="2:43" x14ac:dyDescent="0.25">
      <c r="E51" s="96"/>
      <c r="F51" s="293" t="s">
        <v>48</v>
      </c>
      <c r="G51" s="293" t="s">
        <v>427</v>
      </c>
      <c r="H51" s="273">
        <f>'Load &amp; loss characteristics'!Q29</f>
        <v>1.0289999999999999</v>
      </c>
      <c r="I51" s="252"/>
      <c r="J51" s="252"/>
      <c r="K51" s="252"/>
      <c r="L51" s="252"/>
      <c r="M51" s="252"/>
      <c r="N51" s="252"/>
      <c r="O51" s="252"/>
      <c r="P51" s="252"/>
      <c r="Q51" s="252"/>
      <c r="R51" s="252"/>
      <c r="S51" s="252"/>
      <c r="T51" s="252"/>
      <c r="U51" s="252"/>
      <c r="V51" s="252"/>
      <c r="W51" s="252"/>
      <c r="X51" s="252"/>
      <c r="Y51" s="252"/>
      <c r="AQ51" s="88"/>
    </row>
    <row r="52" spans="2:43" x14ac:dyDescent="0.25">
      <c r="E52" s="96"/>
      <c r="F52" s="293" t="s">
        <v>49</v>
      </c>
      <c r="G52" s="293" t="s">
        <v>427</v>
      </c>
      <c r="H52" s="273">
        <f>'Load &amp; loss characteristics'!R29</f>
        <v>1.044</v>
      </c>
      <c r="I52" s="252"/>
      <c r="J52" s="252"/>
      <c r="K52" s="252"/>
      <c r="L52" s="252"/>
      <c r="M52" s="252"/>
      <c r="N52" s="252"/>
      <c r="O52" s="252"/>
      <c r="P52" s="252"/>
      <c r="Q52" s="252"/>
      <c r="R52" s="252"/>
      <c r="S52" s="252"/>
      <c r="T52" s="252"/>
      <c r="U52" s="252"/>
      <c r="V52" s="252"/>
      <c r="W52" s="252"/>
      <c r="X52" s="252"/>
      <c r="Y52" s="252"/>
      <c r="AQ52" s="88"/>
    </row>
    <row r="53" spans="2:43" x14ac:dyDescent="0.25">
      <c r="E53" s="96"/>
      <c r="F53" s="93" t="s">
        <v>50</v>
      </c>
      <c r="G53" s="93" t="s">
        <v>427</v>
      </c>
      <c r="H53" s="274">
        <f>'Load &amp; loss characteristics'!S29</f>
        <v>1.0880000000000001</v>
      </c>
      <c r="I53" s="252"/>
      <c r="J53" s="252"/>
      <c r="K53" s="252"/>
      <c r="L53" s="252"/>
      <c r="M53" s="252"/>
      <c r="N53" s="252"/>
      <c r="O53" s="252"/>
      <c r="P53" s="252"/>
      <c r="Q53" s="252"/>
      <c r="R53" s="252"/>
      <c r="S53" s="252"/>
      <c r="T53" s="252"/>
      <c r="U53" s="252"/>
      <c r="V53" s="252"/>
      <c r="W53" s="252"/>
      <c r="X53" s="252"/>
      <c r="Y53" s="252"/>
      <c r="AQ53" s="88"/>
    </row>
    <row r="54" spans="2:43" x14ac:dyDescent="0.25">
      <c r="E54" s="96"/>
      <c r="H54" s="252"/>
      <c r="I54" s="252"/>
      <c r="J54" s="252"/>
      <c r="K54" s="252"/>
      <c r="L54" s="252"/>
      <c r="M54" s="252"/>
      <c r="N54" s="252"/>
      <c r="O54" s="252"/>
      <c r="P54" s="252"/>
      <c r="Q54" s="252"/>
      <c r="R54" s="252"/>
      <c r="S54" s="252"/>
      <c r="T54" s="252"/>
      <c r="U54" s="252"/>
      <c r="V54" s="252"/>
      <c r="W54" s="252"/>
      <c r="X54" s="252"/>
      <c r="Y54" s="252"/>
      <c r="AQ54" s="88"/>
    </row>
    <row r="55" spans="2:43" x14ac:dyDescent="0.25">
      <c r="E55" s="96" t="s">
        <v>342</v>
      </c>
      <c r="H55" s="252"/>
      <c r="I55" s="252" t="s">
        <v>359</v>
      </c>
      <c r="J55" s="252"/>
      <c r="K55" s="252"/>
      <c r="L55" s="252"/>
      <c r="M55" s="252"/>
      <c r="N55" s="252"/>
      <c r="O55" s="252"/>
      <c r="P55" s="252"/>
      <c r="Q55" s="252"/>
      <c r="R55" s="252"/>
      <c r="S55" s="252"/>
      <c r="T55" s="252"/>
      <c r="U55" s="252"/>
      <c r="V55" s="252"/>
      <c r="W55" s="252"/>
      <c r="X55" s="252"/>
      <c r="Y55" s="252"/>
      <c r="AA55" s="293" t="s">
        <v>753</v>
      </c>
    </row>
    <row r="56" spans="2:43" x14ac:dyDescent="0.25">
      <c r="E56" s="96"/>
      <c r="F56" s="91" t="s">
        <v>134</v>
      </c>
      <c r="G56" s="91" t="s">
        <v>120</v>
      </c>
      <c r="H56" s="277"/>
      <c r="I56" s="277"/>
      <c r="J56" s="272">
        <f>'Volume adjustments'!J238</f>
        <v>1548246.7463325649</v>
      </c>
      <c r="K56" s="272">
        <f>'Volume adjustments'!K238</f>
        <v>435.37279303514384</v>
      </c>
      <c r="L56" s="272">
        <f>'Volume adjustments'!L238</f>
        <v>306995.96899709711</v>
      </c>
      <c r="M56" s="272">
        <f>'Volume adjustments'!M238</f>
        <v>594.16318180266921</v>
      </c>
      <c r="N56" s="272">
        <f>'Volume adjustments'!N238</f>
        <v>523029.63172901265</v>
      </c>
      <c r="O56" s="272">
        <f>'Volume adjustments'!O238</f>
        <v>34787.928141707074</v>
      </c>
      <c r="P56" s="272">
        <f>'Volume adjustments'!P238</f>
        <v>422361.76636584941</v>
      </c>
      <c r="Q56" s="272">
        <f>'Volume adjustments'!Q238</f>
        <v>11566.823241177972</v>
      </c>
      <c r="R56" s="272">
        <f>'Volume adjustments'!R238</f>
        <v>706.86922004560074</v>
      </c>
      <c r="S56" s="272">
        <f>'Volume adjustments'!S238</f>
        <v>29.01977587792658</v>
      </c>
      <c r="T56" s="272">
        <f>'Volume adjustments'!T238</f>
        <v>3481.3327942733295</v>
      </c>
      <c r="U56" s="272">
        <f>'Volume adjustments'!U238</f>
        <v>0</v>
      </c>
      <c r="V56" s="272">
        <f>'Volume adjustments'!V238</f>
        <v>0</v>
      </c>
      <c r="W56" s="272">
        <f>'Volume adjustments'!W238</f>
        <v>0</v>
      </c>
      <c r="X56" s="272">
        <f>'Volume adjustments'!X238</f>
        <v>86115.829832224859</v>
      </c>
      <c r="Y56" s="272">
        <f>'Volume adjustments'!Y238</f>
        <v>0</v>
      </c>
      <c r="AQ56" s="88"/>
    </row>
    <row r="57" spans="2:43" x14ac:dyDescent="0.25">
      <c r="E57" s="96"/>
      <c r="F57" s="293" t="s">
        <v>135</v>
      </c>
      <c r="G57" s="293" t="s">
        <v>120</v>
      </c>
      <c r="H57" s="252"/>
      <c r="I57" s="252"/>
      <c r="J57" s="273">
        <f>'Volume adjustments'!J249</f>
        <v>6825324.1723649437</v>
      </c>
      <c r="K57" s="273">
        <f>'Volume adjustments'!K249</f>
        <v>43540.865318654403</v>
      </c>
      <c r="L57" s="273">
        <f>'Volume adjustments'!L249</f>
        <v>1931101.9018137197</v>
      </c>
      <c r="M57" s="273">
        <f>'Volume adjustments'!M249</f>
        <v>8224.4305478900278</v>
      </c>
      <c r="N57" s="273">
        <f>'Volume adjustments'!N249</f>
        <v>2982656.951916548</v>
      </c>
      <c r="O57" s="273">
        <f>'Volume adjustments'!O249</f>
        <v>190552.67080091542</v>
      </c>
      <c r="P57" s="273">
        <f>'Volume adjustments'!P249</f>
        <v>2356089.5356336073</v>
      </c>
      <c r="Q57" s="273">
        <f>'Volume adjustments'!Q249</f>
        <v>73426.845575958097</v>
      </c>
      <c r="R57" s="273">
        <f>'Volume adjustments'!R249</f>
        <v>5559.3658561006987</v>
      </c>
      <c r="S57" s="273">
        <f>'Volume adjustments'!S249</f>
        <v>212.7237809687463</v>
      </c>
      <c r="T57" s="273">
        <f>'Volume adjustments'!T249</f>
        <v>32597.519770789342</v>
      </c>
      <c r="U57" s="273">
        <f>'Volume adjustments'!U249</f>
        <v>0</v>
      </c>
      <c r="V57" s="273">
        <f>'Volume adjustments'!V249</f>
        <v>0</v>
      </c>
      <c r="W57" s="273">
        <f>'Volume adjustments'!W249</f>
        <v>0</v>
      </c>
      <c r="X57" s="273">
        <f>'Volume adjustments'!X249</f>
        <v>532779.51789718622</v>
      </c>
      <c r="Y57" s="273">
        <f>'Volume adjustments'!Y249</f>
        <v>0</v>
      </c>
      <c r="AQ57" s="88"/>
    </row>
    <row r="58" spans="2:43" x14ac:dyDescent="0.25">
      <c r="E58" s="96"/>
      <c r="F58" s="93" t="s">
        <v>136</v>
      </c>
      <c r="G58" s="93" t="s">
        <v>120</v>
      </c>
      <c r="H58" s="271"/>
      <c r="I58" s="271"/>
      <c r="J58" s="274">
        <f>'Volume adjustments'!J260</f>
        <v>3770396.0827899273</v>
      </c>
      <c r="K58" s="274">
        <f>'Volume adjustments'!K260</f>
        <v>106470.4323701735</v>
      </c>
      <c r="L58" s="274">
        <f>'Volume adjustments'!L260</f>
        <v>857766.15344383672</v>
      </c>
      <c r="M58" s="274">
        <f>'Volume adjustments'!M260</f>
        <v>23085.290394924617</v>
      </c>
      <c r="N58" s="274">
        <f>'Volume adjustments'!N260</f>
        <v>1565261.7066821267</v>
      </c>
      <c r="O58" s="274">
        <f>'Volume adjustments'!O260</f>
        <v>123759.11823576459</v>
      </c>
      <c r="P58" s="274">
        <f>'Volume adjustments'!P260</f>
        <v>1615430.7797994399</v>
      </c>
      <c r="Q58" s="274">
        <f>'Volume adjustments'!Q260</f>
        <v>110236.46164591011</v>
      </c>
      <c r="R58" s="274">
        <f>'Volume adjustments'!R260</f>
        <v>731.31989617895306</v>
      </c>
      <c r="S58" s="274">
        <f>'Volume adjustments'!S260</f>
        <v>33.176553672411458</v>
      </c>
      <c r="T58" s="274">
        <f>'Volume adjustments'!T260</f>
        <v>8546.3926012214506</v>
      </c>
      <c r="U58" s="274">
        <f>'Volume adjustments'!U260</f>
        <v>0</v>
      </c>
      <c r="V58" s="274">
        <f>'Volume adjustments'!V260</f>
        <v>0</v>
      </c>
      <c r="W58" s="274">
        <f>'Volume adjustments'!W260</f>
        <v>0</v>
      </c>
      <c r="X58" s="274">
        <f>'Volume adjustments'!X260</f>
        <v>260951.76676867288</v>
      </c>
      <c r="Y58" s="274">
        <f>'Volume adjustments'!Y260</f>
        <v>0</v>
      </c>
      <c r="AQ58" s="88"/>
    </row>
    <row r="59" spans="2:43" x14ac:dyDescent="0.25">
      <c r="E59" s="96"/>
      <c r="F59" s="73" t="s">
        <v>503</v>
      </c>
      <c r="G59" s="73" t="s">
        <v>120</v>
      </c>
      <c r="H59" s="280"/>
      <c r="I59" s="280"/>
      <c r="J59" s="280">
        <f t="shared" ref="J59:Y59" si="0">SUM(J56:J58)</f>
        <v>12143967.001487436</v>
      </c>
      <c r="K59" s="280">
        <f t="shared" si="0"/>
        <v>150446.67048186305</v>
      </c>
      <c r="L59" s="280">
        <f t="shared" si="0"/>
        <v>3095864.0242546536</v>
      </c>
      <c r="M59" s="280">
        <f t="shared" si="0"/>
        <v>31903.884124617314</v>
      </c>
      <c r="N59" s="280">
        <f t="shared" si="0"/>
        <v>5070948.2903276877</v>
      </c>
      <c r="O59" s="280">
        <f t="shared" si="0"/>
        <v>349099.7171783871</v>
      </c>
      <c r="P59" s="280">
        <f t="shared" si="0"/>
        <v>4393882.0817988962</v>
      </c>
      <c r="Q59" s="280">
        <f t="shared" si="0"/>
        <v>195230.1304630462</v>
      </c>
      <c r="R59" s="280">
        <f t="shared" si="0"/>
        <v>6997.5549723252525</v>
      </c>
      <c r="S59" s="280">
        <f t="shared" si="0"/>
        <v>274.92011051908435</v>
      </c>
      <c r="T59" s="280">
        <f t="shared" si="0"/>
        <v>44625.245166284119</v>
      </c>
      <c r="U59" s="280">
        <f t="shared" si="0"/>
        <v>0</v>
      </c>
      <c r="V59" s="280">
        <f t="shared" si="0"/>
        <v>0</v>
      </c>
      <c r="W59" s="280">
        <f t="shared" si="0"/>
        <v>0</v>
      </c>
      <c r="X59" s="280">
        <f t="shared" si="0"/>
        <v>879847.11449808395</v>
      </c>
      <c r="Y59" s="280">
        <f t="shared" si="0"/>
        <v>0</v>
      </c>
      <c r="AQ59" s="88"/>
    </row>
    <row r="60" spans="2:43" x14ac:dyDescent="0.25">
      <c r="D60" s="96"/>
      <c r="J60" s="90"/>
      <c r="L60" s="90"/>
      <c r="AQ60" s="88"/>
    </row>
    <row r="61" spans="2:43" x14ac:dyDescent="0.25">
      <c r="C61" s="96"/>
      <c r="E61" s="14" t="s">
        <v>71</v>
      </c>
      <c r="F61" s="14"/>
      <c r="G61" s="14" t="s">
        <v>94</v>
      </c>
      <c r="I61" s="293" t="s">
        <v>359</v>
      </c>
      <c r="J61" s="143">
        <f>'Inputs by customer type'!J18</f>
        <v>0.42835382687488854</v>
      </c>
      <c r="K61" s="143">
        <f>'Inputs by customer type'!K18</f>
        <v>6.8464264140201E-2</v>
      </c>
      <c r="L61" s="143">
        <f>'Inputs by customer type'!L18</f>
        <v>0.41310729677387908</v>
      </c>
      <c r="M61" s="143">
        <f>'Inputs by customer type'!M18</f>
        <v>0.18726120416306516</v>
      </c>
      <c r="N61" s="143">
        <f>'Inputs by customer type'!N18</f>
        <v>0.56573192241822068</v>
      </c>
      <c r="O61" s="143">
        <f>'Inputs by customer type'!O18</f>
        <v>0.69979416227057245</v>
      </c>
      <c r="P61" s="143">
        <f>'Inputs by customer type'!P18</f>
        <v>0.6939299240123632</v>
      </c>
      <c r="Q61" s="143">
        <f>'Inputs by customer type'!Q18</f>
        <v>0.4735373613290324</v>
      </c>
      <c r="R61" s="370"/>
      <c r="S61" s="370"/>
      <c r="T61" s="370"/>
      <c r="U61" s="370"/>
      <c r="V61" s="370"/>
      <c r="W61" s="370"/>
      <c r="X61" s="370"/>
      <c r="Y61" s="370"/>
      <c r="AA61" s="293" t="s">
        <v>754</v>
      </c>
      <c r="AQ61" s="88"/>
    </row>
    <row r="63" spans="2:43" x14ac:dyDescent="0.25">
      <c r="B63" s="95" t="s">
        <v>285</v>
      </c>
      <c r="C63" s="95"/>
      <c r="D63" s="95"/>
      <c r="E63" s="95"/>
      <c r="F63" s="95"/>
      <c r="G63" s="95"/>
      <c r="H63" s="95"/>
      <c r="I63" s="95"/>
      <c r="J63" s="32"/>
      <c r="K63" s="95"/>
      <c r="L63" s="32"/>
      <c r="M63" s="95"/>
      <c r="N63" s="95"/>
      <c r="O63" s="95"/>
      <c r="P63" s="95"/>
      <c r="Q63" s="95"/>
      <c r="R63" s="95"/>
      <c r="S63" s="95"/>
      <c r="T63" s="95"/>
      <c r="U63" s="95"/>
      <c r="V63" s="95"/>
      <c r="W63" s="95"/>
      <c r="X63" s="95"/>
      <c r="Y63" s="95"/>
      <c r="Z63" s="95"/>
      <c r="AA63" s="95"/>
      <c r="AQ63" s="88"/>
    </row>
    <row r="64" spans="2:43" x14ac:dyDescent="0.25">
      <c r="C64" s="96"/>
      <c r="J64" s="90"/>
      <c r="L64" s="90"/>
      <c r="AQ64" s="88"/>
    </row>
    <row r="65" spans="3:43" x14ac:dyDescent="0.25">
      <c r="C65" s="82" t="s">
        <v>345</v>
      </c>
      <c r="J65" s="90"/>
      <c r="L65" s="90"/>
      <c r="AQ65" s="88"/>
    </row>
    <row r="66" spans="3:43" x14ac:dyDescent="0.25">
      <c r="C66" s="96"/>
      <c r="J66" s="90"/>
      <c r="L66" s="90"/>
      <c r="AQ66" s="88"/>
    </row>
    <row r="67" spans="3:43" x14ac:dyDescent="0.25">
      <c r="C67" s="7" t="str">
        <f ca="1">INDEX('Version control'!$H$35:$H$61,MATCH($A$1,'Version control'!$F$35:$F$61,0),1)&amp;"-B: System peak load, by unit rate"</f>
        <v>Section 509-B: System peak load, by unit rate</v>
      </c>
      <c r="D67" s="7"/>
      <c r="E67" s="7"/>
      <c r="F67" s="7"/>
      <c r="G67" s="7"/>
      <c r="H67" s="7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  <c r="AA67" s="7"/>
      <c r="AQ67" s="88"/>
    </row>
    <row r="68" spans="3:43" x14ac:dyDescent="0.25">
      <c r="H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  <c r="W68" s="90"/>
      <c r="X68" s="90"/>
      <c r="Y68" s="90"/>
    </row>
    <row r="69" spans="3:43" x14ac:dyDescent="0.25">
      <c r="E69" s="96" t="s">
        <v>248</v>
      </c>
      <c r="J69" s="90"/>
      <c r="L69" s="90"/>
      <c r="AQ69" s="88"/>
    </row>
    <row r="70" spans="3:43" x14ac:dyDescent="0.25">
      <c r="E70" s="96"/>
      <c r="F70" s="91" t="s">
        <v>43</v>
      </c>
      <c r="G70" s="91" t="s">
        <v>427</v>
      </c>
      <c r="H70" s="91"/>
      <c r="I70" s="91"/>
      <c r="J70" s="272">
        <f>'Pseudo-load coefficients'!J272</f>
        <v>14.144860268155654</v>
      </c>
      <c r="K70" s="272">
        <f>'Pseudo-load coefficients'!K272</f>
        <v>14.144860268155654</v>
      </c>
      <c r="L70" s="272">
        <f>'Pseudo-load coefficients'!L272</f>
        <v>12.467031654274232</v>
      </c>
      <c r="M70" s="272">
        <f>'Pseudo-load coefficients'!M272</f>
        <v>12.467031654274232</v>
      </c>
      <c r="N70" s="272">
        <f>'Pseudo-load coefficients'!N272</f>
        <v>10.91970204405601</v>
      </c>
      <c r="O70" s="272">
        <f>'Pseudo-load coefficients'!O272</f>
        <v>9.1022229805313177</v>
      </c>
      <c r="P70" s="272">
        <f>'Pseudo-load coefficients'!P272</f>
        <v>9.6346822756543471</v>
      </c>
      <c r="Q70" s="272">
        <f>'Pseudo-load coefficients'!Q272</f>
        <v>22.060966846561783</v>
      </c>
      <c r="R70" s="272">
        <f>'Pseudo-load coefficients'!R272</f>
        <v>9.6000295963804945</v>
      </c>
      <c r="S70" s="272">
        <f>'Pseudo-load coefficients'!S272</f>
        <v>9.6000295963804945</v>
      </c>
      <c r="T70" s="272">
        <f>'Pseudo-load coefficients'!T272</f>
        <v>9.6000295963804945</v>
      </c>
      <c r="U70" s="272">
        <f>'Pseudo-load coefficients'!U272</f>
        <v>9.6000295963804945</v>
      </c>
      <c r="V70" s="272">
        <f>'Pseudo-load coefficients'!V272</f>
        <v>9.6000295963804945</v>
      </c>
      <c r="W70" s="272">
        <f>'Pseudo-load coefficients'!W272</f>
        <v>9.6000295963804945</v>
      </c>
      <c r="X70" s="272">
        <f>'Pseudo-load coefficients'!X272</f>
        <v>9.6000295963804945</v>
      </c>
      <c r="Y70" s="272">
        <f>'Pseudo-load coefficients'!Y272</f>
        <v>9.6000295963804945</v>
      </c>
      <c r="AQ70" s="88"/>
    </row>
    <row r="71" spans="3:43" x14ac:dyDescent="0.25">
      <c r="E71" s="96"/>
      <c r="F71" s="293" t="s">
        <v>44</v>
      </c>
      <c r="G71" s="293" t="s">
        <v>427</v>
      </c>
      <c r="J71" s="273">
        <f>'Pseudo-load coefficients'!J273</f>
        <v>12.357295969740175</v>
      </c>
      <c r="K71" s="273">
        <f>'Pseudo-load coefficients'!K273</f>
        <v>12.357295969740175</v>
      </c>
      <c r="L71" s="273">
        <f>'Pseudo-load coefficients'!L273</f>
        <v>10.891503846299493</v>
      </c>
      <c r="M71" s="273">
        <f>'Pseudo-load coefficients'!M273</f>
        <v>10.891503846299493</v>
      </c>
      <c r="N71" s="273">
        <f>'Pseudo-load coefficients'!N273</f>
        <v>9.5397188449830796</v>
      </c>
      <c r="O71" s="273">
        <f>'Pseudo-load coefficients'!O273</f>
        <v>7.9519246723292065</v>
      </c>
      <c r="P71" s="273">
        <f>'Pseudo-load coefficients'!P273</f>
        <v>8.417094138618495</v>
      </c>
      <c r="Q71" s="273">
        <f>'Pseudo-load coefficients'!Q273</f>
        <v>22.681368691552095</v>
      </c>
      <c r="R71" s="273">
        <f>'Pseudo-load coefficients'!R273</f>
        <v>8.3868207102626471</v>
      </c>
      <c r="S71" s="273">
        <f>'Pseudo-load coefficients'!S273</f>
        <v>8.3868207102626471</v>
      </c>
      <c r="T71" s="273">
        <f>'Pseudo-load coefficients'!T273</f>
        <v>8.3868207102626471</v>
      </c>
      <c r="U71" s="273">
        <f>'Pseudo-load coefficients'!U273</f>
        <v>8.3868207102626471</v>
      </c>
      <c r="V71" s="273">
        <f>'Pseudo-load coefficients'!V273</f>
        <v>8.3868207102626471</v>
      </c>
      <c r="W71" s="273">
        <f>'Pseudo-load coefficients'!W273</f>
        <v>8.3868207102626471</v>
      </c>
      <c r="X71" s="273">
        <f>'Pseudo-load coefficients'!X273</f>
        <v>8.3868207102626471</v>
      </c>
      <c r="Y71" s="273">
        <f>'Pseudo-load coefficients'!Y273</f>
        <v>8.3868207102626471</v>
      </c>
      <c r="AQ71" s="88"/>
    </row>
    <row r="72" spans="3:43" x14ac:dyDescent="0.25">
      <c r="E72" s="96"/>
      <c r="F72" s="293" t="s">
        <v>45</v>
      </c>
      <c r="G72" s="293" t="s">
        <v>427</v>
      </c>
      <c r="J72" s="273">
        <f>'Pseudo-load coefficients'!J274</f>
        <v>12.357295969740175</v>
      </c>
      <c r="K72" s="273">
        <f>'Pseudo-load coefficients'!K274</f>
        <v>12.357295969740175</v>
      </c>
      <c r="L72" s="273">
        <f>'Pseudo-load coefficients'!L274</f>
        <v>10.891503846299493</v>
      </c>
      <c r="M72" s="273">
        <f>'Pseudo-load coefficients'!M274</f>
        <v>10.891503846299493</v>
      </c>
      <c r="N72" s="273">
        <f>'Pseudo-load coefficients'!N274</f>
        <v>9.5397188449830796</v>
      </c>
      <c r="O72" s="273">
        <f>'Pseudo-load coefficients'!O274</f>
        <v>7.9519246723292065</v>
      </c>
      <c r="P72" s="273">
        <f>'Pseudo-load coefficients'!P274</f>
        <v>8.417094138618495</v>
      </c>
      <c r="Q72" s="273">
        <f>'Pseudo-load coefficients'!Q274</f>
        <v>22.681368691552095</v>
      </c>
      <c r="R72" s="273">
        <f>'Pseudo-load coefficients'!R274</f>
        <v>8.3868207102626471</v>
      </c>
      <c r="S72" s="273">
        <f>'Pseudo-load coefficients'!S274</f>
        <v>8.3868207102626471</v>
      </c>
      <c r="T72" s="273">
        <f>'Pseudo-load coefficients'!T274</f>
        <v>8.3868207102626471</v>
      </c>
      <c r="U72" s="273">
        <f>'Pseudo-load coefficients'!U274</f>
        <v>8.3868207102626471</v>
      </c>
      <c r="V72" s="273">
        <f>'Pseudo-load coefficients'!V274</f>
        <v>8.3868207102626471</v>
      </c>
      <c r="W72" s="273">
        <f>'Pseudo-load coefficients'!W274</f>
        <v>8.3868207102626471</v>
      </c>
      <c r="X72" s="273">
        <f>'Pseudo-load coefficients'!X274</f>
        <v>8.3868207102626471</v>
      </c>
      <c r="Y72" s="273">
        <f>'Pseudo-load coefficients'!Y274</f>
        <v>8.3868207102626471</v>
      </c>
      <c r="AQ72" s="88"/>
    </row>
    <row r="73" spans="3:43" x14ac:dyDescent="0.25">
      <c r="E73" s="96"/>
      <c r="F73" s="293" t="s">
        <v>46</v>
      </c>
      <c r="G73" s="293" t="s">
        <v>427</v>
      </c>
      <c r="J73" s="273">
        <f>'Pseudo-load coefficients'!J275</f>
        <v>10.204432841171808</v>
      </c>
      <c r="K73" s="273">
        <f>'Pseudo-load coefficients'!K275</f>
        <v>10.204432841171808</v>
      </c>
      <c r="L73" s="273">
        <f>'Pseudo-load coefficients'!L275</f>
        <v>8.9940080589705644</v>
      </c>
      <c r="M73" s="273">
        <f>'Pseudo-load coefficients'!M275</f>
        <v>8.9940080589705644</v>
      </c>
      <c r="N73" s="273">
        <f>'Pseudo-load coefficients'!N275</f>
        <v>7.8777283084964216</v>
      </c>
      <c r="O73" s="273">
        <f>'Pseudo-load coefficients'!O275</f>
        <v>6.5665564275180728</v>
      </c>
      <c r="P73" s="273">
        <f>'Pseudo-load coefficients'!P275</f>
        <v>6.950685009542525</v>
      </c>
      <c r="Q73" s="273">
        <f>'Pseudo-load coefficients'!Q275</f>
        <v>18.789092721751611</v>
      </c>
      <c r="R73" s="273">
        <f>'Pseudo-load coefficients'!R275</f>
        <v>6.9256857566893322</v>
      </c>
      <c r="S73" s="273">
        <f>'Pseudo-load coefficients'!S275</f>
        <v>6.9256857566893322</v>
      </c>
      <c r="T73" s="273">
        <f>'Pseudo-load coefficients'!T275</f>
        <v>6.9256857566893322</v>
      </c>
      <c r="U73" s="273">
        <f>'Pseudo-load coefficients'!U275</f>
        <v>6.9256857566893322</v>
      </c>
      <c r="V73" s="273">
        <f>'Pseudo-load coefficients'!V275</f>
        <v>6.9256857566893322</v>
      </c>
      <c r="W73" s="273">
        <f>'Pseudo-load coefficients'!W275</f>
        <v>6.9256857566893322</v>
      </c>
      <c r="X73" s="273">
        <f>'Pseudo-load coefficients'!X275</f>
        <v>6.9256857566893322</v>
      </c>
      <c r="Y73" s="273">
        <f>'Pseudo-load coefficients'!Y275</f>
        <v>6.9256857566893322</v>
      </c>
      <c r="AQ73" s="88"/>
    </row>
    <row r="74" spans="3:43" x14ac:dyDescent="0.25">
      <c r="E74" s="96"/>
      <c r="F74" s="293" t="s">
        <v>47</v>
      </c>
      <c r="G74" s="293" t="s">
        <v>427</v>
      </c>
      <c r="J74" s="273">
        <f>'Pseudo-load coefficients'!J276</f>
        <v>10.204432841171808</v>
      </c>
      <c r="K74" s="273">
        <f>'Pseudo-load coefficients'!K276</f>
        <v>10.204432841171808</v>
      </c>
      <c r="L74" s="273">
        <f>'Pseudo-load coefficients'!L276</f>
        <v>8.9940080589705644</v>
      </c>
      <c r="M74" s="273">
        <f>'Pseudo-load coefficients'!M276</f>
        <v>8.9940080589705644</v>
      </c>
      <c r="N74" s="273">
        <f>'Pseudo-load coefficients'!N276</f>
        <v>7.8777283084964216</v>
      </c>
      <c r="O74" s="273">
        <f>'Pseudo-load coefficients'!O276</f>
        <v>6.5665564275180728</v>
      </c>
      <c r="P74" s="273">
        <f>'Pseudo-load coefficients'!P276</f>
        <v>6.950685009542525</v>
      </c>
      <c r="Q74" s="273">
        <f>'Pseudo-load coefficients'!Q276</f>
        <v>18.789092721751611</v>
      </c>
      <c r="R74" s="273">
        <f>'Pseudo-load coefficients'!R276</f>
        <v>6.9256857566893322</v>
      </c>
      <c r="S74" s="273">
        <f>'Pseudo-load coefficients'!S276</f>
        <v>6.9256857566893322</v>
      </c>
      <c r="T74" s="273">
        <f>'Pseudo-load coefficients'!T276</f>
        <v>6.9256857566893322</v>
      </c>
      <c r="U74" s="273">
        <f>'Pseudo-load coefficients'!U276</f>
        <v>6.9256857566893322</v>
      </c>
      <c r="V74" s="273">
        <f>'Pseudo-load coefficients'!V276</f>
        <v>6.9256857566893322</v>
      </c>
      <c r="W74" s="273">
        <f>'Pseudo-load coefficients'!W276</f>
        <v>6.9256857566893322</v>
      </c>
      <c r="X74" s="273">
        <f>'Pseudo-load coefficients'!X276</f>
        <v>6.9256857566893322</v>
      </c>
      <c r="Y74" s="273">
        <f>'Pseudo-load coefficients'!Y276</f>
        <v>6.9256857566893322</v>
      </c>
      <c r="AQ74" s="88"/>
    </row>
    <row r="75" spans="3:43" x14ac:dyDescent="0.25">
      <c r="E75" s="96"/>
      <c r="F75" s="293" t="s">
        <v>51</v>
      </c>
      <c r="G75" s="293" t="s">
        <v>427</v>
      </c>
      <c r="J75" s="273">
        <f>'Pseudo-load coefficients'!J277</f>
        <v>0</v>
      </c>
      <c r="K75" s="273">
        <f>'Pseudo-load coefficients'!K277</f>
        <v>0</v>
      </c>
      <c r="L75" s="273">
        <f>'Pseudo-load coefficients'!L277</f>
        <v>0</v>
      </c>
      <c r="M75" s="273">
        <f>'Pseudo-load coefficients'!M277</f>
        <v>0</v>
      </c>
      <c r="N75" s="273">
        <f>'Pseudo-load coefficients'!N277</f>
        <v>0</v>
      </c>
      <c r="O75" s="273">
        <f>'Pseudo-load coefficients'!O277</f>
        <v>0</v>
      </c>
      <c r="P75" s="273">
        <f>'Pseudo-load coefficients'!P277</f>
        <v>0</v>
      </c>
      <c r="Q75" s="273">
        <f>'Pseudo-load coefficients'!Q277</f>
        <v>0</v>
      </c>
      <c r="R75" s="273">
        <f>'Pseudo-load coefficients'!R277</f>
        <v>0</v>
      </c>
      <c r="S75" s="273">
        <f>'Pseudo-load coefficients'!S277</f>
        <v>0</v>
      </c>
      <c r="T75" s="273">
        <f>'Pseudo-load coefficients'!T277</f>
        <v>0</v>
      </c>
      <c r="U75" s="273">
        <f>'Pseudo-load coefficients'!U277</f>
        <v>0</v>
      </c>
      <c r="V75" s="273">
        <f>'Pseudo-load coefficients'!V277</f>
        <v>0</v>
      </c>
      <c r="W75" s="273">
        <f>'Pseudo-load coefficients'!W277</f>
        <v>0</v>
      </c>
      <c r="X75" s="273">
        <f>'Pseudo-load coefficients'!X277</f>
        <v>0</v>
      </c>
      <c r="Y75" s="273">
        <f>'Pseudo-load coefficients'!Y277</f>
        <v>0</v>
      </c>
      <c r="AQ75" s="88"/>
    </row>
    <row r="76" spans="3:43" x14ac:dyDescent="0.25">
      <c r="E76" s="96"/>
      <c r="F76" s="293" t="s">
        <v>48</v>
      </c>
      <c r="G76" s="293" t="s">
        <v>427</v>
      </c>
      <c r="J76" s="273">
        <f>'Pseudo-load coefficients'!J278</f>
        <v>6.3043754713967681</v>
      </c>
      <c r="K76" s="273">
        <f>'Pseudo-load coefficients'!K278</f>
        <v>6.3043754713967681</v>
      </c>
      <c r="L76" s="273">
        <f>'Pseudo-load coefficients'!L278</f>
        <v>5.5565659237566853</v>
      </c>
      <c r="M76" s="273">
        <f>'Pseudo-load coefficients'!M278</f>
        <v>5.5565659237566853</v>
      </c>
      <c r="N76" s="273">
        <f>'Pseudo-load coefficients'!N278</f>
        <v>4.8669198858395051</v>
      </c>
      <c r="O76" s="273">
        <f>'Pseudo-load coefficients'!O278</f>
        <v>4.0568680217247488</v>
      </c>
      <c r="P76" s="273">
        <f>'Pseudo-load coefficients'!P278</f>
        <v>4.2941855530437447</v>
      </c>
      <c r="Q76" s="273">
        <f>'Pseudo-load coefficients'!Q278</f>
        <v>11.063552514375854</v>
      </c>
      <c r="R76" s="273">
        <f>'Pseudo-load coefficients'!R278</f>
        <v>4.2787408263309548</v>
      </c>
      <c r="S76" s="273">
        <f>'Pseudo-load coefficients'!S278</f>
        <v>4.2787408263309548</v>
      </c>
      <c r="T76" s="273">
        <f>'Pseudo-load coefficients'!T278</f>
        <v>4.2787408263309548</v>
      </c>
      <c r="U76" s="273">
        <f>'Pseudo-load coefficients'!U278</f>
        <v>4.2787408263309548</v>
      </c>
      <c r="V76" s="273">
        <f>'Pseudo-load coefficients'!V278</f>
        <v>4.2787408263309548</v>
      </c>
      <c r="W76" s="273">
        <f>'Pseudo-load coefficients'!W278</f>
        <v>4.2787408263309548</v>
      </c>
      <c r="X76" s="273">
        <f>'Pseudo-load coefficients'!X278</f>
        <v>4.2787408263309548</v>
      </c>
      <c r="Y76" s="273">
        <f>'Pseudo-load coefficients'!Y278</f>
        <v>4.2787408263309548</v>
      </c>
      <c r="AQ76" s="88"/>
    </row>
    <row r="77" spans="3:43" x14ac:dyDescent="0.25">
      <c r="E77" s="96"/>
      <c r="F77" s="293" t="s">
        <v>49</v>
      </c>
      <c r="G77" s="293" t="s">
        <v>427</v>
      </c>
      <c r="J77" s="273">
        <f>'Pseudo-load coefficients'!J279</f>
        <v>6.3043754713967681</v>
      </c>
      <c r="K77" s="273">
        <f>'Pseudo-load coefficients'!K279</f>
        <v>6.3043754713967681</v>
      </c>
      <c r="L77" s="273">
        <f>'Pseudo-load coefficients'!L279</f>
        <v>5.5565659237566853</v>
      </c>
      <c r="M77" s="273">
        <f>'Pseudo-load coefficients'!M279</f>
        <v>5.5565659237566853</v>
      </c>
      <c r="N77" s="273">
        <f>'Pseudo-load coefficients'!N279</f>
        <v>4.8669198858395051</v>
      </c>
      <c r="O77" s="273">
        <f>'Pseudo-load coefficients'!O279</f>
        <v>4.0568680217247488</v>
      </c>
      <c r="P77" s="273">
        <f>'Pseudo-load coefficients'!P279</f>
        <v>4.2941855530437447</v>
      </c>
      <c r="Q77" s="273">
        <f>'Pseudo-load coefficients'!Q279</f>
        <v>11.063552514375854</v>
      </c>
      <c r="R77" s="273">
        <f>'Pseudo-load coefficients'!R279</f>
        <v>4.2787408263309548</v>
      </c>
      <c r="S77" s="273">
        <f>'Pseudo-load coefficients'!S279</f>
        <v>4.2787408263309548</v>
      </c>
      <c r="T77" s="273">
        <f>'Pseudo-load coefficients'!T279</f>
        <v>4.2787408263309548</v>
      </c>
      <c r="U77" s="273">
        <f>'Pseudo-load coefficients'!U279</f>
        <v>4.2787408263309548</v>
      </c>
      <c r="V77" s="273">
        <f>'Pseudo-load coefficients'!V279</f>
        <v>4.2787408263309548</v>
      </c>
      <c r="W77" s="273">
        <f>'Pseudo-load coefficients'!W279</f>
        <v>4.2787408263309548</v>
      </c>
      <c r="X77" s="273">
        <f>'Pseudo-load coefficients'!X279</f>
        <v>4.2787408263309548</v>
      </c>
      <c r="Y77" s="273">
        <f>'Pseudo-load coefficients'!Y279</f>
        <v>4.2787408263309548</v>
      </c>
      <c r="AQ77" s="88"/>
    </row>
    <row r="78" spans="3:43" x14ac:dyDescent="0.25">
      <c r="E78" s="96"/>
      <c r="F78" s="93" t="s">
        <v>50</v>
      </c>
      <c r="G78" s="93" t="s">
        <v>427</v>
      </c>
      <c r="H78" s="93"/>
      <c r="I78" s="93"/>
      <c r="J78" s="274">
        <f>'Pseudo-load coefficients'!J280</f>
        <v>6.3043754713967681</v>
      </c>
      <c r="K78" s="274">
        <f>'Pseudo-load coefficients'!K280</f>
        <v>6.3043754713967681</v>
      </c>
      <c r="L78" s="274">
        <f>'Pseudo-load coefficients'!L280</f>
        <v>5.5565659237566853</v>
      </c>
      <c r="M78" s="274">
        <f>'Pseudo-load coefficients'!M280</f>
        <v>5.5565659237566853</v>
      </c>
      <c r="N78" s="274">
        <f>'Pseudo-load coefficients'!N280</f>
        <v>4.8669198858395051</v>
      </c>
      <c r="O78" s="274">
        <f>'Pseudo-load coefficients'!O280</f>
        <v>4.0568680217247488</v>
      </c>
      <c r="P78" s="274">
        <f>'Pseudo-load coefficients'!P280</f>
        <v>4.2941855530437447</v>
      </c>
      <c r="Q78" s="274">
        <f>'Pseudo-load coefficients'!Q280</f>
        <v>11.063552514375854</v>
      </c>
      <c r="R78" s="274">
        <f>'Pseudo-load coefficients'!R280</f>
        <v>4.2787408263309548</v>
      </c>
      <c r="S78" s="274">
        <f>'Pseudo-load coefficients'!S280</f>
        <v>4.2787408263309548</v>
      </c>
      <c r="T78" s="274">
        <f>'Pseudo-load coefficients'!T280</f>
        <v>4.2787408263309548</v>
      </c>
      <c r="U78" s="274">
        <f>'Pseudo-load coefficients'!U280</f>
        <v>4.2787408263309548</v>
      </c>
      <c r="V78" s="274">
        <f>'Pseudo-load coefficients'!V280</f>
        <v>4.2787408263309548</v>
      </c>
      <c r="W78" s="274">
        <f>'Pseudo-load coefficients'!W280</f>
        <v>4.2787408263309548</v>
      </c>
      <c r="X78" s="274">
        <f>'Pseudo-load coefficients'!X280</f>
        <v>4.2787408263309548</v>
      </c>
      <c r="Y78" s="274">
        <f>'Pseudo-load coefficients'!Y280</f>
        <v>4.2787408263309548</v>
      </c>
      <c r="AQ78" s="88"/>
    </row>
    <row r="79" spans="3:43" x14ac:dyDescent="0.25">
      <c r="E79" s="96"/>
      <c r="J79" s="252"/>
      <c r="K79" s="252"/>
      <c r="L79" s="252"/>
      <c r="M79" s="252"/>
      <c r="N79" s="252"/>
      <c r="O79" s="252"/>
      <c r="P79" s="252"/>
      <c r="Q79" s="252"/>
      <c r="R79" s="252"/>
      <c r="S79" s="252"/>
      <c r="T79" s="252"/>
      <c r="U79" s="252"/>
      <c r="V79" s="252"/>
      <c r="W79" s="252"/>
      <c r="X79" s="252"/>
      <c r="Y79" s="252"/>
      <c r="AQ79" s="88"/>
    </row>
    <row r="80" spans="3:43" x14ac:dyDescent="0.25">
      <c r="E80" s="96" t="s">
        <v>523</v>
      </c>
      <c r="J80" s="252"/>
      <c r="K80" s="252"/>
      <c r="L80" s="252"/>
      <c r="M80" s="252"/>
      <c r="N80" s="252"/>
      <c r="O80" s="252"/>
      <c r="P80" s="252"/>
      <c r="Q80" s="252"/>
      <c r="R80" s="252"/>
      <c r="S80" s="252"/>
      <c r="T80" s="252"/>
      <c r="U80" s="252"/>
      <c r="V80" s="252"/>
      <c r="W80" s="252"/>
      <c r="X80" s="252"/>
      <c r="Y80" s="252"/>
      <c r="AQ80" s="88"/>
    </row>
    <row r="81" spans="5:43" x14ac:dyDescent="0.25">
      <c r="E81" s="82" t="s">
        <v>349</v>
      </c>
      <c r="J81" s="252"/>
      <c r="K81" s="252"/>
      <c r="L81" s="252"/>
      <c r="M81" s="252"/>
      <c r="N81" s="252"/>
      <c r="O81" s="252"/>
      <c r="P81" s="252"/>
      <c r="Q81" s="252"/>
      <c r="R81" s="252"/>
      <c r="S81" s="252"/>
      <c r="T81" s="252"/>
      <c r="U81" s="252"/>
      <c r="V81" s="252"/>
      <c r="W81" s="252"/>
      <c r="X81" s="252"/>
      <c r="Y81" s="252"/>
      <c r="AQ81" s="88"/>
    </row>
    <row r="82" spans="5:43" x14ac:dyDescent="0.25">
      <c r="E82" s="96"/>
      <c r="F82" s="91" t="s">
        <v>43</v>
      </c>
      <c r="G82" s="91" t="s">
        <v>102</v>
      </c>
      <c r="H82" s="91"/>
      <c r="I82" s="91"/>
      <c r="J82" s="277">
        <f t="shared" ref="J82:Y82" si="1">J$56 * J34 * J70 / hours_in_year / $H45</f>
        <v>2712.5353448999122</v>
      </c>
      <c r="K82" s="277">
        <f t="shared" si="1"/>
        <v>0.76277511456946412</v>
      </c>
      <c r="L82" s="277">
        <f t="shared" si="1"/>
        <v>474.05889890538299</v>
      </c>
      <c r="M82" s="277">
        <f t="shared" si="1"/>
        <v>0.91749850871219618</v>
      </c>
      <c r="N82" s="277">
        <f t="shared" si="1"/>
        <v>707.414000421011</v>
      </c>
      <c r="O82" s="277">
        <f t="shared" si="1"/>
        <v>37.634331517700943</v>
      </c>
      <c r="P82" s="277">
        <f t="shared" si="1"/>
        <v>476.69987996634399</v>
      </c>
      <c r="Q82" s="277">
        <f t="shared" si="1"/>
        <v>31.606412887011647</v>
      </c>
      <c r="R82" s="277">
        <f t="shared" si="1"/>
        <v>-0.84052030866694927</v>
      </c>
      <c r="S82" s="277">
        <f t="shared" si="1"/>
        <v>-3.3111190622722511E-2</v>
      </c>
      <c r="T82" s="277">
        <f t="shared" si="1"/>
        <v>-4.139564762243042</v>
      </c>
      <c r="U82" s="277">
        <f t="shared" si="1"/>
        <v>0</v>
      </c>
      <c r="V82" s="277">
        <f t="shared" si="1"/>
        <v>0</v>
      </c>
      <c r="W82" s="277">
        <f t="shared" si="1"/>
        <v>0</v>
      </c>
      <c r="X82" s="277">
        <f t="shared" si="1"/>
        <v>-96.845313757320739</v>
      </c>
      <c r="Y82" s="277">
        <f t="shared" si="1"/>
        <v>0</v>
      </c>
      <c r="AQ82" s="88"/>
    </row>
    <row r="83" spans="5:43" x14ac:dyDescent="0.25">
      <c r="E83" s="96"/>
      <c r="F83" s="293" t="s">
        <v>44</v>
      </c>
      <c r="G83" s="293" t="s">
        <v>102</v>
      </c>
      <c r="J83" s="252">
        <f t="shared" ref="J83:Y83" si="2">J$56 * J35 * J71 / hours_in_year / $H46</f>
        <v>2360.2960524860023</v>
      </c>
      <c r="K83" s="252">
        <f t="shared" si="2"/>
        <v>0.66372410418095207</v>
      </c>
      <c r="L83" s="252">
        <f t="shared" si="2"/>
        <v>412.49945363330283</v>
      </c>
      <c r="M83" s="252">
        <f t="shared" si="2"/>
        <v>0.79835571998974153</v>
      </c>
      <c r="N83" s="252">
        <f t="shared" si="2"/>
        <v>615.55196904859235</v>
      </c>
      <c r="O83" s="252">
        <f t="shared" si="2"/>
        <v>32.747283564873392</v>
      </c>
      <c r="P83" s="252">
        <f t="shared" si="2"/>
        <v>414.7974871629292</v>
      </c>
      <c r="Q83" s="252">
        <f t="shared" si="2"/>
        <v>32.365790048504778</v>
      </c>
      <c r="R83" s="252">
        <f t="shared" si="2"/>
        <v>-0.73137360967885146</v>
      </c>
      <c r="S83" s="252">
        <f t="shared" si="2"/>
        <v>-2.8811500158648504E-2</v>
      </c>
      <c r="T83" s="252">
        <f t="shared" si="2"/>
        <v>-3.6020169785816853</v>
      </c>
      <c r="U83" s="252">
        <f t="shared" si="2"/>
        <v>0</v>
      </c>
      <c r="V83" s="252">
        <f t="shared" si="2"/>
        <v>0</v>
      </c>
      <c r="W83" s="252">
        <f t="shared" si="2"/>
        <v>0</v>
      </c>
      <c r="X83" s="252">
        <f t="shared" si="2"/>
        <v>-84.269357887982409</v>
      </c>
      <c r="Y83" s="252">
        <f t="shared" si="2"/>
        <v>0</v>
      </c>
      <c r="AQ83" s="88"/>
    </row>
    <row r="84" spans="5:43" x14ac:dyDescent="0.25">
      <c r="E84" s="96"/>
      <c r="F84" s="293" t="s">
        <v>45</v>
      </c>
      <c r="G84" s="293" t="s">
        <v>102</v>
      </c>
      <c r="J84" s="252">
        <f t="shared" ref="J84:Y84" si="3">J$56 * J36 * J72 / hours_in_year / $H47</f>
        <v>2350.9297983094702</v>
      </c>
      <c r="K84" s="252">
        <f t="shared" si="3"/>
        <v>0.66109027837071022</v>
      </c>
      <c r="L84" s="252">
        <f t="shared" si="3"/>
        <v>410.86255103951987</v>
      </c>
      <c r="M84" s="252">
        <f t="shared" si="3"/>
        <v>0.79518764173581391</v>
      </c>
      <c r="N84" s="252">
        <f t="shared" si="3"/>
        <v>613.10930250474871</v>
      </c>
      <c r="O84" s="252">
        <f t="shared" si="3"/>
        <v>32.617334026917547</v>
      </c>
      <c r="P84" s="252">
        <f t="shared" si="3"/>
        <v>413.15146538847313</v>
      </c>
      <c r="Q84" s="252">
        <f t="shared" si="3"/>
        <v>32.237354373709124</v>
      </c>
      <c r="R84" s="252">
        <f t="shared" si="3"/>
        <v>-0.72847133344996706</v>
      </c>
      <c r="S84" s="252">
        <f t="shared" si="3"/>
        <v>-2.8697168808812595E-2</v>
      </c>
      <c r="T84" s="252">
        <f t="shared" si="3"/>
        <v>-3.5877232604127101</v>
      </c>
      <c r="U84" s="252">
        <f t="shared" si="3"/>
        <v>0</v>
      </c>
      <c r="V84" s="252">
        <f t="shared" si="3"/>
        <v>0</v>
      </c>
      <c r="W84" s="252">
        <f t="shared" si="3"/>
        <v>0</v>
      </c>
      <c r="X84" s="252">
        <f t="shared" si="3"/>
        <v>-83.934955674141207</v>
      </c>
      <c r="Y84" s="252">
        <f t="shared" si="3"/>
        <v>0</v>
      </c>
      <c r="AQ84" s="88"/>
    </row>
    <row r="85" spans="5:43" x14ac:dyDescent="0.25">
      <c r="E85" s="96"/>
      <c r="F85" s="293" t="s">
        <v>46</v>
      </c>
      <c r="G85" s="293" t="s">
        <v>102</v>
      </c>
      <c r="J85" s="252">
        <f t="shared" ref="J85:Y85" si="4">J$56 * J37 * J73 / hours_in_year / $H48</f>
        <v>1929.8682492947783</v>
      </c>
      <c r="K85" s="252">
        <f t="shared" si="4"/>
        <v>0.54268619125186435</v>
      </c>
      <c r="L85" s="252">
        <f t="shared" si="4"/>
        <v>337.27531661966185</v>
      </c>
      <c r="M85" s="252">
        <f t="shared" si="4"/>
        <v>0.65276614517415987</v>
      </c>
      <c r="N85" s="252">
        <f t="shared" si="4"/>
        <v>503.2988127089219</v>
      </c>
      <c r="O85" s="252">
        <f t="shared" si="4"/>
        <v>26.775430453284915</v>
      </c>
      <c r="P85" s="252">
        <f t="shared" si="4"/>
        <v>339.15427665095524</v>
      </c>
      <c r="Q85" s="252">
        <f t="shared" si="4"/>
        <v>26.547187781753269</v>
      </c>
      <c r="R85" s="252">
        <f t="shared" si="4"/>
        <v>-0.59799901211744177</v>
      </c>
      <c r="S85" s="252">
        <f t="shared" si="4"/>
        <v>-2.3557383537613212E-2</v>
      </c>
      <c r="T85" s="252">
        <f t="shared" si="4"/>
        <v>-2.9451467298197023</v>
      </c>
      <c r="U85" s="252">
        <f t="shared" si="4"/>
        <v>0</v>
      </c>
      <c r="V85" s="252">
        <f t="shared" si="4"/>
        <v>0</v>
      </c>
      <c r="W85" s="252">
        <f t="shared" si="4"/>
        <v>0</v>
      </c>
      <c r="X85" s="252">
        <f t="shared" si="4"/>
        <v>-68.901847293768725</v>
      </c>
      <c r="Y85" s="252">
        <f t="shared" si="4"/>
        <v>0</v>
      </c>
      <c r="AQ85" s="88"/>
    </row>
    <row r="86" spans="5:43" x14ac:dyDescent="0.25">
      <c r="E86" s="96"/>
      <c r="F86" s="293" t="s">
        <v>47</v>
      </c>
      <c r="G86" s="293" t="s">
        <v>102</v>
      </c>
      <c r="J86" s="252">
        <f t="shared" ref="J86:Y86" si="5">J$56 * J38 * J74 / hours_in_year / $H49</f>
        <v>1918.5160831224559</v>
      </c>
      <c r="K86" s="252">
        <f t="shared" si="5"/>
        <v>0.53949391953861803</v>
      </c>
      <c r="L86" s="252">
        <f t="shared" si="5"/>
        <v>335.29134416895795</v>
      </c>
      <c r="M86" s="252">
        <f t="shared" si="5"/>
        <v>0.64892634432019425</v>
      </c>
      <c r="N86" s="252">
        <f t="shared" si="5"/>
        <v>500.33823145769298</v>
      </c>
      <c r="O86" s="252">
        <f t="shared" si="5"/>
        <v>26.617927921206768</v>
      </c>
      <c r="P86" s="252">
        <f t="shared" si="5"/>
        <v>337.1592514941849</v>
      </c>
      <c r="Q86" s="252">
        <f t="shared" si="5"/>
        <v>26.39102785362531</v>
      </c>
      <c r="R86" s="252">
        <f t="shared" si="5"/>
        <v>-0.59448137086969211</v>
      </c>
      <c r="S86" s="252">
        <f t="shared" si="5"/>
        <v>-2.3418810693274311E-2</v>
      </c>
      <c r="T86" s="252">
        <f t="shared" si="5"/>
        <v>-2.9278223372913508</v>
      </c>
      <c r="U86" s="252">
        <f t="shared" si="5"/>
        <v>0</v>
      </c>
      <c r="V86" s="252">
        <f t="shared" si="5"/>
        <v>0</v>
      </c>
      <c r="W86" s="252">
        <f t="shared" si="5"/>
        <v>0</v>
      </c>
      <c r="X86" s="252">
        <f t="shared" si="5"/>
        <v>-68.49654230968774</v>
      </c>
      <c r="Y86" s="252">
        <f t="shared" si="5"/>
        <v>0</v>
      </c>
      <c r="AQ86" s="88"/>
    </row>
    <row r="87" spans="5:43" x14ac:dyDescent="0.25">
      <c r="E87" s="96"/>
      <c r="F87" s="293" t="s">
        <v>51</v>
      </c>
      <c r="G87" s="293" t="s">
        <v>102</v>
      </c>
      <c r="J87" s="252">
        <f t="shared" ref="J87:Y87" si="6">J$56 * J39 * J75 / hours_in_year / $H50</f>
        <v>0</v>
      </c>
      <c r="K87" s="252">
        <f t="shared" si="6"/>
        <v>0</v>
      </c>
      <c r="L87" s="252">
        <f t="shared" si="6"/>
        <v>0</v>
      </c>
      <c r="M87" s="252">
        <f t="shared" si="6"/>
        <v>0</v>
      </c>
      <c r="N87" s="252">
        <f t="shared" si="6"/>
        <v>0</v>
      </c>
      <c r="O87" s="252">
        <f t="shared" si="6"/>
        <v>0</v>
      </c>
      <c r="P87" s="252">
        <f t="shared" si="6"/>
        <v>0</v>
      </c>
      <c r="Q87" s="252">
        <f t="shared" si="6"/>
        <v>0</v>
      </c>
      <c r="R87" s="252">
        <f t="shared" si="6"/>
        <v>0</v>
      </c>
      <c r="S87" s="252">
        <f t="shared" si="6"/>
        <v>0</v>
      </c>
      <c r="T87" s="252">
        <f t="shared" si="6"/>
        <v>0</v>
      </c>
      <c r="U87" s="252">
        <f t="shared" si="6"/>
        <v>0</v>
      </c>
      <c r="V87" s="252">
        <f t="shared" si="6"/>
        <v>0</v>
      </c>
      <c r="W87" s="252">
        <f t="shared" si="6"/>
        <v>0</v>
      </c>
      <c r="X87" s="252">
        <f t="shared" si="6"/>
        <v>0</v>
      </c>
      <c r="Y87" s="252">
        <f t="shared" si="6"/>
        <v>0</v>
      </c>
      <c r="AQ87" s="88"/>
    </row>
    <row r="88" spans="5:43" x14ac:dyDescent="0.25">
      <c r="E88" s="96"/>
      <c r="F88" s="293" t="s">
        <v>48</v>
      </c>
      <c r="G88" s="293" t="s">
        <v>102</v>
      </c>
      <c r="J88" s="252">
        <f t="shared" ref="J88:Y88" si="7">J$56 * J40 * J76 / hours_in_year / $H51</f>
        <v>1174.9068616052928</v>
      </c>
      <c r="K88" s="252">
        <f t="shared" si="7"/>
        <v>0.33038821693307541</v>
      </c>
      <c r="L88" s="252">
        <f t="shared" si="7"/>
        <v>205.33374954033485</v>
      </c>
      <c r="M88" s="252">
        <f t="shared" si="7"/>
        <v>0.39740506807602854</v>
      </c>
      <c r="N88" s="252">
        <f>N$56 * N40 * N76 / hours_in_year / $H51</f>
        <v>306.40911819011274</v>
      </c>
      <c r="O88" s="252">
        <f t="shared" si="7"/>
        <v>16.300924673741608</v>
      </c>
      <c r="P88" s="252">
        <f t="shared" si="7"/>
        <v>206.47766339779918</v>
      </c>
      <c r="Q88" s="252">
        <f t="shared" si="7"/>
        <v>15.403871748479419</v>
      </c>
      <c r="R88" s="252">
        <f t="shared" si="7"/>
        <v>-0.36406275030780683</v>
      </c>
      <c r="S88" s="252">
        <f t="shared" si="7"/>
        <v>-1.4341772589876779E-2</v>
      </c>
      <c r="T88" s="252">
        <f t="shared" si="7"/>
        <v>-1.7930100163905114</v>
      </c>
      <c r="U88" s="252">
        <f t="shared" si="7"/>
        <v>0</v>
      </c>
      <c r="V88" s="252">
        <f t="shared" si="7"/>
        <v>0</v>
      </c>
      <c r="W88" s="252">
        <f t="shared" si="7"/>
        <v>0</v>
      </c>
      <c r="X88" s="252">
        <f t="shared" si="7"/>
        <v>0</v>
      </c>
      <c r="Y88" s="252">
        <f t="shared" si="7"/>
        <v>0</v>
      </c>
      <c r="AQ88" s="88"/>
    </row>
    <row r="89" spans="5:43" x14ac:dyDescent="0.25">
      <c r="E89" s="96"/>
      <c r="F89" s="293" t="s">
        <v>49</v>
      </c>
      <c r="G89" s="293" t="s">
        <v>102</v>
      </c>
      <c r="J89" s="252">
        <f t="shared" ref="J89:Y89" si="8">J$56 * J41 * J77 / hours_in_year / $H52</f>
        <v>1158.026015892573</v>
      </c>
      <c r="K89" s="252">
        <f t="shared" si="8"/>
        <v>0.32564125979323233</v>
      </c>
      <c r="L89" s="252">
        <f t="shared" si="8"/>
        <v>202.38355198946795</v>
      </c>
      <c r="M89" s="252">
        <f t="shared" si="8"/>
        <v>0.39169522514390165</v>
      </c>
      <c r="N89" s="252">
        <f t="shared" si="8"/>
        <v>302.00668833105937</v>
      </c>
      <c r="O89" s="252">
        <f t="shared" si="8"/>
        <v>16.06671598590049</v>
      </c>
      <c r="P89" s="252">
        <f t="shared" si="8"/>
        <v>0</v>
      </c>
      <c r="Q89" s="252">
        <f t="shared" si="8"/>
        <v>15.18255175209322</v>
      </c>
      <c r="R89" s="252">
        <f t="shared" si="8"/>
        <v>-0.35883196366545328</v>
      </c>
      <c r="S89" s="252">
        <f t="shared" si="8"/>
        <v>0</v>
      </c>
      <c r="T89" s="252">
        <f t="shared" si="8"/>
        <v>-1.767248378223981</v>
      </c>
      <c r="U89" s="252">
        <f t="shared" si="8"/>
        <v>0</v>
      </c>
      <c r="V89" s="252">
        <f t="shared" si="8"/>
        <v>0</v>
      </c>
      <c r="W89" s="252">
        <f t="shared" si="8"/>
        <v>0</v>
      </c>
      <c r="X89" s="252">
        <f t="shared" si="8"/>
        <v>0</v>
      </c>
      <c r="Y89" s="252">
        <f t="shared" si="8"/>
        <v>0</v>
      </c>
      <c r="AQ89" s="88"/>
    </row>
    <row r="90" spans="5:43" x14ac:dyDescent="0.25">
      <c r="E90" s="96"/>
      <c r="F90" s="93" t="s">
        <v>50</v>
      </c>
      <c r="G90" s="93" t="s">
        <v>102</v>
      </c>
      <c r="H90" s="93"/>
      <c r="I90" s="93"/>
      <c r="J90" s="271">
        <f t="shared" ref="J90:Y90" si="9">J$56 * J42 * J78 / hours_in_year / $H53</f>
        <v>1111.1940814263291</v>
      </c>
      <c r="K90" s="271">
        <f t="shared" si="9"/>
        <v>0.31247194413982954</v>
      </c>
      <c r="L90" s="271">
        <f t="shared" si="9"/>
        <v>194.1989230487174</v>
      </c>
      <c r="M90" s="271">
        <f t="shared" si="9"/>
        <v>0.37585460942117033</v>
      </c>
      <c r="N90" s="271">
        <f t="shared" si="9"/>
        <v>289.79318255296505</v>
      </c>
      <c r="O90" s="271">
        <f t="shared" si="9"/>
        <v>0</v>
      </c>
      <c r="P90" s="271">
        <f t="shared" si="9"/>
        <v>0</v>
      </c>
      <c r="Q90" s="271">
        <f t="shared" si="9"/>
        <v>14.56855149741298</v>
      </c>
      <c r="R90" s="271">
        <f t="shared" si="9"/>
        <v>0</v>
      </c>
      <c r="S90" s="271">
        <f t="shared" si="9"/>
        <v>0</v>
      </c>
      <c r="T90" s="271">
        <f t="shared" si="9"/>
        <v>0</v>
      </c>
      <c r="U90" s="271">
        <f t="shared" si="9"/>
        <v>0</v>
      </c>
      <c r="V90" s="271">
        <f t="shared" si="9"/>
        <v>0</v>
      </c>
      <c r="W90" s="271">
        <f t="shared" si="9"/>
        <v>0</v>
      </c>
      <c r="X90" s="271">
        <f t="shared" si="9"/>
        <v>0</v>
      </c>
      <c r="Y90" s="271">
        <f t="shared" si="9"/>
        <v>0</v>
      </c>
      <c r="AQ90" s="88"/>
    </row>
    <row r="91" spans="5:43" x14ac:dyDescent="0.25">
      <c r="E91" s="96"/>
      <c r="J91" s="252"/>
      <c r="K91" s="252"/>
      <c r="L91" s="252"/>
      <c r="M91" s="252"/>
      <c r="N91" s="252"/>
      <c r="O91" s="252"/>
      <c r="P91" s="252"/>
      <c r="Q91" s="252"/>
      <c r="R91" s="252"/>
      <c r="S91" s="252"/>
      <c r="T91" s="252"/>
      <c r="U91" s="252"/>
      <c r="V91" s="252"/>
      <c r="W91" s="252"/>
      <c r="X91" s="252"/>
      <c r="Y91" s="252"/>
      <c r="AQ91" s="88"/>
    </row>
    <row r="92" spans="5:43" x14ac:dyDescent="0.25">
      <c r="E92" s="96" t="s">
        <v>249</v>
      </c>
      <c r="J92" s="252"/>
      <c r="K92" s="252"/>
      <c r="L92" s="252"/>
      <c r="M92" s="252"/>
      <c r="N92" s="252"/>
      <c r="O92" s="252"/>
      <c r="P92" s="252"/>
      <c r="Q92" s="252"/>
      <c r="R92" s="252"/>
      <c r="S92" s="252"/>
      <c r="T92" s="252"/>
      <c r="U92" s="252"/>
      <c r="V92" s="252"/>
      <c r="W92" s="252"/>
      <c r="X92" s="252"/>
      <c r="Y92" s="252"/>
      <c r="AQ92" s="88"/>
    </row>
    <row r="93" spans="5:43" x14ac:dyDescent="0.25">
      <c r="E93" s="96"/>
      <c r="F93" s="91" t="s">
        <v>43</v>
      </c>
      <c r="G93" s="91" t="s">
        <v>427</v>
      </c>
      <c r="H93" s="91"/>
      <c r="I93" s="91"/>
      <c r="J93" s="272">
        <f>'Pseudo-load coefficients'!J283</f>
        <v>0.43477145606027906</v>
      </c>
      <c r="K93" s="272">
        <f>'Pseudo-load coefficients'!K283</f>
        <v>0.43477145606027906</v>
      </c>
      <c r="L93" s="272">
        <f>'Pseudo-load coefficients'!L283</f>
        <v>0.3831999328604998</v>
      </c>
      <c r="M93" s="272">
        <f>'Pseudo-load coefficients'!M283</f>
        <v>0.3831999328604998</v>
      </c>
      <c r="N93" s="272">
        <f>'Pseudo-load coefficients'!N283</f>
        <v>0.33563956571044112</v>
      </c>
      <c r="O93" s="272">
        <f>'Pseudo-load coefficients'!O283</f>
        <v>0.27977559789262851</v>
      </c>
      <c r="P93" s="272">
        <f>'Pseudo-load coefficients'!P283</f>
        <v>0.29614183259871762</v>
      </c>
      <c r="Q93" s="272">
        <f>'Pseudo-load coefficients'!Q283</f>
        <v>0.56980591634435029</v>
      </c>
      <c r="R93" s="272">
        <f>'Pseudo-load coefficients'!R283</f>
        <v>0.29507671102532174</v>
      </c>
      <c r="S93" s="272">
        <f>'Pseudo-load coefficients'!S283</f>
        <v>0.29507671102532174</v>
      </c>
      <c r="T93" s="272">
        <f>'Pseudo-load coefficients'!T283</f>
        <v>0.29507671102532174</v>
      </c>
      <c r="U93" s="272">
        <f>'Pseudo-load coefficients'!U283</f>
        <v>0.29507671102532174</v>
      </c>
      <c r="V93" s="272">
        <f>'Pseudo-load coefficients'!V283</f>
        <v>0.29507671102532174</v>
      </c>
      <c r="W93" s="272">
        <f>'Pseudo-load coefficients'!W283</f>
        <v>0.29507671102532174</v>
      </c>
      <c r="X93" s="272">
        <f>'Pseudo-load coefficients'!X283</f>
        <v>0.29507671102532174</v>
      </c>
      <c r="Y93" s="272">
        <f>'Pseudo-load coefficients'!Y283</f>
        <v>0.29507671102532174</v>
      </c>
      <c r="AQ93" s="88"/>
    </row>
    <row r="94" spans="5:43" x14ac:dyDescent="0.25">
      <c r="E94" s="96"/>
      <c r="F94" s="293" t="s">
        <v>44</v>
      </c>
      <c r="G94" s="293" t="s">
        <v>427</v>
      </c>
      <c r="J94" s="273">
        <f>'Pseudo-load coefficients'!J284</f>
        <v>0.72666991631636735</v>
      </c>
      <c r="K94" s="273">
        <f>'Pseudo-load coefficients'!K284</f>
        <v>0.72666991631636735</v>
      </c>
      <c r="L94" s="273">
        <f>'Pseudo-load coefficients'!L284</f>
        <v>0.64047411407240551</v>
      </c>
      <c r="M94" s="273">
        <f>'Pseudo-load coefficients'!M284</f>
        <v>0.64047411407240551</v>
      </c>
      <c r="N94" s="273">
        <f>'Pseudo-load coefficients'!N284</f>
        <v>0.56098249258905497</v>
      </c>
      <c r="O94" s="273">
        <f>'Pseudo-load coefficients'!O284</f>
        <v>0.46761236846195076</v>
      </c>
      <c r="P94" s="273">
        <f>'Pseudo-load coefficients'!P284</f>
        <v>0.49496662605755265</v>
      </c>
      <c r="Q94" s="273">
        <f>'Pseudo-load coefficients'!Q284</f>
        <v>0.52171916269370811</v>
      </c>
      <c r="R94" s="273">
        <f>'Pseudo-load coefficients'!R284</f>
        <v>0.49318639924225077</v>
      </c>
      <c r="S94" s="273">
        <f>'Pseudo-load coefficients'!S284</f>
        <v>0.49318639924225077</v>
      </c>
      <c r="T94" s="273">
        <f>'Pseudo-load coefficients'!T284</f>
        <v>0.49318639924225077</v>
      </c>
      <c r="U94" s="273">
        <f>'Pseudo-load coefficients'!U284</f>
        <v>0.49318639924225077</v>
      </c>
      <c r="V94" s="273">
        <f>'Pseudo-load coefficients'!V284</f>
        <v>0.49318639924225077</v>
      </c>
      <c r="W94" s="273">
        <f>'Pseudo-load coefficients'!W284</f>
        <v>0.49318639924225077</v>
      </c>
      <c r="X94" s="273">
        <f>'Pseudo-load coefficients'!X284</f>
        <v>0.49318639924225077</v>
      </c>
      <c r="Y94" s="273">
        <f>'Pseudo-load coefficients'!Y284</f>
        <v>0.49318639924225077</v>
      </c>
      <c r="AQ94" s="88"/>
    </row>
    <row r="95" spans="5:43" x14ac:dyDescent="0.25">
      <c r="E95" s="96"/>
      <c r="F95" s="293" t="s">
        <v>45</v>
      </c>
      <c r="G95" s="293" t="s">
        <v>427</v>
      </c>
      <c r="J95" s="273">
        <f>'Pseudo-load coefficients'!J285</f>
        <v>0.72666991631636735</v>
      </c>
      <c r="K95" s="273">
        <f>'Pseudo-load coefficients'!K285</f>
        <v>0.72666991631636735</v>
      </c>
      <c r="L95" s="273">
        <f>'Pseudo-load coefficients'!L285</f>
        <v>0.64047411407240551</v>
      </c>
      <c r="M95" s="273">
        <f>'Pseudo-load coefficients'!M285</f>
        <v>0.64047411407240551</v>
      </c>
      <c r="N95" s="273">
        <f>'Pseudo-load coefficients'!N285</f>
        <v>0.56098249258905497</v>
      </c>
      <c r="O95" s="273">
        <f>'Pseudo-load coefficients'!O285</f>
        <v>0.46761236846195076</v>
      </c>
      <c r="P95" s="273">
        <f>'Pseudo-load coefficients'!P285</f>
        <v>0.49496662605755265</v>
      </c>
      <c r="Q95" s="273">
        <f>'Pseudo-load coefficients'!Q285</f>
        <v>0.52171916269370811</v>
      </c>
      <c r="R95" s="273">
        <f>'Pseudo-load coefficients'!R285</f>
        <v>0.49318639924225077</v>
      </c>
      <c r="S95" s="273">
        <f>'Pseudo-load coefficients'!S285</f>
        <v>0.49318639924225077</v>
      </c>
      <c r="T95" s="273">
        <f>'Pseudo-load coefficients'!T285</f>
        <v>0.49318639924225077</v>
      </c>
      <c r="U95" s="273">
        <f>'Pseudo-load coefficients'!U285</f>
        <v>0.49318639924225077</v>
      </c>
      <c r="V95" s="273">
        <f>'Pseudo-load coefficients'!V285</f>
        <v>0.49318639924225077</v>
      </c>
      <c r="W95" s="273">
        <f>'Pseudo-load coefficients'!W285</f>
        <v>0.49318639924225077</v>
      </c>
      <c r="X95" s="273">
        <f>'Pseudo-load coefficients'!X285</f>
        <v>0.49318639924225077</v>
      </c>
      <c r="Y95" s="273">
        <f>'Pseudo-load coefficients'!Y285</f>
        <v>0.49318639924225077</v>
      </c>
      <c r="AQ95" s="88"/>
    </row>
    <row r="96" spans="5:43" x14ac:dyDescent="0.25">
      <c r="E96" s="96"/>
      <c r="F96" s="293" t="s">
        <v>46</v>
      </c>
      <c r="G96" s="293" t="s">
        <v>427</v>
      </c>
      <c r="J96" s="273">
        <f>'Pseudo-load coefficients'!J286</f>
        <v>1.0956395657295968</v>
      </c>
      <c r="K96" s="273">
        <f>'Pseudo-load coefficients'!K286</f>
        <v>1.0956395657295968</v>
      </c>
      <c r="L96" s="273">
        <f>'Pseudo-load coefficients'!L286</f>
        <v>0.96567748911436924</v>
      </c>
      <c r="M96" s="273">
        <f>'Pseudo-load coefficients'!M286</f>
        <v>0.96567748911436924</v>
      </c>
      <c r="N96" s="273">
        <f>'Pseudo-load coefficients'!N286</f>
        <v>0.84582366871313797</v>
      </c>
      <c r="O96" s="273">
        <f>'Pseudo-load coefficients'!O286</f>
        <v>0.70504447866586339</v>
      </c>
      <c r="P96" s="273">
        <f>'Pseudo-load coefficients'!P286</f>
        <v>0.74628797346309772</v>
      </c>
      <c r="Q96" s="273">
        <f>'Pseudo-load coefficients'!Q286</f>
        <v>0.72067364937650136</v>
      </c>
      <c r="R96" s="273">
        <f>'Pseudo-load coefficients'!R286</f>
        <v>0.74360382913426004</v>
      </c>
      <c r="S96" s="273">
        <f>'Pseudo-load coefficients'!S286</f>
        <v>0.74360382913426004</v>
      </c>
      <c r="T96" s="273">
        <f>'Pseudo-load coefficients'!T286</f>
        <v>0.74360382913426004</v>
      </c>
      <c r="U96" s="273">
        <f>'Pseudo-load coefficients'!U286</f>
        <v>0.74360382913426004</v>
      </c>
      <c r="V96" s="273">
        <f>'Pseudo-load coefficients'!V286</f>
        <v>0.74360382913426004</v>
      </c>
      <c r="W96" s="273">
        <f>'Pseudo-load coefficients'!W286</f>
        <v>0.74360382913426004</v>
      </c>
      <c r="X96" s="273">
        <f>'Pseudo-load coefficients'!X286</f>
        <v>0.74360382913426004</v>
      </c>
      <c r="Y96" s="273">
        <f>'Pseudo-load coefficients'!Y286</f>
        <v>0.74360382913426004</v>
      </c>
      <c r="AQ96" s="88"/>
    </row>
    <row r="97" spans="5:43" x14ac:dyDescent="0.25">
      <c r="E97" s="96"/>
      <c r="F97" s="293" t="s">
        <v>47</v>
      </c>
      <c r="G97" s="293" t="s">
        <v>427</v>
      </c>
      <c r="J97" s="273">
        <f>'Pseudo-load coefficients'!J287</f>
        <v>1.0956395657295968</v>
      </c>
      <c r="K97" s="273">
        <f>'Pseudo-load coefficients'!K287</f>
        <v>1.0956395657295968</v>
      </c>
      <c r="L97" s="273">
        <f>'Pseudo-load coefficients'!L287</f>
        <v>0.96567748911436924</v>
      </c>
      <c r="M97" s="273">
        <f>'Pseudo-load coefficients'!M287</f>
        <v>0.96567748911436924</v>
      </c>
      <c r="N97" s="273">
        <f>'Pseudo-load coefficients'!N287</f>
        <v>0.84582366871313797</v>
      </c>
      <c r="O97" s="273">
        <f>'Pseudo-load coefficients'!O287</f>
        <v>0.70504447866586339</v>
      </c>
      <c r="P97" s="273">
        <f>'Pseudo-load coefficients'!P287</f>
        <v>0.74628797346309772</v>
      </c>
      <c r="Q97" s="273">
        <f>'Pseudo-load coefficients'!Q287</f>
        <v>0.72067364937650136</v>
      </c>
      <c r="R97" s="273">
        <f>'Pseudo-load coefficients'!R287</f>
        <v>0.74360382913426004</v>
      </c>
      <c r="S97" s="273">
        <f>'Pseudo-load coefficients'!S287</f>
        <v>0.74360382913426004</v>
      </c>
      <c r="T97" s="273">
        <f>'Pseudo-load coefficients'!T287</f>
        <v>0.74360382913426004</v>
      </c>
      <c r="U97" s="273">
        <f>'Pseudo-load coefficients'!U287</f>
        <v>0.74360382913426004</v>
      </c>
      <c r="V97" s="273">
        <f>'Pseudo-load coefficients'!V287</f>
        <v>0.74360382913426004</v>
      </c>
      <c r="W97" s="273">
        <f>'Pseudo-load coefficients'!W287</f>
        <v>0.74360382913426004</v>
      </c>
      <c r="X97" s="273">
        <f>'Pseudo-load coefficients'!X287</f>
        <v>0.74360382913426004</v>
      </c>
      <c r="Y97" s="273">
        <f>'Pseudo-load coefficients'!Y287</f>
        <v>0.74360382913426004</v>
      </c>
      <c r="AQ97" s="88"/>
    </row>
    <row r="98" spans="5:43" x14ac:dyDescent="0.25">
      <c r="E98" s="96"/>
      <c r="F98" s="293" t="s">
        <v>51</v>
      </c>
      <c r="G98" s="293" t="s">
        <v>427</v>
      </c>
      <c r="J98" s="273">
        <f>'Pseudo-load coefficients'!J288</f>
        <v>0</v>
      </c>
      <c r="K98" s="273">
        <f>'Pseudo-load coefficients'!K288</f>
        <v>0</v>
      </c>
      <c r="L98" s="273">
        <f>'Pseudo-load coefficients'!L288</f>
        <v>0</v>
      </c>
      <c r="M98" s="273">
        <f>'Pseudo-load coefficients'!M288</f>
        <v>0</v>
      </c>
      <c r="N98" s="273">
        <f>'Pseudo-load coefficients'!N288</f>
        <v>0</v>
      </c>
      <c r="O98" s="273">
        <f>'Pseudo-load coefficients'!O288</f>
        <v>0</v>
      </c>
      <c r="P98" s="273">
        <f>'Pseudo-load coefficients'!P288</f>
        <v>0</v>
      </c>
      <c r="Q98" s="273">
        <f>'Pseudo-load coefficients'!Q288</f>
        <v>0</v>
      </c>
      <c r="R98" s="273">
        <f>'Pseudo-load coefficients'!R288</f>
        <v>0</v>
      </c>
      <c r="S98" s="273">
        <f>'Pseudo-load coefficients'!S288</f>
        <v>0</v>
      </c>
      <c r="T98" s="273">
        <f>'Pseudo-load coefficients'!T288</f>
        <v>0</v>
      </c>
      <c r="U98" s="273">
        <f>'Pseudo-load coefficients'!U288</f>
        <v>0</v>
      </c>
      <c r="V98" s="273">
        <f>'Pseudo-load coefficients'!V288</f>
        <v>0</v>
      </c>
      <c r="W98" s="273">
        <f>'Pseudo-load coefficients'!W288</f>
        <v>0</v>
      </c>
      <c r="X98" s="273">
        <f>'Pseudo-load coefficients'!X288</f>
        <v>0</v>
      </c>
      <c r="Y98" s="273">
        <f>'Pseudo-load coefficients'!Y288</f>
        <v>0</v>
      </c>
      <c r="AQ98" s="88"/>
    </row>
    <row r="99" spans="5:43" x14ac:dyDescent="0.25">
      <c r="E99" s="96"/>
      <c r="F99" s="293" t="s">
        <v>48</v>
      </c>
      <c r="G99" s="293" t="s">
        <v>427</v>
      </c>
      <c r="J99" s="273">
        <f>'Pseudo-load coefficients'!J289</f>
        <v>1.7500652925392015</v>
      </c>
      <c r="K99" s="273">
        <f>'Pseudo-load coefficients'!K289</f>
        <v>1.7500652925392015</v>
      </c>
      <c r="L99" s="273">
        <f>'Pseudo-load coefficients'!L289</f>
        <v>1.5424768421539015</v>
      </c>
      <c r="M99" s="273">
        <f>'Pseudo-load coefficients'!M289</f>
        <v>1.5424768421539015</v>
      </c>
      <c r="N99" s="273">
        <f>'Pseudo-load coefficients'!N289</f>
        <v>1.351034311395398</v>
      </c>
      <c r="O99" s="273">
        <f>'Pseudo-load coefficients'!O289</f>
        <v>1.1261676836103258</v>
      </c>
      <c r="P99" s="273">
        <f>'Pseudo-load coefficients'!P289</f>
        <v>1.1920459259131184</v>
      </c>
      <c r="Q99" s="273">
        <f>'Pseudo-load coefficients'!Q289</f>
        <v>1.108665834993525</v>
      </c>
      <c r="R99" s="273">
        <f>'Pseudo-load coefficients'!R289</f>
        <v>1.1877585416519114</v>
      </c>
      <c r="S99" s="273">
        <f>'Pseudo-load coefficients'!S289</f>
        <v>1.1877585416519114</v>
      </c>
      <c r="T99" s="273">
        <f>'Pseudo-load coefficients'!T289</f>
        <v>1.1877585416519114</v>
      </c>
      <c r="U99" s="273">
        <f>'Pseudo-load coefficients'!U289</f>
        <v>1.1877585416519114</v>
      </c>
      <c r="V99" s="273">
        <f>'Pseudo-load coefficients'!V289</f>
        <v>1.1877585416519114</v>
      </c>
      <c r="W99" s="273">
        <f>'Pseudo-load coefficients'!W289</f>
        <v>1.1877585416519114</v>
      </c>
      <c r="X99" s="273">
        <f>'Pseudo-load coefficients'!X289</f>
        <v>1.1877585416519114</v>
      </c>
      <c r="Y99" s="273">
        <f>'Pseudo-load coefficients'!Y289</f>
        <v>1.1877585416519114</v>
      </c>
      <c r="AQ99" s="88"/>
    </row>
    <row r="100" spans="5:43" x14ac:dyDescent="0.25">
      <c r="E100" s="96"/>
      <c r="F100" s="293" t="s">
        <v>49</v>
      </c>
      <c r="G100" s="293" t="s">
        <v>427</v>
      </c>
      <c r="J100" s="273">
        <f>'Pseudo-load coefficients'!J290</f>
        <v>1.7500652925392015</v>
      </c>
      <c r="K100" s="273">
        <f>'Pseudo-load coefficients'!K290</f>
        <v>1.7500652925392015</v>
      </c>
      <c r="L100" s="273">
        <f>'Pseudo-load coefficients'!L290</f>
        <v>1.5424768421539015</v>
      </c>
      <c r="M100" s="273">
        <f>'Pseudo-load coefficients'!M290</f>
        <v>1.5424768421539015</v>
      </c>
      <c r="N100" s="273">
        <f>'Pseudo-load coefficients'!N290</f>
        <v>1.351034311395398</v>
      </c>
      <c r="O100" s="273">
        <f>'Pseudo-load coefficients'!O290</f>
        <v>1.1261676836103258</v>
      </c>
      <c r="P100" s="273">
        <f>'Pseudo-load coefficients'!P290</f>
        <v>1.1920459259131184</v>
      </c>
      <c r="Q100" s="273">
        <f>'Pseudo-load coefficients'!Q290</f>
        <v>1.108665834993525</v>
      </c>
      <c r="R100" s="273">
        <f>'Pseudo-load coefficients'!R290</f>
        <v>1.1877585416519114</v>
      </c>
      <c r="S100" s="273">
        <f>'Pseudo-load coefficients'!S290</f>
        <v>1.1877585416519114</v>
      </c>
      <c r="T100" s="273">
        <f>'Pseudo-load coefficients'!T290</f>
        <v>1.1877585416519114</v>
      </c>
      <c r="U100" s="273">
        <f>'Pseudo-load coefficients'!U290</f>
        <v>1.1877585416519114</v>
      </c>
      <c r="V100" s="273">
        <f>'Pseudo-load coefficients'!V290</f>
        <v>1.1877585416519114</v>
      </c>
      <c r="W100" s="273">
        <f>'Pseudo-load coefficients'!W290</f>
        <v>1.1877585416519114</v>
      </c>
      <c r="X100" s="273">
        <f>'Pseudo-load coefficients'!X290</f>
        <v>1.1877585416519114</v>
      </c>
      <c r="Y100" s="273">
        <f>'Pseudo-load coefficients'!Y290</f>
        <v>1.1877585416519114</v>
      </c>
      <c r="AQ100" s="88"/>
    </row>
    <row r="101" spans="5:43" x14ac:dyDescent="0.25">
      <c r="E101" s="96"/>
      <c r="F101" s="93" t="s">
        <v>50</v>
      </c>
      <c r="G101" s="93" t="s">
        <v>427</v>
      </c>
      <c r="H101" s="93"/>
      <c r="I101" s="93"/>
      <c r="J101" s="274">
        <f>'Pseudo-load coefficients'!J291</f>
        <v>1.7500652925392015</v>
      </c>
      <c r="K101" s="274">
        <f>'Pseudo-load coefficients'!K291</f>
        <v>1.7500652925392015</v>
      </c>
      <c r="L101" s="274">
        <f>'Pseudo-load coefficients'!L291</f>
        <v>1.5424768421539015</v>
      </c>
      <c r="M101" s="274">
        <f>'Pseudo-load coefficients'!M291</f>
        <v>1.5424768421539015</v>
      </c>
      <c r="N101" s="274">
        <f>'Pseudo-load coefficients'!N291</f>
        <v>1.351034311395398</v>
      </c>
      <c r="O101" s="274">
        <f>'Pseudo-load coefficients'!O291</f>
        <v>1.1261676836103258</v>
      </c>
      <c r="P101" s="274">
        <f>'Pseudo-load coefficients'!P291</f>
        <v>1.1920459259131184</v>
      </c>
      <c r="Q101" s="274">
        <f>'Pseudo-load coefficients'!Q291</f>
        <v>1.108665834993525</v>
      </c>
      <c r="R101" s="274">
        <f>'Pseudo-load coefficients'!R291</f>
        <v>1.1877585416519114</v>
      </c>
      <c r="S101" s="274">
        <f>'Pseudo-load coefficients'!S291</f>
        <v>1.1877585416519114</v>
      </c>
      <c r="T101" s="274">
        <f>'Pseudo-load coefficients'!T291</f>
        <v>1.1877585416519114</v>
      </c>
      <c r="U101" s="274">
        <f>'Pseudo-load coefficients'!U291</f>
        <v>1.1877585416519114</v>
      </c>
      <c r="V101" s="274">
        <f>'Pseudo-load coefficients'!V291</f>
        <v>1.1877585416519114</v>
      </c>
      <c r="W101" s="274">
        <f>'Pseudo-load coefficients'!W291</f>
        <v>1.1877585416519114</v>
      </c>
      <c r="X101" s="274">
        <f>'Pseudo-load coefficients'!X291</f>
        <v>1.1877585416519114</v>
      </c>
      <c r="Y101" s="274">
        <f>'Pseudo-load coefficients'!Y291</f>
        <v>1.1877585416519114</v>
      </c>
      <c r="AQ101" s="88"/>
    </row>
    <row r="102" spans="5:43" x14ac:dyDescent="0.25">
      <c r="E102" s="96"/>
      <c r="J102" s="252"/>
      <c r="K102" s="252"/>
      <c r="L102" s="252"/>
      <c r="M102" s="252"/>
      <c r="N102" s="252"/>
      <c r="O102" s="252"/>
      <c r="P102" s="252"/>
      <c r="Q102" s="252"/>
      <c r="R102" s="252"/>
      <c r="S102" s="252"/>
      <c r="T102" s="252"/>
      <c r="U102" s="252"/>
      <c r="V102" s="252"/>
      <c r="W102" s="252"/>
      <c r="X102" s="252"/>
      <c r="Y102" s="252"/>
      <c r="AQ102" s="88"/>
    </row>
    <row r="103" spans="5:43" x14ac:dyDescent="0.25">
      <c r="E103" s="96" t="s">
        <v>524</v>
      </c>
      <c r="J103" s="252"/>
      <c r="K103" s="252"/>
      <c r="L103" s="252"/>
      <c r="M103" s="252"/>
      <c r="N103" s="252"/>
      <c r="O103" s="252"/>
      <c r="P103" s="252"/>
      <c r="Q103" s="252"/>
      <c r="R103" s="252"/>
      <c r="S103" s="252"/>
      <c r="T103" s="252"/>
      <c r="U103" s="252"/>
      <c r="V103" s="252"/>
      <c r="W103" s="252"/>
      <c r="X103" s="252"/>
      <c r="Y103" s="252"/>
      <c r="AQ103" s="88"/>
    </row>
    <row r="104" spans="5:43" x14ac:dyDescent="0.25">
      <c r="E104" s="82" t="s">
        <v>348</v>
      </c>
      <c r="J104" s="252"/>
      <c r="K104" s="252"/>
      <c r="L104" s="252"/>
      <c r="M104" s="252"/>
      <c r="N104" s="252"/>
      <c r="O104" s="252"/>
      <c r="P104" s="252"/>
      <c r="Q104" s="252"/>
      <c r="R104" s="252"/>
      <c r="S104" s="252"/>
      <c r="T104" s="252"/>
      <c r="U104" s="252"/>
      <c r="V104" s="252"/>
      <c r="W104" s="252"/>
      <c r="X104" s="252"/>
      <c r="Y104" s="252"/>
      <c r="AQ104" s="88"/>
    </row>
    <row r="105" spans="5:43" x14ac:dyDescent="0.25">
      <c r="E105" s="96"/>
      <c r="F105" s="91" t="s">
        <v>43</v>
      </c>
      <c r="G105" s="91" t="s">
        <v>102</v>
      </c>
      <c r="H105" s="91"/>
      <c r="I105" s="91"/>
      <c r="J105" s="277">
        <f t="shared" ref="J105:Y105" si="10">J$57 * J34 * J93 / hours_in_year / $H45</f>
        <v>367.55376455040391</v>
      </c>
      <c r="K105" s="277">
        <f t="shared" si="10"/>
        <v>2.3447397596806558</v>
      </c>
      <c r="L105" s="277">
        <f t="shared" si="10"/>
        <v>91.65732623002269</v>
      </c>
      <c r="M105" s="277">
        <f t="shared" si="10"/>
        <v>0.39036226574895549</v>
      </c>
      <c r="N105" s="277">
        <f t="shared" si="10"/>
        <v>123.99752734481946</v>
      </c>
      <c r="O105" s="277">
        <f t="shared" si="10"/>
        <v>6.3362607979407235</v>
      </c>
      <c r="P105" s="277">
        <f t="shared" si="10"/>
        <v>81.736229094014661</v>
      </c>
      <c r="Q105" s="277">
        <f t="shared" si="10"/>
        <v>5.1822504005145822</v>
      </c>
      <c r="R105" s="277">
        <f t="shared" si="10"/>
        <v>-0.20318739284137946</v>
      </c>
      <c r="S105" s="277">
        <f t="shared" si="10"/>
        <v>-7.4603490807734806E-3</v>
      </c>
      <c r="T105" s="277">
        <f t="shared" si="10"/>
        <v>-1.1913957862754545</v>
      </c>
      <c r="U105" s="277">
        <f t="shared" si="10"/>
        <v>0</v>
      </c>
      <c r="V105" s="277">
        <f t="shared" si="10"/>
        <v>0</v>
      </c>
      <c r="W105" s="277">
        <f t="shared" si="10"/>
        <v>0</v>
      </c>
      <c r="X105" s="277">
        <f t="shared" si="10"/>
        <v>-18.416432359995245</v>
      </c>
      <c r="Y105" s="277">
        <f t="shared" si="10"/>
        <v>0</v>
      </c>
      <c r="AQ105" s="88"/>
    </row>
    <row r="106" spans="5:43" x14ac:dyDescent="0.25">
      <c r="E106" s="96"/>
      <c r="F106" s="293" t="s">
        <v>44</v>
      </c>
      <c r="G106" s="293" t="s">
        <v>102</v>
      </c>
      <c r="J106" s="252">
        <f t="shared" ref="J106:Y106" si="11">J$57 * J35 * J94 / hours_in_year / $H46</f>
        <v>611.87586025875896</v>
      </c>
      <c r="K106" s="252">
        <f t="shared" si="11"/>
        <v>3.9033463833310105</v>
      </c>
      <c r="L106" s="252">
        <f t="shared" si="11"/>
        <v>152.58422235074676</v>
      </c>
      <c r="M106" s="252">
        <f t="shared" si="11"/>
        <v>0.64984573742529483</v>
      </c>
      <c r="N106" s="252">
        <f t="shared" si="11"/>
        <v>206.42175657451588</v>
      </c>
      <c r="O106" s="252">
        <f t="shared" si="11"/>
        <v>10.548130370277201</v>
      </c>
      <c r="P106" s="252">
        <f t="shared" si="11"/>
        <v>136.06832609205622</v>
      </c>
      <c r="Q106" s="252">
        <f t="shared" si="11"/>
        <v>4.726008684266171</v>
      </c>
      <c r="R106" s="252">
        <f t="shared" si="11"/>
        <v>-0.33825108808402443</v>
      </c>
      <c r="S106" s="252">
        <f t="shared" si="11"/>
        <v>-1.2419427990929819E-2</v>
      </c>
      <c r="T106" s="252">
        <f t="shared" si="11"/>
        <v>-1.9833460895922503</v>
      </c>
      <c r="U106" s="252">
        <f t="shared" si="11"/>
        <v>0</v>
      </c>
      <c r="V106" s="252">
        <f t="shared" si="11"/>
        <v>0</v>
      </c>
      <c r="W106" s="252">
        <f t="shared" si="11"/>
        <v>0</v>
      </c>
      <c r="X106" s="252">
        <f t="shared" si="11"/>
        <v>-30.658291330394029</v>
      </c>
      <c r="Y106" s="252">
        <f t="shared" si="11"/>
        <v>0</v>
      </c>
      <c r="AQ106" s="88"/>
    </row>
    <row r="107" spans="5:43" x14ac:dyDescent="0.25">
      <c r="E107" s="96"/>
      <c r="F107" s="293" t="s">
        <v>45</v>
      </c>
      <c r="G107" s="293" t="s">
        <v>102</v>
      </c>
      <c r="J107" s="252">
        <f t="shared" ref="J107:Y107" si="12">J$57 * J36 * J95 / hours_in_year / $H47</f>
        <v>609.44778144820827</v>
      </c>
      <c r="K107" s="252">
        <f t="shared" si="12"/>
        <v>3.8878569135558876</v>
      </c>
      <c r="L107" s="252">
        <f t="shared" si="12"/>
        <v>151.97872940491047</v>
      </c>
      <c r="M107" s="252">
        <f t="shared" si="12"/>
        <v>0.64726698449900399</v>
      </c>
      <c r="N107" s="252">
        <f t="shared" si="12"/>
        <v>205.60262261985508</v>
      </c>
      <c r="O107" s="252">
        <f t="shared" si="12"/>
        <v>10.506272710077688</v>
      </c>
      <c r="P107" s="252">
        <f t="shared" si="12"/>
        <v>135.52837241708775</v>
      </c>
      <c r="Q107" s="252">
        <f t="shared" si="12"/>
        <v>4.7072546815508289</v>
      </c>
      <c r="R107" s="252">
        <f t="shared" si="12"/>
        <v>-0.33690882186146875</v>
      </c>
      <c r="S107" s="252">
        <f t="shared" si="12"/>
        <v>-1.2370144546521368E-2</v>
      </c>
      <c r="T107" s="252">
        <f t="shared" si="12"/>
        <v>-1.9754756686018049</v>
      </c>
      <c r="U107" s="252">
        <f t="shared" si="12"/>
        <v>0</v>
      </c>
      <c r="V107" s="252">
        <f t="shared" si="12"/>
        <v>0</v>
      </c>
      <c r="W107" s="252">
        <f t="shared" si="12"/>
        <v>0</v>
      </c>
      <c r="X107" s="252">
        <f t="shared" si="12"/>
        <v>-30.536631444162307</v>
      </c>
      <c r="Y107" s="252">
        <f t="shared" si="12"/>
        <v>0</v>
      </c>
      <c r="AQ107" s="88"/>
    </row>
    <row r="108" spans="5:43" x14ac:dyDescent="0.25">
      <c r="E108" s="96"/>
      <c r="F108" s="293" t="s">
        <v>46</v>
      </c>
      <c r="G108" s="293" t="s">
        <v>102</v>
      </c>
      <c r="J108" s="252">
        <f t="shared" ref="J108:Y108" si="13">J$57 * J37 * J96 / hours_in_year / $H48</f>
        <v>913.46014526646604</v>
      </c>
      <c r="K108" s="252">
        <f t="shared" si="13"/>
        <v>5.8272463189429118</v>
      </c>
      <c r="L108" s="252">
        <f t="shared" si="13"/>
        <v>227.79065978340935</v>
      </c>
      <c r="M108" s="252">
        <f t="shared" si="13"/>
        <v>0.9701447961327806</v>
      </c>
      <c r="N108" s="252">
        <f t="shared" si="13"/>
        <v>308.16389400780764</v>
      </c>
      <c r="O108" s="252">
        <f t="shared" si="13"/>
        <v>15.747143049978012</v>
      </c>
      <c r="P108" s="252">
        <f t="shared" si="13"/>
        <v>203.13433000225197</v>
      </c>
      <c r="Q108" s="252">
        <f t="shared" si="13"/>
        <v>6.4638627662870567</v>
      </c>
      <c r="R108" s="252">
        <f t="shared" si="13"/>
        <v>-0.50496989361062172</v>
      </c>
      <c r="S108" s="252">
        <f t="shared" si="13"/>
        <v>-1.8540774744608451E-2</v>
      </c>
      <c r="T108" s="252">
        <f t="shared" si="13"/>
        <v>-2.9609071460123513</v>
      </c>
      <c r="U108" s="252">
        <f t="shared" si="13"/>
        <v>0</v>
      </c>
      <c r="V108" s="252">
        <f t="shared" si="13"/>
        <v>0</v>
      </c>
      <c r="W108" s="252">
        <f t="shared" si="13"/>
        <v>0</v>
      </c>
      <c r="X108" s="252">
        <f t="shared" si="13"/>
        <v>-45.7692958183383</v>
      </c>
      <c r="Y108" s="252">
        <f t="shared" si="13"/>
        <v>0</v>
      </c>
      <c r="AQ108" s="88"/>
    </row>
    <row r="109" spans="5:43" x14ac:dyDescent="0.25">
      <c r="E109" s="96"/>
      <c r="F109" s="293" t="s">
        <v>47</v>
      </c>
      <c r="G109" s="293" t="s">
        <v>102</v>
      </c>
      <c r="J109" s="252">
        <f t="shared" ref="J109:Y109" si="14">J$57 * J38 * J97 / hours_in_year / $H49</f>
        <v>908.08685029431035</v>
      </c>
      <c r="K109" s="252">
        <f t="shared" si="14"/>
        <v>5.7929683994197179</v>
      </c>
      <c r="L109" s="252">
        <f t="shared" si="14"/>
        <v>226.45071472585988</v>
      </c>
      <c r="M109" s="252">
        <f t="shared" si="14"/>
        <v>0.96443806203788196</v>
      </c>
      <c r="N109" s="252">
        <f t="shared" si="14"/>
        <v>306.35116521952642</v>
      </c>
      <c r="O109" s="252">
        <f t="shared" si="14"/>
        <v>15.654512796742846</v>
      </c>
      <c r="P109" s="252">
        <f t="shared" si="14"/>
        <v>201.93942217870932</v>
      </c>
      <c r="Q109" s="252">
        <f t="shared" si="14"/>
        <v>6.4258400441324275</v>
      </c>
      <c r="R109" s="252">
        <f t="shared" si="14"/>
        <v>-0.50199948247173565</v>
      </c>
      <c r="S109" s="252">
        <f t="shared" si="14"/>
        <v>-1.8431711363757812E-2</v>
      </c>
      <c r="T109" s="252">
        <f t="shared" si="14"/>
        <v>-2.9434900451534549</v>
      </c>
      <c r="U109" s="252">
        <f t="shared" si="14"/>
        <v>0</v>
      </c>
      <c r="V109" s="252">
        <f t="shared" si="14"/>
        <v>0</v>
      </c>
      <c r="W109" s="252">
        <f t="shared" si="14"/>
        <v>0</v>
      </c>
      <c r="X109" s="252">
        <f t="shared" si="14"/>
        <v>-45.500064666465718</v>
      </c>
      <c r="Y109" s="252">
        <f t="shared" si="14"/>
        <v>0</v>
      </c>
      <c r="AQ109" s="88"/>
    </row>
    <row r="110" spans="5:43" x14ac:dyDescent="0.25">
      <c r="E110" s="96"/>
      <c r="F110" s="293" t="s">
        <v>51</v>
      </c>
      <c r="G110" s="293" t="s">
        <v>102</v>
      </c>
      <c r="J110" s="252">
        <f t="shared" ref="J110:Y110" si="15">J$57 * J39 * J98 / hours_in_year / $H50</f>
        <v>0</v>
      </c>
      <c r="K110" s="252">
        <f t="shared" si="15"/>
        <v>0</v>
      </c>
      <c r="L110" s="252">
        <f t="shared" si="15"/>
        <v>0</v>
      </c>
      <c r="M110" s="252">
        <f t="shared" si="15"/>
        <v>0</v>
      </c>
      <c r="N110" s="252">
        <f t="shared" si="15"/>
        <v>0</v>
      </c>
      <c r="O110" s="252">
        <f t="shared" si="15"/>
        <v>0</v>
      </c>
      <c r="P110" s="252">
        <f t="shared" si="15"/>
        <v>0</v>
      </c>
      <c r="Q110" s="252">
        <f t="shared" si="15"/>
        <v>0</v>
      </c>
      <c r="R110" s="252">
        <f t="shared" si="15"/>
        <v>0</v>
      </c>
      <c r="S110" s="252">
        <f t="shared" si="15"/>
        <v>0</v>
      </c>
      <c r="T110" s="252">
        <f t="shared" si="15"/>
        <v>0</v>
      </c>
      <c r="U110" s="252">
        <f t="shared" si="15"/>
        <v>0</v>
      </c>
      <c r="V110" s="252">
        <f t="shared" si="15"/>
        <v>0</v>
      </c>
      <c r="W110" s="252">
        <f t="shared" si="15"/>
        <v>0</v>
      </c>
      <c r="X110" s="252">
        <f t="shared" si="15"/>
        <v>0</v>
      </c>
      <c r="Y110" s="252">
        <f t="shared" si="15"/>
        <v>0</v>
      </c>
      <c r="AQ110" s="88"/>
    </row>
    <row r="111" spans="5:43" x14ac:dyDescent="0.25">
      <c r="E111" s="96"/>
      <c r="F111" s="293" t="s">
        <v>48</v>
      </c>
      <c r="G111" s="293" t="s">
        <v>102</v>
      </c>
      <c r="J111" s="252">
        <f t="shared" ref="J111:Y111" si="16">J$57 * J40 * J99 / hours_in_year / $H51</f>
        <v>1437.8008256343142</v>
      </c>
      <c r="K111" s="252">
        <f t="shared" si="16"/>
        <v>9.1721785695494802</v>
      </c>
      <c r="L111" s="252">
        <f t="shared" si="16"/>
        <v>358.54612859199318</v>
      </c>
      <c r="M111" s="252">
        <f t="shared" si="16"/>
        <v>1.5270233694297035</v>
      </c>
      <c r="N111" s="252">
        <f t="shared" si="16"/>
        <v>485.05488009644961</v>
      </c>
      <c r="O111" s="252">
        <f t="shared" si="16"/>
        <v>24.786254108585485</v>
      </c>
      <c r="P111" s="252">
        <f t="shared" si="16"/>
        <v>319.73667259091218</v>
      </c>
      <c r="Q111" s="252">
        <f t="shared" si="16"/>
        <v>9.7988865419693987</v>
      </c>
      <c r="R111" s="252">
        <f t="shared" si="16"/>
        <v>-0.79483065978979117</v>
      </c>
      <c r="S111" s="252">
        <f t="shared" si="16"/>
        <v>-2.918347491550544E-2</v>
      </c>
      <c r="T111" s="252">
        <f t="shared" si="16"/>
        <v>-4.6605150331120688</v>
      </c>
      <c r="U111" s="252">
        <f t="shared" si="16"/>
        <v>0</v>
      </c>
      <c r="V111" s="252">
        <f t="shared" si="16"/>
        <v>0</v>
      </c>
      <c r="W111" s="252">
        <f t="shared" si="16"/>
        <v>0</v>
      </c>
      <c r="X111" s="252">
        <f t="shared" si="16"/>
        <v>0</v>
      </c>
      <c r="Y111" s="252">
        <f t="shared" si="16"/>
        <v>0</v>
      </c>
      <c r="AQ111" s="88"/>
    </row>
    <row r="112" spans="5:43" x14ac:dyDescent="0.25">
      <c r="E112" s="96"/>
      <c r="F112" s="293" t="s">
        <v>49</v>
      </c>
      <c r="G112" s="293" t="s">
        <v>102</v>
      </c>
      <c r="J112" s="252">
        <f t="shared" ref="J112:Y112" si="17">J$57 * J41 * J100 / hours_in_year / $H52</f>
        <v>1417.1427677947404</v>
      </c>
      <c r="K112" s="252">
        <f t="shared" si="17"/>
        <v>9.0403943946996304</v>
      </c>
      <c r="L112" s="252">
        <f t="shared" si="17"/>
        <v>353.39460375590124</v>
      </c>
      <c r="M112" s="252">
        <f t="shared" si="17"/>
        <v>1.5050833784896214</v>
      </c>
      <c r="N112" s="252">
        <f t="shared" si="17"/>
        <v>478.08570078471899</v>
      </c>
      <c r="O112" s="252">
        <f t="shared" si="17"/>
        <v>24.430129767944887</v>
      </c>
      <c r="P112" s="252">
        <f t="shared" si="17"/>
        <v>0</v>
      </c>
      <c r="Q112" s="252">
        <f t="shared" si="17"/>
        <v>9.6580979422284585</v>
      </c>
      <c r="R112" s="252">
        <f t="shared" si="17"/>
        <v>-0.78341067904568484</v>
      </c>
      <c r="S112" s="252">
        <f t="shared" si="17"/>
        <v>0</v>
      </c>
      <c r="T112" s="252">
        <f t="shared" si="17"/>
        <v>-4.5935536102225276</v>
      </c>
      <c r="U112" s="252">
        <f t="shared" si="17"/>
        <v>0</v>
      </c>
      <c r="V112" s="252">
        <f t="shared" si="17"/>
        <v>0</v>
      </c>
      <c r="W112" s="252">
        <f t="shared" si="17"/>
        <v>0</v>
      </c>
      <c r="X112" s="252">
        <f t="shared" si="17"/>
        <v>0</v>
      </c>
      <c r="Y112" s="252">
        <f t="shared" si="17"/>
        <v>0</v>
      </c>
      <c r="AQ112" s="88"/>
    </row>
    <row r="113" spans="5:43" x14ac:dyDescent="0.25">
      <c r="E113" s="96"/>
      <c r="F113" s="93" t="s">
        <v>50</v>
      </c>
      <c r="G113" s="93" t="s">
        <v>102</v>
      </c>
      <c r="H113" s="93"/>
      <c r="I113" s="93"/>
      <c r="J113" s="271">
        <f t="shared" ref="J113:Y113" si="18">J$57 * J42 * J101 / hours_in_year / $H53</f>
        <v>1359.8318470383354</v>
      </c>
      <c r="K113" s="271">
        <f t="shared" si="18"/>
        <v>8.6747902096198661</v>
      </c>
      <c r="L113" s="271">
        <f t="shared" si="18"/>
        <v>339.10291022165524</v>
      </c>
      <c r="M113" s="271">
        <f t="shared" si="18"/>
        <v>1.4442160359771734</v>
      </c>
      <c r="N113" s="271">
        <f t="shared" si="18"/>
        <v>458.7513525912193</v>
      </c>
      <c r="O113" s="271">
        <f t="shared" si="18"/>
        <v>0</v>
      </c>
      <c r="P113" s="271">
        <f t="shared" si="18"/>
        <v>0</v>
      </c>
      <c r="Q113" s="271">
        <f t="shared" si="18"/>
        <v>9.2675130989765719</v>
      </c>
      <c r="R113" s="271">
        <f t="shared" si="18"/>
        <v>0</v>
      </c>
      <c r="S113" s="271">
        <f t="shared" si="18"/>
        <v>0</v>
      </c>
      <c r="T113" s="271">
        <f t="shared" si="18"/>
        <v>0</v>
      </c>
      <c r="U113" s="271">
        <f t="shared" si="18"/>
        <v>0</v>
      </c>
      <c r="V113" s="271">
        <f t="shared" si="18"/>
        <v>0</v>
      </c>
      <c r="W113" s="271">
        <f t="shared" si="18"/>
        <v>0</v>
      </c>
      <c r="X113" s="271">
        <f t="shared" si="18"/>
        <v>0</v>
      </c>
      <c r="Y113" s="271">
        <f t="shared" si="18"/>
        <v>0</v>
      </c>
      <c r="AQ113" s="88"/>
    </row>
    <row r="114" spans="5:43" x14ac:dyDescent="0.25">
      <c r="E114" s="96"/>
      <c r="J114" s="252"/>
      <c r="K114" s="252"/>
      <c r="L114" s="252"/>
      <c r="M114" s="252"/>
      <c r="N114" s="252"/>
      <c r="O114" s="252"/>
      <c r="P114" s="252"/>
      <c r="Q114" s="252"/>
      <c r="R114" s="252"/>
      <c r="S114" s="252"/>
      <c r="T114" s="252"/>
      <c r="U114" s="252"/>
      <c r="V114" s="252"/>
      <c r="W114" s="252"/>
      <c r="X114" s="252"/>
      <c r="Y114" s="252"/>
      <c r="AQ114" s="88"/>
    </row>
    <row r="115" spans="5:43" x14ac:dyDescent="0.25">
      <c r="E115" s="96" t="s">
        <v>250</v>
      </c>
      <c r="J115" s="252"/>
      <c r="K115" s="252"/>
      <c r="L115" s="252"/>
      <c r="M115" s="252"/>
      <c r="N115" s="252"/>
      <c r="O115" s="252"/>
      <c r="P115" s="252"/>
      <c r="Q115" s="252"/>
      <c r="R115" s="252"/>
      <c r="S115" s="252"/>
      <c r="T115" s="252"/>
      <c r="U115" s="252"/>
      <c r="V115" s="252"/>
      <c r="W115" s="252"/>
      <c r="X115" s="252"/>
      <c r="Y115" s="252"/>
      <c r="AQ115" s="88"/>
    </row>
    <row r="116" spans="5:43" x14ac:dyDescent="0.25">
      <c r="E116" s="96"/>
      <c r="F116" s="91" t="s">
        <v>43</v>
      </c>
      <c r="G116" s="91" t="s">
        <v>427</v>
      </c>
      <c r="H116" s="91"/>
      <c r="I116" s="91"/>
      <c r="J116" s="272">
        <f>'Pseudo-load coefficients'!J294</f>
        <v>0</v>
      </c>
      <c r="K116" s="272">
        <f>'Pseudo-load coefficients'!K294</f>
        <v>0</v>
      </c>
      <c r="L116" s="272">
        <f>'Pseudo-load coefficients'!L294</f>
        <v>0</v>
      </c>
      <c r="M116" s="272">
        <f>'Pseudo-load coefficients'!M294</f>
        <v>0</v>
      </c>
      <c r="N116" s="272">
        <f>'Pseudo-load coefficients'!N294</f>
        <v>0</v>
      </c>
      <c r="O116" s="272">
        <f>'Pseudo-load coefficients'!O294</f>
        <v>0</v>
      </c>
      <c r="P116" s="272">
        <f>'Pseudo-load coefficients'!P294</f>
        <v>0</v>
      </c>
      <c r="Q116" s="272">
        <f>'Pseudo-load coefficients'!Q294</f>
        <v>0</v>
      </c>
      <c r="R116" s="272">
        <f>'Pseudo-load coefficients'!R294</f>
        <v>0</v>
      </c>
      <c r="S116" s="272">
        <f>'Pseudo-load coefficients'!S294</f>
        <v>0</v>
      </c>
      <c r="T116" s="272">
        <f>'Pseudo-load coefficients'!T294</f>
        <v>0</v>
      </c>
      <c r="U116" s="272">
        <f>'Pseudo-load coefficients'!U294</f>
        <v>0</v>
      </c>
      <c r="V116" s="272">
        <f>'Pseudo-load coefficients'!V294</f>
        <v>0</v>
      </c>
      <c r="W116" s="272">
        <f>'Pseudo-load coefficients'!W294</f>
        <v>0</v>
      </c>
      <c r="X116" s="272">
        <f>'Pseudo-load coefficients'!X294</f>
        <v>0</v>
      </c>
      <c r="Y116" s="272">
        <f>'Pseudo-load coefficients'!Y294</f>
        <v>0</v>
      </c>
      <c r="AQ116" s="88"/>
    </row>
    <row r="117" spans="5:43" x14ac:dyDescent="0.25">
      <c r="E117" s="96"/>
      <c r="F117" s="293" t="s">
        <v>44</v>
      </c>
      <c r="G117" s="293" t="s">
        <v>427</v>
      </c>
      <c r="J117" s="273">
        <f>'Pseudo-load coefficients'!J295</f>
        <v>3.1085856954411718E-2</v>
      </c>
      <c r="K117" s="273">
        <f>'Pseudo-load coefficients'!K295</f>
        <v>3.1085856954411718E-2</v>
      </c>
      <c r="L117" s="273">
        <f>'Pseudo-load coefficients'!L295</f>
        <v>2.7398528886381432E-2</v>
      </c>
      <c r="M117" s="273">
        <f>'Pseudo-load coefficients'!M295</f>
        <v>2.7398528886381432E-2</v>
      </c>
      <c r="N117" s="273">
        <f>'Pseudo-load coefficients'!N295</f>
        <v>2.3997995688265855E-2</v>
      </c>
      <c r="O117" s="273">
        <f>'Pseudo-load coefficients'!O295</f>
        <v>2.0003760813174117E-2</v>
      </c>
      <c r="P117" s="273">
        <f>'Pseudo-load coefficients'!P295</f>
        <v>2.1173935220588014E-2</v>
      </c>
      <c r="Q117" s="273">
        <f>'Pseudo-load coefficients'!Q295</f>
        <v>2.0550710308923897E-2</v>
      </c>
      <c r="R117" s="273">
        <f>'Pseudo-load coefficients'!R295</f>
        <v>2.1097779768319658E-2</v>
      </c>
      <c r="S117" s="273">
        <f>'Pseudo-load coefficients'!S295</f>
        <v>2.1097779768319658E-2</v>
      </c>
      <c r="T117" s="273">
        <f>'Pseudo-load coefficients'!T295</f>
        <v>2.1097779768319658E-2</v>
      </c>
      <c r="U117" s="273">
        <f>'Pseudo-load coefficients'!U295</f>
        <v>2.1097779768319658E-2</v>
      </c>
      <c r="V117" s="273">
        <f>'Pseudo-load coefficients'!V295</f>
        <v>2.1097779768319658E-2</v>
      </c>
      <c r="W117" s="273">
        <f>'Pseudo-load coefficients'!W295</f>
        <v>2.1097779768319658E-2</v>
      </c>
      <c r="X117" s="273">
        <f>'Pseudo-load coefficients'!X295</f>
        <v>2.1097779768319658E-2</v>
      </c>
      <c r="Y117" s="273">
        <f>'Pseudo-load coefficients'!Y295</f>
        <v>2.1097779768319658E-2</v>
      </c>
      <c r="AQ117" s="88"/>
    </row>
    <row r="118" spans="5:43" x14ac:dyDescent="0.25">
      <c r="E118" s="96"/>
      <c r="F118" s="293" t="s">
        <v>45</v>
      </c>
      <c r="G118" s="293" t="s">
        <v>427</v>
      </c>
      <c r="J118" s="273">
        <f>'Pseudo-load coefficients'!J296</f>
        <v>3.1085856954411718E-2</v>
      </c>
      <c r="K118" s="273">
        <f>'Pseudo-load coefficients'!K296</f>
        <v>3.1085856954411718E-2</v>
      </c>
      <c r="L118" s="273">
        <f>'Pseudo-load coefficients'!L296</f>
        <v>2.7398528886381432E-2</v>
      </c>
      <c r="M118" s="273">
        <f>'Pseudo-load coefficients'!M296</f>
        <v>2.7398528886381432E-2</v>
      </c>
      <c r="N118" s="273">
        <f>'Pseudo-load coefficients'!N296</f>
        <v>2.3997995688265855E-2</v>
      </c>
      <c r="O118" s="273">
        <f>'Pseudo-load coefficients'!O296</f>
        <v>2.0003760813174117E-2</v>
      </c>
      <c r="P118" s="273">
        <f>'Pseudo-load coefficients'!P296</f>
        <v>2.1173935220588014E-2</v>
      </c>
      <c r="Q118" s="273">
        <f>'Pseudo-load coefficients'!Q296</f>
        <v>2.0550710308923897E-2</v>
      </c>
      <c r="R118" s="273">
        <f>'Pseudo-load coefficients'!R296</f>
        <v>2.1097779768319658E-2</v>
      </c>
      <c r="S118" s="273">
        <f>'Pseudo-load coefficients'!S296</f>
        <v>2.1097779768319658E-2</v>
      </c>
      <c r="T118" s="273">
        <f>'Pseudo-load coefficients'!T296</f>
        <v>2.1097779768319658E-2</v>
      </c>
      <c r="U118" s="273">
        <f>'Pseudo-load coefficients'!U296</f>
        <v>2.1097779768319658E-2</v>
      </c>
      <c r="V118" s="273">
        <f>'Pseudo-load coefficients'!V296</f>
        <v>2.1097779768319658E-2</v>
      </c>
      <c r="W118" s="273">
        <f>'Pseudo-load coefficients'!W296</f>
        <v>2.1097779768319658E-2</v>
      </c>
      <c r="X118" s="273">
        <f>'Pseudo-load coefficients'!X296</f>
        <v>2.1097779768319658E-2</v>
      </c>
      <c r="Y118" s="273">
        <f>'Pseudo-load coefficients'!Y296</f>
        <v>2.1097779768319658E-2</v>
      </c>
      <c r="AQ118" s="88"/>
    </row>
    <row r="119" spans="5:43" x14ac:dyDescent="0.25">
      <c r="E119" s="96"/>
      <c r="F119" s="293" t="s">
        <v>46</v>
      </c>
      <c r="G119" s="293" t="s">
        <v>427</v>
      </c>
      <c r="J119" s="273">
        <f>'Pseudo-load coefficients'!J297</f>
        <v>4.7342374136145601E-2</v>
      </c>
      <c r="K119" s="273">
        <f>'Pseudo-load coefficients'!K297</f>
        <v>4.7342374136145601E-2</v>
      </c>
      <c r="L119" s="273">
        <f>'Pseudo-load coefficients'!L297</f>
        <v>4.1726737893097589E-2</v>
      </c>
      <c r="M119" s="273">
        <f>'Pseudo-load coefficients'!M297</f>
        <v>4.1726737893097589E-2</v>
      </c>
      <c r="N119" s="273">
        <f>'Pseudo-load coefficients'!N297</f>
        <v>3.6547877449788373E-2</v>
      </c>
      <c r="O119" s="273">
        <f>'Pseudo-load coefficients'!O297</f>
        <v>3.0464835823445269E-2</v>
      </c>
      <c r="P119" s="273">
        <f>'Pseudo-load coefficients'!P297</f>
        <v>3.2246959272111173E-2</v>
      </c>
      <c r="Q119" s="273">
        <f>'Pseudo-load coefficients'!Q297</f>
        <v>3.1297815518981288E-2</v>
      </c>
      <c r="R119" s="273">
        <f>'Pseudo-load coefficients'!R297</f>
        <v>3.2130977913801401E-2</v>
      </c>
      <c r="S119" s="273">
        <f>'Pseudo-load coefficients'!S297</f>
        <v>3.2130977913801401E-2</v>
      </c>
      <c r="T119" s="273">
        <f>'Pseudo-load coefficients'!T297</f>
        <v>3.2130977913801401E-2</v>
      </c>
      <c r="U119" s="273">
        <f>'Pseudo-load coefficients'!U297</f>
        <v>3.2130977913801401E-2</v>
      </c>
      <c r="V119" s="273">
        <f>'Pseudo-load coefficients'!V297</f>
        <v>3.2130977913801401E-2</v>
      </c>
      <c r="W119" s="273">
        <f>'Pseudo-load coefficients'!W297</f>
        <v>3.2130977913801401E-2</v>
      </c>
      <c r="X119" s="273">
        <f>'Pseudo-load coefficients'!X297</f>
        <v>3.2130977913801401E-2</v>
      </c>
      <c r="Y119" s="273">
        <f>'Pseudo-load coefficients'!Y297</f>
        <v>3.2130977913801401E-2</v>
      </c>
      <c r="AQ119" s="88"/>
    </row>
    <row r="120" spans="5:43" x14ac:dyDescent="0.25">
      <c r="E120" s="96"/>
      <c r="F120" s="293" t="s">
        <v>47</v>
      </c>
      <c r="G120" s="293" t="s">
        <v>427</v>
      </c>
      <c r="J120" s="273">
        <f>'Pseudo-load coefficients'!J298</f>
        <v>4.7342374136145601E-2</v>
      </c>
      <c r="K120" s="273">
        <f>'Pseudo-load coefficients'!K298</f>
        <v>4.7342374136145601E-2</v>
      </c>
      <c r="L120" s="273">
        <f>'Pseudo-load coefficients'!L298</f>
        <v>4.1726737893097589E-2</v>
      </c>
      <c r="M120" s="273">
        <f>'Pseudo-load coefficients'!M298</f>
        <v>4.1726737893097589E-2</v>
      </c>
      <c r="N120" s="273">
        <f>'Pseudo-load coefficients'!N298</f>
        <v>3.6547877449788373E-2</v>
      </c>
      <c r="O120" s="273">
        <f>'Pseudo-load coefficients'!O298</f>
        <v>3.0464835823445269E-2</v>
      </c>
      <c r="P120" s="273">
        <f>'Pseudo-load coefficients'!P298</f>
        <v>3.2246959272111173E-2</v>
      </c>
      <c r="Q120" s="273">
        <f>'Pseudo-load coefficients'!Q298</f>
        <v>3.1297815518981288E-2</v>
      </c>
      <c r="R120" s="273">
        <f>'Pseudo-load coefficients'!R298</f>
        <v>3.2130977913801401E-2</v>
      </c>
      <c r="S120" s="273">
        <f>'Pseudo-load coefficients'!S298</f>
        <v>3.2130977913801401E-2</v>
      </c>
      <c r="T120" s="273">
        <f>'Pseudo-load coefficients'!T298</f>
        <v>3.2130977913801401E-2</v>
      </c>
      <c r="U120" s="273">
        <f>'Pseudo-load coefficients'!U298</f>
        <v>3.2130977913801401E-2</v>
      </c>
      <c r="V120" s="273">
        <f>'Pseudo-load coefficients'!V298</f>
        <v>3.2130977913801401E-2</v>
      </c>
      <c r="W120" s="273">
        <f>'Pseudo-load coefficients'!W298</f>
        <v>3.2130977913801401E-2</v>
      </c>
      <c r="X120" s="273">
        <f>'Pseudo-load coefficients'!X298</f>
        <v>3.2130977913801401E-2</v>
      </c>
      <c r="Y120" s="273">
        <f>'Pseudo-load coefficients'!Y298</f>
        <v>3.2130977913801401E-2</v>
      </c>
      <c r="AQ120" s="88"/>
    </row>
    <row r="121" spans="5:43" x14ac:dyDescent="0.25">
      <c r="E121" s="96"/>
      <c r="F121" s="293" t="s">
        <v>51</v>
      </c>
      <c r="G121" s="293" t="s">
        <v>427</v>
      </c>
      <c r="J121" s="273">
        <f>'Pseudo-load coefficients'!J299</f>
        <v>0</v>
      </c>
      <c r="K121" s="273">
        <f>'Pseudo-load coefficients'!K299</f>
        <v>0</v>
      </c>
      <c r="L121" s="273">
        <f>'Pseudo-load coefficients'!L299</f>
        <v>0</v>
      </c>
      <c r="M121" s="273">
        <f>'Pseudo-load coefficients'!M299</f>
        <v>0</v>
      </c>
      <c r="N121" s="273">
        <f>'Pseudo-load coefficients'!N299</f>
        <v>0</v>
      </c>
      <c r="O121" s="273">
        <f>'Pseudo-load coefficients'!O299</f>
        <v>0</v>
      </c>
      <c r="P121" s="273">
        <f>'Pseudo-load coefficients'!P299</f>
        <v>0</v>
      </c>
      <c r="Q121" s="273">
        <f>'Pseudo-load coefficients'!Q299</f>
        <v>0</v>
      </c>
      <c r="R121" s="273">
        <f>'Pseudo-load coefficients'!R299</f>
        <v>0</v>
      </c>
      <c r="S121" s="273">
        <f>'Pseudo-load coefficients'!S299</f>
        <v>0</v>
      </c>
      <c r="T121" s="273">
        <f>'Pseudo-load coefficients'!T299</f>
        <v>0</v>
      </c>
      <c r="U121" s="273">
        <f>'Pseudo-load coefficients'!U299</f>
        <v>0</v>
      </c>
      <c r="V121" s="273">
        <f>'Pseudo-load coefficients'!V299</f>
        <v>0</v>
      </c>
      <c r="W121" s="273">
        <f>'Pseudo-load coefficients'!W299</f>
        <v>0</v>
      </c>
      <c r="X121" s="273">
        <f>'Pseudo-load coefficients'!X299</f>
        <v>0</v>
      </c>
      <c r="Y121" s="273">
        <f>'Pseudo-load coefficients'!Y299</f>
        <v>0</v>
      </c>
      <c r="AQ121" s="88"/>
    </row>
    <row r="122" spans="5:43" x14ac:dyDescent="0.25">
      <c r="E122" s="96"/>
      <c r="F122" s="293" t="s">
        <v>48</v>
      </c>
      <c r="G122" s="293" t="s">
        <v>427</v>
      </c>
      <c r="J122" s="273">
        <f>'Pseudo-load coefficients'!J300</f>
        <v>9.3800556937016832E-2</v>
      </c>
      <c r="K122" s="273">
        <f>'Pseudo-load coefficients'!K300</f>
        <v>9.3800556937016832E-2</v>
      </c>
      <c r="L122" s="273">
        <f>'Pseudo-load coefficients'!L300</f>
        <v>8.2674165057327997E-2</v>
      </c>
      <c r="M122" s="273">
        <f>'Pseudo-load coefficients'!M300</f>
        <v>8.2674165057327997E-2</v>
      </c>
      <c r="N122" s="273">
        <f>'Pseudo-load coefficients'!N300</f>
        <v>7.2413167320195093E-2</v>
      </c>
      <c r="O122" s="273">
        <f>'Pseudo-load coefficients'!O300</f>
        <v>6.0360694185215655E-2</v>
      </c>
      <c r="P122" s="273">
        <f>'Pseudo-load coefficients'!P300</f>
        <v>6.3891657198068663E-2</v>
      </c>
      <c r="Q122" s="273">
        <f>'Pseudo-load coefficients'!Q300</f>
        <v>6.2011096404880652E-2</v>
      </c>
      <c r="R122" s="273">
        <f>'Pseudo-load coefficients'!R300</f>
        <v>6.3661860610924922E-2</v>
      </c>
      <c r="S122" s="273">
        <f>'Pseudo-load coefficients'!S300</f>
        <v>6.3661860610924922E-2</v>
      </c>
      <c r="T122" s="273">
        <f>'Pseudo-load coefficients'!T300</f>
        <v>6.3661860610924922E-2</v>
      </c>
      <c r="U122" s="273">
        <f>'Pseudo-load coefficients'!U300</f>
        <v>6.3661860610924922E-2</v>
      </c>
      <c r="V122" s="273">
        <f>'Pseudo-load coefficients'!V300</f>
        <v>6.3661860610924922E-2</v>
      </c>
      <c r="W122" s="273">
        <f>'Pseudo-load coefficients'!W300</f>
        <v>6.3661860610924922E-2</v>
      </c>
      <c r="X122" s="273">
        <f>'Pseudo-load coefficients'!X300</f>
        <v>6.3661860610924922E-2</v>
      </c>
      <c r="Y122" s="273">
        <f>'Pseudo-load coefficients'!Y300</f>
        <v>6.3661860610924922E-2</v>
      </c>
      <c r="AQ122" s="88"/>
    </row>
    <row r="123" spans="5:43" x14ac:dyDescent="0.25">
      <c r="E123" s="96"/>
      <c r="F123" s="293" t="s">
        <v>49</v>
      </c>
      <c r="G123" s="293" t="s">
        <v>427</v>
      </c>
      <c r="J123" s="273">
        <f>'Pseudo-load coefficients'!J301</f>
        <v>9.3800556937016832E-2</v>
      </c>
      <c r="K123" s="273">
        <f>'Pseudo-load coefficients'!K301</f>
        <v>9.3800556937016832E-2</v>
      </c>
      <c r="L123" s="273">
        <f>'Pseudo-load coefficients'!L301</f>
        <v>8.2674165057327997E-2</v>
      </c>
      <c r="M123" s="273">
        <f>'Pseudo-load coefficients'!M301</f>
        <v>8.2674165057327997E-2</v>
      </c>
      <c r="N123" s="273">
        <f>'Pseudo-load coefficients'!N301</f>
        <v>7.2413167320195093E-2</v>
      </c>
      <c r="O123" s="273">
        <f>'Pseudo-load coefficients'!O301</f>
        <v>6.0360694185215655E-2</v>
      </c>
      <c r="P123" s="273">
        <f>'Pseudo-load coefficients'!P301</f>
        <v>6.3891657198068663E-2</v>
      </c>
      <c r="Q123" s="273">
        <f>'Pseudo-load coefficients'!Q301</f>
        <v>6.2011096404880652E-2</v>
      </c>
      <c r="R123" s="273">
        <f>'Pseudo-load coefficients'!R301</f>
        <v>6.3661860610924922E-2</v>
      </c>
      <c r="S123" s="273">
        <f>'Pseudo-load coefficients'!S301</f>
        <v>6.3661860610924922E-2</v>
      </c>
      <c r="T123" s="273">
        <f>'Pseudo-load coefficients'!T301</f>
        <v>6.3661860610924922E-2</v>
      </c>
      <c r="U123" s="273">
        <f>'Pseudo-load coefficients'!U301</f>
        <v>6.3661860610924922E-2</v>
      </c>
      <c r="V123" s="273">
        <f>'Pseudo-load coefficients'!V301</f>
        <v>6.3661860610924922E-2</v>
      </c>
      <c r="W123" s="273">
        <f>'Pseudo-load coefficients'!W301</f>
        <v>6.3661860610924922E-2</v>
      </c>
      <c r="X123" s="273">
        <f>'Pseudo-load coefficients'!X301</f>
        <v>6.3661860610924922E-2</v>
      </c>
      <c r="Y123" s="273">
        <f>'Pseudo-load coefficients'!Y301</f>
        <v>6.3661860610924922E-2</v>
      </c>
      <c r="AQ123" s="88"/>
    </row>
    <row r="124" spans="5:43" x14ac:dyDescent="0.25">
      <c r="E124" s="96"/>
      <c r="F124" s="93" t="s">
        <v>50</v>
      </c>
      <c r="G124" s="93" t="s">
        <v>427</v>
      </c>
      <c r="H124" s="93"/>
      <c r="I124" s="93"/>
      <c r="J124" s="274">
        <f>'Pseudo-load coefficients'!J302</f>
        <v>9.3800556937016832E-2</v>
      </c>
      <c r="K124" s="274">
        <f>'Pseudo-load coefficients'!K302</f>
        <v>9.3800556937016832E-2</v>
      </c>
      <c r="L124" s="274">
        <f>'Pseudo-load coefficients'!L302</f>
        <v>8.2674165057327997E-2</v>
      </c>
      <c r="M124" s="274">
        <f>'Pseudo-load coefficients'!M302</f>
        <v>8.2674165057327997E-2</v>
      </c>
      <c r="N124" s="274">
        <f>'Pseudo-load coefficients'!N302</f>
        <v>7.2413167320195093E-2</v>
      </c>
      <c r="O124" s="274">
        <f>'Pseudo-load coefficients'!O302</f>
        <v>6.0360694185215655E-2</v>
      </c>
      <c r="P124" s="274">
        <f>'Pseudo-load coefficients'!P302</f>
        <v>6.3891657198068663E-2</v>
      </c>
      <c r="Q124" s="274">
        <f>'Pseudo-load coefficients'!Q302</f>
        <v>6.2011096404880652E-2</v>
      </c>
      <c r="R124" s="274">
        <f>'Pseudo-load coefficients'!R302</f>
        <v>6.3661860610924922E-2</v>
      </c>
      <c r="S124" s="274">
        <f>'Pseudo-load coefficients'!S302</f>
        <v>6.3661860610924922E-2</v>
      </c>
      <c r="T124" s="274">
        <f>'Pseudo-load coefficients'!T302</f>
        <v>6.3661860610924922E-2</v>
      </c>
      <c r="U124" s="274">
        <f>'Pseudo-load coefficients'!U302</f>
        <v>6.3661860610924922E-2</v>
      </c>
      <c r="V124" s="274">
        <f>'Pseudo-load coefficients'!V302</f>
        <v>6.3661860610924922E-2</v>
      </c>
      <c r="W124" s="274">
        <f>'Pseudo-load coefficients'!W302</f>
        <v>6.3661860610924922E-2</v>
      </c>
      <c r="X124" s="274">
        <f>'Pseudo-load coefficients'!X302</f>
        <v>6.3661860610924922E-2</v>
      </c>
      <c r="Y124" s="274">
        <f>'Pseudo-load coefficients'!Y302</f>
        <v>6.3661860610924922E-2</v>
      </c>
      <c r="AQ124" s="88"/>
    </row>
    <row r="125" spans="5:43" x14ac:dyDescent="0.25">
      <c r="E125" s="96"/>
      <c r="J125" s="252"/>
      <c r="K125" s="252"/>
      <c r="L125" s="252"/>
      <c r="M125" s="252"/>
      <c r="N125" s="252"/>
      <c r="O125" s="252"/>
      <c r="P125" s="252"/>
      <c r="Q125" s="252"/>
      <c r="R125" s="252"/>
      <c r="S125" s="252"/>
      <c r="T125" s="252"/>
      <c r="U125" s="252"/>
      <c r="V125" s="252"/>
      <c r="W125" s="252"/>
      <c r="X125" s="252"/>
      <c r="Y125" s="252"/>
      <c r="AQ125" s="88"/>
    </row>
    <row r="126" spans="5:43" x14ac:dyDescent="0.25">
      <c r="E126" s="96" t="s">
        <v>525</v>
      </c>
      <c r="J126" s="252"/>
      <c r="K126" s="252"/>
      <c r="L126" s="252"/>
      <c r="M126" s="252"/>
      <c r="N126" s="252"/>
      <c r="O126" s="252"/>
      <c r="P126" s="252"/>
      <c r="Q126" s="252"/>
      <c r="R126" s="252"/>
      <c r="S126" s="252"/>
      <c r="T126" s="252"/>
      <c r="U126" s="252"/>
      <c r="V126" s="252"/>
      <c r="W126" s="252"/>
      <c r="X126" s="252"/>
      <c r="Y126" s="252"/>
      <c r="AQ126" s="88"/>
    </row>
    <row r="127" spans="5:43" x14ac:dyDescent="0.25">
      <c r="E127" s="82" t="s">
        <v>347</v>
      </c>
      <c r="J127" s="252"/>
      <c r="K127" s="252"/>
      <c r="L127" s="252"/>
      <c r="M127" s="252"/>
      <c r="N127" s="252"/>
      <c r="O127" s="252"/>
      <c r="P127" s="252"/>
      <c r="Q127" s="252"/>
      <c r="R127" s="252"/>
      <c r="S127" s="252"/>
      <c r="T127" s="252"/>
      <c r="U127" s="252"/>
      <c r="V127" s="252"/>
      <c r="W127" s="252"/>
      <c r="X127" s="252"/>
      <c r="Y127" s="252"/>
      <c r="AQ127" s="88"/>
    </row>
    <row r="128" spans="5:43" x14ac:dyDescent="0.25">
      <c r="E128" s="96"/>
      <c r="F128" s="91" t="s">
        <v>43</v>
      </c>
      <c r="G128" s="91" t="s">
        <v>102</v>
      </c>
      <c r="H128" s="91"/>
      <c r="I128" s="91"/>
      <c r="J128" s="277">
        <f t="shared" ref="J128:Y128" si="19">J$58 * J34 * J116 / hours_in_year / $H45</f>
        <v>0</v>
      </c>
      <c r="K128" s="277">
        <f t="shared" si="19"/>
        <v>0</v>
      </c>
      <c r="L128" s="277">
        <f t="shared" si="19"/>
        <v>0</v>
      </c>
      <c r="M128" s="277">
        <f t="shared" si="19"/>
        <v>0</v>
      </c>
      <c r="N128" s="277">
        <f t="shared" si="19"/>
        <v>0</v>
      </c>
      <c r="O128" s="277">
        <f t="shared" si="19"/>
        <v>0</v>
      </c>
      <c r="P128" s="277">
        <f t="shared" si="19"/>
        <v>0</v>
      </c>
      <c r="Q128" s="277">
        <f t="shared" si="19"/>
        <v>0</v>
      </c>
      <c r="R128" s="277">
        <f t="shared" si="19"/>
        <v>0</v>
      </c>
      <c r="S128" s="277">
        <f t="shared" si="19"/>
        <v>0</v>
      </c>
      <c r="T128" s="277">
        <f t="shared" si="19"/>
        <v>0</v>
      </c>
      <c r="U128" s="277">
        <f t="shared" si="19"/>
        <v>0</v>
      </c>
      <c r="V128" s="277">
        <f t="shared" si="19"/>
        <v>0</v>
      </c>
      <c r="W128" s="277">
        <f t="shared" si="19"/>
        <v>0</v>
      </c>
      <c r="X128" s="277">
        <f t="shared" si="19"/>
        <v>0</v>
      </c>
      <c r="Y128" s="277">
        <f t="shared" si="19"/>
        <v>0</v>
      </c>
      <c r="AQ128" s="88"/>
    </row>
    <row r="129" spans="3:43" x14ac:dyDescent="0.25">
      <c r="E129" s="96"/>
      <c r="F129" s="293" t="s">
        <v>44</v>
      </c>
      <c r="G129" s="293" t="s">
        <v>102</v>
      </c>
      <c r="J129" s="252">
        <f t="shared" ref="J129:Y129" si="20">J$58 * J35 * J117 / hours_in_year / $H46</f>
        <v>14.459480010365775</v>
      </c>
      <c r="K129" s="252">
        <f t="shared" si="20"/>
        <v>0.4083144196915135</v>
      </c>
      <c r="L129" s="252">
        <f t="shared" si="20"/>
        <v>2.8993390551393787</v>
      </c>
      <c r="M129" s="252">
        <f t="shared" si="20"/>
        <v>7.8030689101585504E-2</v>
      </c>
      <c r="N129" s="252">
        <f t="shared" si="20"/>
        <v>4.6340934454924252</v>
      </c>
      <c r="O129" s="252">
        <f t="shared" si="20"/>
        <v>0.29306457036399292</v>
      </c>
      <c r="P129" s="252">
        <f t="shared" si="20"/>
        <v>3.9909773994501303</v>
      </c>
      <c r="Q129" s="252">
        <f t="shared" si="20"/>
        <v>0.27948271764686444</v>
      </c>
      <c r="R129" s="252">
        <f t="shared" si="20"/>
        <v>-1.9034742187255143E-3</v>
      </c>
      <c r="S129" s="252">
        <f t="shared" si="20"/>
        <v>-8.2859533434780723E-5</v>
      </c>
      <c r="T129" s="252">
        <f t="shared" si="20"/>
        <v>-2.2244489811543155E-2</v>
      </c>
      <c r="U129" s="252">
        <f t="shared" si="20"/>
        <v>0</v>
      </c>
      <c r="V129" s="252">
        <f t="shared" si="20"/>
        <v>0</v>
      </c>
      <c r="W129" s="252">
        <f t="shared" si="20"/>
        <v>0</v>
      </c>
      <c r="X129" s="252">
        <f t="shared" si="20"/>
        <v>-0.64237159849866443</v>
      </c>
      <c r="Y129" s="252">
        <f t="shared" si="20"/>
        <v>0</v>
      </c>
      <c r="AQ129" s="88"/>
    </row>
    <row r="130" spans="3:43" x14ac:dyDescent="0.25">
      <c r="E130" s="96"/>
      <c r="F130" s="293" t="s">
        <v>45</v>
      </c>
      <c r="G130" s="293" t="s">
        <v>102</v>
      </c>
      <c r="J130" s="252">
        <f t="shared" ref="J130:Y130" si="21">J$58 * J36 * J118 / hours_in_year / $H47</f>
        <v>14.402101121435752</v>
      </c>
      <c r="K130" s="252">
        <f t="shared" si="21"/>
        <v>0.4066941243752773</v>
      </c>
      <c r="L130" s="252">
        <f t="shared" si="21"/>
        <v>2.887833741428508</v>
      </c>
      <c r="M130" s="252">
        <f t="shared" si="21"/>
        <v>7.7721043509912546E-2</v>
      </c>
      <c r="N130" s="252">
        <f t="shared" si="21"/>
        <v>4.6157041857880907</v>
      </c>
      <c r="O130" s="252">
        <f t="shared" si="21"/>
        <v>0.29190161571969131</v>
      </c>
      <c r="P130" s="252">
        <f t="shared" si="21"/>
        <v>3.9751401875475501</v>
      </c>
      <c r="Q130" s="252">
        <f t="shared" si="21"/>
        <v>0.27837365924350388</v>
      </c>
      <c r="R130" s="252">
        <f t="shared" si="21"/>
        <v>-1.8959207496035877E-3</v>
      </c>
      <c r="S130" s="252">
        <f t="shared" si="21"/>
        <v>-8.2530725762420482E-5</v>
      </c>
      <c r="T130" s="252">
        <f t="shared" si="21"/>
        <v>-2.2156218026576715E-2</v>
      </c>
      <c r="U130" s="252">
        <f t="shared" si="21"/>
        <v>0</v>
      </c>
      <c r="V130" s="252">
        <f t="shared" si="21"/>
        <v>0</v>
      </c>
      <c r="W130" s="252">
        <f t="shared" si="21"/>
        <v>0</v>
      </c>
      <c r="X130" s="252">
        <f t="shared" si="21"/>
        <v>-0.63982250485382852</v>
      </c>
      <c r="Y130" s="252">
        <f t="shared" si="21"/>
        <v>0</v>
      </c>
      <c r="AQ130" s="88"/>
    </row>
    <row r="131" spans="3:43" x14ac:dyDescent="0.25">
      <c r="E131" s="96"/>
      <c r="F131" s="293" t="s">
        <v>46</v>
      </c>
      <c r="G131" s="293" t="s">
        <v>102</v>
      </c>
      <c r="J131" s="252">
        <f t="shared" ref="J131:Y131" si="22">J$58 * J37 * J119 / hours_in_year / $H48</f>
        <v>21.803972321051905</v>
      </c>
      <c r="K131" s="252">
        <f t="shared" si="22"/>
        <v>0.61571206563844605</v>
      </c>
      <c r="L131" s="252">
        <f t="shared" si="22"/>
        <v>4.3720181128425404</v>
      </c>
      <c r="M131" s="252">
        <f t="shared" si="22"/>
        <v>0.11766529530411088</v>
      </c>
      <c r="N131" s="252">
        <f t="shared" si="22"/>
        <v>6.9879169338212526</v>
      </c>
      <c r="O131" s="252">
        <f t="shared" si="22"/>
        <v>0.44192265392092944</v>
      </c>
      <c r="P131" s="252">
        <f t="shared" si="22"/>
        <v>6.0181390125489775</v>
      </c>
      <c r="Q131" s="252">
        <f t="shared" si="22"/>
        <v>0.42144208750356338</v>
      </c>
      <c r="R131" s="252">
        <f t="shared" si="22"/>
        <v>-2.8703175459403761E-3</v>
      </c>
      <c r="S131" s="252">
        <f t="shared" si="22"/>
        <v>-1.2494688413774646E-4</v>
      </c>
      <c r="T131" s="252">
        <f t="shared" si="22"/>
        <v>-3.3543269868564166E-2</v>
      </c>
      <c r="U131" s="252">
        <f t="shared" si="22"/>
        <v>0</v>
      </c>
      <c r="V131" s="252">
        <f t="shared" si="22"/>
        <v>0</v>
      </c>
      <c r="W131" s="252">
        <f t="shared" si="22"/>
        <v>0</v>
      </c>
      <c r="X131" s="252">
        <f t="shared" si="22"/>
        <v>-0.96865534192473646</v>
      </c>
      <c r="Y131" s="252">
        <f t="shared" si="22"/>
        <v>0</v>
      </c>
      <c r="AQ131" s="88"/>
    </row>
    <row r="132" spans="3:43" x14ac:dyDescent="0.25">
      <c r="E132" s="96"/>
      <c r="F132" s="293" t="s">
        <v>47</v>
      </c>
      <c r="G132" s="293" t="s">
        <v>102</v>
      </c>
      <c r="J132" s="252">
        <f t="shared" ref="J132:Y132" si="23">J$58 * J38 * J120 / hours_in_year / $H49</f>
        <v>21.675713660339834</v>
      </c>
      <c r="K132" s="252">
        <f t="shared" si="23"/>
        <v>0.61209022995821982</v>
      </c>
      <c r="L132" s="252">
        <f t="shared" si="23"/>
        <v>4.3463003592375848</v>
      </c>
      <c r="M132" s="252">
        <f t="shared" si="23"/>
        <v>0.11697314650820435</v>
      </c>
      <c r="N132" s="252">
        <f t="shared" si="23"/>
        <v>6.9468115400928925</v>
      </c>
      <c r="O132" s="252">
        <f t="shared" si="23"/>
        <v>0.43932310889786513</v>
      </c>
      <c r="P132" s="252">
        <f t="shared" si="23"/>
        <v>5.9827381948281015</v>
      </c>
      <c r="Q132" s="252">
        <f t="shared" si="23"/>
        <v>0.41896301640060124</v>
      </c>
      <c r="R132" s="252">
        <f t="shared" si="23"/>
        <v>-2.8534333250819031E-3</v>
      </c>
      <c r="S132" s="252">
        <f t="shared" si="23"/>
        <v>-1.2421190246634796E-4</v>
      </c>
      <c r="T132" s="252">
        <f t="shared" si="23"/>
        <v>-3.3345956516396137E-2</v>
      </c>
      <c r="U132" s="252">
        <f t="shared" si="23"/>
        <v>0</v>
      </c>
      <c r="V132" s="252">
        <f t="shared" si="23"/>
        <v>0</v>
      </c>
      <c r="W132" s="252">
        <f t="shared" si="23"/>
        <v>0</v>
      </c>
      <c r="X132" s="252">
        <f t="shared" si="23"/>
        <v>-0.96295736932517917</v>
      </c>
      <c r="Y132" s="252">
        <f t="shared" si="23"/>
        <v>0</v>
      </c>
      <c r="AQ132" s="88"/>
    </row>
    <row r="133" spans="3:43" x14ac:dyDescent="0.25">
      <c r="E133" s="96"/>
      <c r="F133" s="293" t="s">
        <v>51</v>
      </c>
      <c r="G133" s="293" t="s">
        <v>102</v>
      </c>
      <c r="J133" s="252">
        <f t="shared" ref="J133:Y133" si="24">J$58 * J39 * J121 / hours_in_year / $H50</f>
        <v>0</v>
      </c>
      <c r="K133" s="252">
        <f t="shared" si="24"/>
        <v>0</v>
      </c>
      <c r="L133" s="252">
        <f t="shared" si="24"/>
        <v>0</v>
      </c>
      <c r="M133" s="252">
        <f t="shared" si="24"/>
        <v>0</v>
      </c>
      <c r="N133" s="252">
        <f t="shared" si="24"/>
        <v>0</v>
      </c>
      <c r="O133" s="252">
        <f t="shared" si="24"/>
        <v>0</v>
      </c>
      <c r="P133" s="252">
        <f t="shared" si="24"/>
        <v>0</v>
      </c>
      <c r="Q133" s="252">
        <f t="shared" si="24"/>
        <v>0</v>
      </c>
      <c r="R133" s="252">
        <f t="shared" si="24"/>
        <v>0</v>
      </c>
      <c r="S133" s="252">
        <f t="shared" si="24"/>
        <v>0</v>
      </c>
      <c r="T133" s="252">
        <f t="shared" si="24"/>
        <v>0</v>
      </c>
      <c r="U133" s="252">
        <f t="shared" si="24"/>
        <v>0</v>
      </c>
      <c r="V133" s="252">
        <f t="shared" si="24"/>
        <v>0</v>
      </c>
      <c r="W133" s="252">
        <f t="shared" si="24"/>
        <v>0</v>
      </c>
      <c r="X133" s="252">
        <f t="shared" si="24"/>
        <v>0</v>
      </c>
      <c r="Y133" s="252">
        <f t="shared" si="24"/>
        <v>0</v>
      </c>
      <c r="AQ133" s="88"/>
    </row>
    <row r="134" spans="3:43" x14ac:dyDescent="0.25">
      <c r="E134" s="96"/>
      <c r="F134" s="293" t="s">
        <v>48</v>
      </c>
      <c r="G134" s="293" t="s">
        <v>102</v>
      </c>
      <c r="J134" s="252">
        <f t="shared" ref="J134:Y134" si="25">J$58 * J40 * J122 / hours_in_year / $H51</f>
        <v>42.570973934127508</v>
      </c>
      <c r="K134" s="252">
        <f t="shared" si="25"/>
        <v>1.2021416057254266</v>
      </c>
      <c r="L134" s="252">
        <f t="shared" si="25"/>
        <v>8.5361083008554228</v>
      </c>
      <c r="M134" s="252">
        <f t="shared" si="25"/>
        <v>0.22973457063630415</v>
      </c>
      <c r="N134" s="252">
        <f t="shared" si="25"/>
        <v>13.643496940065878</v>
      </c>
      <c r="O134" s="252">
        <f t="shared" si="25"/>
        <v>0.86282799775911301</v>
      </c>
      <c r="P134" s="252">
        <f t="shared" si="25"/>
        <v>11.75006256946204</v>
      </c>
      <c r="Q134" s="252">
        <f t="shared" si="25"/>
        <v>0.8228408960387511</v>
      </c>
      <c r="R134" s="252">
        <f t="shared" si="25"/>
        <v>-5.6041262404703685E-3</v>
      </c>
      <c r="S134" s="252">
        <f t="shared" si="25"/>
        <v>-2.4395144469353464E-4</v>
      </c>
      <c r="T134" s="252">
        <f t="shared" si="25"/>
        <v>-6.549126215232505E-2</v>
      </c>
      <c r="U134" s="252">
        <f t="shared" si="25"/>
        <v>0</v>
      </c>
      <c r="V134" s="252">
        <f t="shared" si="25"/>
        <v>0</v>
      </c>
      <c r="W134" s="252">
        <f t="shared" si="25"/>
        <v>0</v>
      </c>
      <c r="X134" s="252">
        <f t="shared" si="25"/>
        <v>0</v>
      </c>
      <c r="Y134" s="252">
        <f t="shared" si="25"/>
        <v>0</v>
      </c>
      <c r="AQ134" s="88"/>
    </row>
    <row r="135" spans="3:43" x14ac:dyDescent="0.25">
      <c r="E135" s="96"/>
      <c r="F135" s="293" t="s">
        <v>49</v>
      </c>
      <c r="G135" s="293" t="s">
        <v>102</v>
      </c>
      <c r="J135" s="252">
        <f t="shared" ref="J135:Y135" si="26">J$58 * J41 * J123 / hours_in_year / $H52</f>
        <v>41.95932200978659</v>
      </c>
      <c r="K135" s="252">
        <f t="shared" si="26"/>
        <v>1.1848694562178772</v>
      </c>
      <c r="L135" s="252">
        <f t="shared" si="26"/>
        <v>8.4134630666477292</v>
      </c>
      <c r="M135" s="252">
        <f t="shared" si="26"/>
        <v>0.22643378657543767</v>
      </c>
      <c r="N135" s="252">
        <f t="shared" si="26"/>
        <v>13.447469685179872</v>
      </c>
      <c r="O135" s="252">
        <f t="shared" si="26"/>
        <v>0.85043104376832102</v>
      </c>
      <c r="P135" s="252">
        <f t="shared" si="26"/>
        <v>0</v>
      </c>
      <c r="Q135" s="252">
        <f t="shared" si="26"/>
        <v>0.81101846937152755</v>
      </c>
      <c r="R135" s="252">
        <f t="shared" si="26"/>
        <v>-5.5236071852911963E-3</v>
      </c>
      <c r="S135" s="252">
        <f t="shared" si="26"/>
        <v>0</v>
      </c>
      <c r="T135" s="252">
        <f t="shared" si="26"/>
        <v>-6.455029574209048E-2</v>
      </c>
      <c r="U135" s="252">
        <f t="shared" si="26"/>
        <v>0</v>
      </c>
      <c r="V135" s="252">
        <f t="shared" si="26"/>
        <v>0</v>
      </c>
      <c r="W135" s="252">
        <f t="shared" si="26"/>
        <v>0</v>
      </c>
      <c r="X135" s="252">
        <f t="shared" si="26"/>
        <v>0</v>
      </c>
      <c r="Y135" s="252">
        <f t="shared" si="26"/>
        <v>0</v>
      </c>
      <c r="AQ135" s="88"/>
    </row>
    <row r="136" spans="3:43" x14ac:dyDescent="0.25">
      <c r="E136" s="96"/>
      <c r="F136" s="93" t="s">
        <v>50</v>
      </c>
      <c r="G136" s="93" t="s">
        <v>102</v>
      </c>
      <c r="H136" s="93"/>
      <c r="I136" s="93"/>
      <c r="J136" s="271">
        <f t="shared" ref="J136:Y136" si="27">J$58 * J42 * J124 / hours_in_year / $H53</f>
        <v>40.262437663802572</v>
      </c>
      <c r="K136" s="271">
        <f t="shared" si="27"/>
        <v>1.1369519414443601</v>
      </c>
      <c r="L136" s="271">
        <f t="shared" si="27"/>
        <v>8.0732127220406511</v>
      </c>
      <c r="M136" s="271">
        <f t="shared" si="27"/>
        <v>0.21727653785363688</v>
      </c>
      <c r="N136" s="271">
        <f t="shared" si="27"/>
        <v>12.903638190558627</v>
      </c>
      <c r="O136" s="271">
        <f t="shared" si="27"/>
        <v>0</v>
      </c>
      <c r="P136" s="271">
        <f t="shared" si="27"/>
        <v>0</v>
      </c>
      <c r="Q136" s="271">
        <f t="shared" si="27"/>
        <v>0.77821992833076725</v>
      </c>
      <c r="R136" s="271">
        <f t="shared" si="27"/>
        <v>0</v>
      </c>
      <c r="S136" s="271">
        <f t="shared" si="27"/>
        <v>0</v>
      </c>
      <c r="T136" s="271">
        <f t="shared" si="27"/>
        <v>0</v>
      </c>
      <c r="U136" s="271">
        <f t="shared" si="27"/>
        <v>0</v>
      </c>
      <c r="V136" s="271">
        <f t="shared" si="27"/>
        <v>0</v>
      </c>
      <c r="W136" s="271">
        <f t="shared" si="27"/>
        <v>0</v>
      </c>
      <c r="X136" s="271">
        <f t="shared" si="27"/>
        <v>0</v>
      </c>
      <c r="Y136" s="271">
        <f t="shared" si="27"/>
        <v>0</v>
      </c>
      <c r="AQ136" s="88"/>
    </row>
    <row r="137" spans="3:43" x14ac:dyDescent="0.25">
      <c r="D137" s="96"/>
      <c r="J137" s="252"/>
      <c r="K137" s="252"/>
      <c r="L137" s="252"/>
      <c r="M137" s="252"/>
      <c r="N137" s="252"/>
      <c r="O137" s="252"/>
      <c r="P137" s="252"/>
      <c r="Q137" s="252"/>
      <c r="R137" s="252"/>
      <c r="S137" s="252"/>
      <c r="T137" s="252"/>
      <c r="U137" s="252"/>
      <c r="V137" s="252"/>
      <c r="W137" s="252"/>
      <c r="X137" s="252"/>
      <c r="Y137" s="252"/>
      <c r="AQ137" s="88"/>
    </row>
    <row r="138" spans="3:43" x14ac:dyDescent="0.25">
      <c r="C138" s="7" t="str">
        <f ca="1">INDEX('Version control'!$H$35:$H$61,MATCH($A$1,'Version control'!$F$35:$F$61,0),1)&amp;"-C: System peak load, all unit rates"</f>
        <v>Section 509-C: System peak load, all unit rates</v>
      </c>
      <c r="D138" s="7"/>
      <c r="E138" s="7"/>
      <c r="F138" s="7"/>
      <c r="G138" s="7"/>
      <c r="H138" s="7"/>
      <c r="I138" s="7"/>
      <c r="J138" s="242"/>
      <c r="K138" s="242"/>
      <c r="L138" s="242"/>
      <c r="M138" s="242"/>
      <c r="N138" s="242"/>
      <c r="O138" s="242"/>
      <c r="P138" s="242"/>
      <c r="Q138" s="242"/>
      <c r="R138" s="242"/>
      <c r="S138" s="242"/>
      <c r="T138" s="242"/>
      <c r="U138" s="242"/>
      <c r="V138" s="242"/>
      <c r="W138" s="242"/>
      <c r="X138" s="242"/>
      <c r="Y138" s="242"/>
      <c r="Z138" s="7"/>
      <c r="AA138" s="7"/>
      <c r="AQ138" s="88"/>
    </row>
    <row r="139" spans="3:43" x14ac:dyDescent="0.25">
      <c r="H139" s="90"/>
      <c r="J139" s="252"/>
      <c r="K139" s="252"/>
      <c r="L139" s="252"/>
      <c r="M139" s="252"/>
      <c r="N139" s="252"/>
      <c r="O139" s="252"/>
      <c r="P139" s="252"/>
      <c r="Q139" s="252"/>
      <c r="R139" s="252"/>
      <c r="S139" s="252"/>
      <c r="T139" s="252"/>
      <c r="U139" s="252"/>
      <c r="V139" s="252"/>
      <c r="W139" s="252"/>
      <c r="X139" s="252"/>
      <c r="Y139" s="252"/>
    </row>
    <row r="140" spans="3:43" x14ac:dyDescent="0.25">
      <c r="E140" s="96" t="s">
        <v>668</v>
      </c>
      <c r="J140" s="252"/>
      <c r="K140" s="252"/>
      <c r="L140" s="252"/>
      <c r="M140" s="252"/>
      <c r="N140" s="252"/>
      <c r="O140" s="252"/>
      <c r="P140" s="252"/>
      <c r="Q140" s="252"/>
      <c r="R140" s="252"/>
      <c r="S140" s="252"/>
      <c r="T140" s="252"/>
      <c r="U140" s="252"/>
      <c r="V140" s="252"/>
      <c r="W140" s="252"/>
      <c r="X140" s="252"/>
      <c r="Y140" s="252"/>
      <c r="AQ140" s="88"/>
    </row>
    <row r="141" spans="3:43" x14ac:dyDescent="0.25">
      <c r="E141" s="82" t="s">
        <v>346</v>
      </c>
      <c r="J141" s="252"/>
      <c r="K141" s="252"/>
      <c r="L141" s="252"/>
      <c r="M141" s="252"/>
      <c r="N141" s="252"/>
      <c r="O141" s="252"/>
      <c r="P141" s="252"/>
      <c r="Q141" s="252"/>
      <c r="R141" s="252"/>
      <c r="S141" s="252"/>
      <c r="T141" s="252"/>
      <c r="U141" s="252"/>
      <c r="V141" s="252"/>
      <c r="W141" s="252"/>
      <c r="X141" s="252"/>
      <c r="Y141" s="252"/>
      <c r="AQ141" s="88"/>
    </row>
    <row r="142" spans="3:43" x14ac:dyDescent="0.25">
      <c r="C142" s="96"/>
      <c r="F142" s="91" t="s">
        <v>43</v>
      </c>
      <c r="G142" s="91" t="s">
        <v>102</v>
      </c>
      <c r="H142" s="91"/>
      <c r="I142" s="91"/>
      <c r="J142" s="277">
        <f t="shared" ref="J142:Y150" si="28">J82 + J105 + J128</f>
        <v>3080.0891094503158</v>
      </c>
      <c r="K142" s="277">
        <f t="shared" si="28"/>
        <v>3.10751487425012</v>
      </c>
      <c r="L142" s="277">
        <f t="shared" si="28"/>
        <v>565.71622513540569</v>
      </c>
      <c r="M142" s="277">
        <f t="shared" si="28"/>
        <v>1.3078607744611517</v>
      </c>
      <c r="N142" s="277">
        <f t="shared" si="28"/>
        <v>831.41152776583044</v>
      </c>
      <c r="O142" s="277">
        <f t="shared" si="28"/>
        <v>43.970592315641667</v>
      </c>
      <c r="P142" s="277">
        <f t="shared" si="28"/>
        <v>558.4361090603586</v>
      </c>
      <c r="Q142" s="277">
        <f t="shared" si="28"/>
        <v>36.788663287526226</v>
      </c>
      <c r="R142" s="277">
        <f t="shared" si="28"/>
        <v>-1.0437077015083287</v>
      </c>
      <c r="S142" s="277">
        <f t="shared" si="28"/>
        <v>-4.0571539703495994E-2</v>
      </c>
      <c r="T142" s="277">
        <f t="shared" si="28"/>
        <v>-5.3309605485184965</v>
      </c>
      <c r="U142" s="277">
        <f t="shared" si="28"/>
        <v>0</v>
      </c>
      <c r="V142" s="277">
        <f t="shared" si="28"/>
        <v>0</v>
      </c>
      <c r="W142" s="277">
        <f t="shared" si="28"/>
        <v>0</v>
      </c>
      <c r="X142" s="277">
        <f t="shared" si="28"/>
        <v>-115.26174611731598</v>
      </c>
      <c r="Y142" s="277">
        <f t="shared" si="28"/>
        <v>0</v>
      </c>
      <c r="AQ142" s="88"/>
    </row>
    <row r="143" spans="3:43" x14ac:dyDescent="0.25">
      <c r="C143" s="96"/>
      <c r="F143" s="293" t="s">
        <v>44</v>
      </c>
      <c r="G143" s="293" t="s">
        <v>102</v>
      </c>
      <c r="J143" s="252">
        <f t="shared" si="28"/>
        <v>2986.6313927551273</v>
      </c>
      <c r="K143" s="252">
        <f t="shared" si="28"/>
        <v>4.9753849072034759</v>
      </c>
      <c r="L143" s="252">
        <f t="shared" si="28"/>
        <v>567.98301503918901</v>
      </c>
      <c r="M143" s="252">
        <f t="shared" si="28"/>
        <v>1.5262321465166218</v>
      </c>
      <c r="N143" s="252">
        <f t="shared" si="28"/>
        <v>826.60781906860075</v>
      </c>
      <c r="O143" s="252">
        <f t="shared" si="28"/>
        <v>43.588478505514587</v>
      </c>
      <c r="P143" s="252">
        <f t="shared" si="28"/>
        <v>554.85679065443549</v>
      </c>
      <c r="Q143" s="252">
        <f t="shared" si="28"/>
        <v>37.371281450417811</v>
      </c>
      <c r="R143" s="252">
        <f t="shared" si="28"/>
        <v>-1.0715281719816014</v>
      </c>
      <c r="S143" s="252">
        <f t="shared" si="28"/>
        <v>-4.1313787683013102E-2</v>
      </c>
      <c r="T143" s="252">
        <f t="shared" si="28"/>
        <v>-5.6076075579854789</v>
      </c>
      <c r="U143" s="252">
        <f t="shared" si="28"/>
        <v>0</v>
      </c>
      <c r="V143" s="252">
        <f t="shared" si="28"/>
        <v>0</v>
      </c>
      <c r="W143" s="252">
        <f t="shared" si="28"/>
        <v>0</v>
      </c>
      <c r="X143" s="252">
        <f t="shared" si="28"/>
        <v>-115.57002081687511</v>
      </c>
      <c r="Y143" s="252">
        <f t="shared" si="28"/>
        <v>0</v>
      </c>
      <c r="AQ143" s="88"/>
    </row>
    <row r="144" spans="3:43" x14ac:dyDescent="0.25">
      <c r="C144" s="96"/>
      <c r="F144" s="293" t="s">
        <v>45</v>
      </c>
      <c r="G144" s="293" t="s">
        <v>102</v>
      </c>
      <c r="J144" s="252">
        <f t="shared" si="28"/>
        <v>2974.7796808791145</v>
      </c>
      <c r="K144" s="252">
        <f t="shared" si="28"/>
        <v>4.9556413163018744</v>
      </c>
      <c r="L144" s="252">
        <f t="shared" si="28"/>
        <v>565.72911418585886</v>
      </c>
      <c r="M144" s="252">
        <f t="shared" si="28"/>
        <v>1.5201756697447304</v>
      </c>
      <c r="N144" s="252">
        <f t="shared" si="28"/>
        <v>823.3276293103919</v>
      </c>
      <c r="O144" s="252">
        <f t="shared" si="28"/>
        <v>43.415508352714923</v>
      </c>
      <c r="P144" s="252">
        <f t="shared" si="28"/>
        <v>552.65497799310845</v>
      </c>
      <c r="Q144" s="252">
        <f t="shared" si="28"/>
        <v>37.222982714503459</v>
      </c>
      <c r="R144" s="252">
        <f t="shared" si="28"/>
        <v>-1.0672760760610396</v>
      </c>
      <c r="S144" s="252">
        <f t="shared" si="28"/>
        <v>-4.1149844081096384E-2</v>
      </c>
      <c r="T144" s="252">
        <f t="shared" si="28"/>
        <v>-5.585355147041092</v>
      </c>
      <c r="U144" s="252">
        <f t="shared" si="28"/>
        <v>0</v>
      </c>
      <c r="V144" s="252">
        <f t="shared" si="28"/>
        <v>0</v>
      </c>
      <c r="W144" s="252">
        <f t="shared" si="28"/>
        <v>0</v>
      </c>
      <c r="X144" s="252">
        <f t="shared" si="28"/>
        <v>-115.11140962315734</v>
      </c>
      <c r="Y144" s="252">
        <f t="shared" si="28"/>
        <v>0</v>
      </c>
      <c r="AQ144" s="88"/>
    </row>
    <row r="145" spans="3:43" x14ac:dyDescent="0.25">
      <c r="C145" s="96"/>
      <c r="F145" s="293" t="s">
        <v>46</v>
      </c>
      <c r="G145" s="293" t="s">
        <v>102</v>
      </c>
      <c r="J145" s="252">
        <f t="shared" si="28"/>
        <v>2865.1323668822961</v>
      </c>
      <c r="K145" s="252">
        <f t="shared" si="28"/>
        <v>6.9856445758332217</v>
      </c>
      <c r="L145" s="252">
        <f t="shared" si="28"/>
        <v>569.43799451591372</v>
      </c>
      <c r="M145" s="252">
        <f t="shared" si="28"/>
        <v>1.7405762366110513</v>
      </c>
      <c r="N145" s="252">
        <f t="shared" si="28"/>
        <v>818.45062365055082</v>
      </c>
      <c r="O145" s="252">
        <f t="shared" si="28"/>
        <v>42.964496157183852</v>
      </c>
      <c r="P145" s="252">
        <f t="shared" si="28"/>
        <v>548.30674566575624</v>
      </c>
      <c r="Q145" s="252">
        <f t="shared" si="28"/>
        <v>33.432492635543888</v>
      </c>
      <c r="R145" s="252">
        <f t="shared" si="28"/>
        <v>-1.1058392232740037</v>
      </c>
      <c r="S145" s="252">
        <f t="shared" si="28"/>
        <v>-4.2223105166359409E-2</v>
      </c>
      <c r="T145" s="252">
        <f t="shared" si="28"/>
        <v>-5.9395971457006178</v>
      </c>
      <c r="U145" s="252">
        <f t="shared" si="28"/>
        <v>0</v>
      </c>
      <c r="V145" s="252">
        <f t="shared" si="28"/>
        <v>0</v>
      </c>
      <c r="W145" s="252">
        <f t="shared" si="28"/>
        <v>0</v>
      </c>
      <c r="X145" s="252">
        <f t="shared" si="28"/>
        <v>-115.63979845403175</v>
      </c>
      <c r="Y145" s="252">
        <f t="shared" si="28"/>
        <v>0</v>
      </c>
      <c r="AQ145" s="88"/>
    </row>
    <row r="146" spans="3:43" x14ac:dyDescent="0.25">
      <c r="C146" s="96"/>
      <c r="F146" s="293" t="s">
        <v>47</v>
      </c>
      <c r="G146" s="293" t="s">
        <v>102</v>
      </c>
      <c r="J146" s="252">
        <f t="shared" si="28"/>
        <v>2848.2786470771057</v>
      </c>
      <c r="K146" s="252">
        <f t="shared" si="28"/>
        <v>6.9445525489165556</v>
      </c>
      <c r="L146" s="252">
        <f t="shared" si="28"/>
        <v>566.08835925405538</v>
      </c>
      <c r="M146" s="252">
        <f t="shared" si="28"/>
        <v>1.7303375528662808</v>
      </c>
      <c r="N146" s="252">
        <f t="shared" si="28"/>
        <v>813.63620821731229</v>
      </c>
      <c r="O146" s="252">
        <f t="shared" si="28"/>
        <v>42.711763826847481</v>
      </c>
      <c r="P146" s="252">
        <f t="shared" si="28"/>
        <v>545.0814118677223</v>
      </c>
      <c r="Q146" s="252">
        <f t="shared" si="28"/>
        <v>33.235830914158342</v>
      </c>
      <c r="R146" s="252">
        <f t="shared" si="28"/>
        <v>-1.0993342866665097</v>
      </c>
      <c r="S146" s="252">
        <f t="shared" si="28"/>
        <v>-4.1974733959498474E-2</v>
      </c>
      <c r="T146" s="252">
        <f t="shared" si="28"/>
        <v>-5.9046583389612026</v>
      </c>
      <c r="U146" s="252">
        <f t="shared" si="28"/>
        <v>0</v>
      </c>
      <c r="V146" s="252">
        <f t="shared" si="28"/>
        <v>0</v>
      </c>
      <c r="W146" s="252">
        <f t="shared" si="28"/>
        <v>0</v>
      </c>
      <c r="X146" s="252">
        <f t="shared" si="28"/>
        <v>-114.95956434547864</v>
      </c>
      <c r="Y146" s="252">
        <f t="shared" si="28"/>
        <v>0</v>
      </c>
      <c r="AQ146" s="88"/>
    </row>
    <row r="147" spans="3:43" x14ac:dyDescent="0.25">
      <c r="C147" s="96"/>
      <c r="F147" s="293" t="s">
        <v>51</v>
      </c>
      <c r="G147" s="293" t="s">
        <v>102</v>
      </c>
      <c r="H147" s="90"/>
      <c r="J147" s="252">
        <f t="shared" si="28"/>
        <v>0</v>
      </c>
      <c r="K147" s="252">
        <f t="shared" si="28"/>
        <v>0</v>
      </c>
      <c r="L147" s="252">
        <f t="shared" si="28"/>
        <v>0</v>
      </c>
      <c r="M147" s="252">
        <f t="shared" si="28"/>
        <v>0</v>
      </c>
      <c r="N147" s="252">
        <f t="shared" si="28"/>
        <v>0</v>
      </c>
      <c r="O147" s="252">
        <f t="shared" si="28"/>
        <v>0</v>
      </c>
      <c r="P147" s="252">
        <f t="shared" si="28"/>
        <v>0</v>
      </c>
      <c r="Q147" s="252">
        <f t="shared" si="28"/>
        <v>0</v>
      </c>
      <c r="R147" s="252">
        <f t="shared" si="28"/>
        <v>0</v>
      </c>
      <c r="S147" s="252">
        <f t="shared" si="28"/>
        <v>0</v>
      </c>
      <c r="T147" s="252">
        <f t="shared" si="28"/>
        <v>0</v>
      </c>
      <c r="U147" s="252">
        <f t="shared" si="28"/>
        <v>0</v>
      </c>
      <c r="V147" s="252">
        <f t="shared" si="28"/>
        <v>0</v>
      </c>
      <c r="W147" s="252">
        <f t="shared" si="28"/>
        <v>0</v>
      </c>
      <c r="X147" s="252">
        <f t="shared" si="28"/>
        <v>0</v>
      </c>
      <c r="Y147" s="252">
        <f t="shared" si="28"/>
        <v>0</v>
      </c>
      <c r="AQ147" s="88"/>
    </row>
    <row r="148" spans="3:43" x14ac:dyDescent="0.25">
      <c r="C148" s="96"/>
      <c r="F148" s="293" t="s">
        <v>48</v>
      </c>
      <c r="G148" s="293" t="s">
        <v>102</v>
      </c>
      <c r="J148" s="252">
        <f t="shared" si="28"/>
        <v>2655.2786611737342</v>
      </c>
      <c r="K148" s="252">
        <f t="shared" si="28"/>
        <v>10.704708392207982</v>
      </c>
      <c r="L148" s="252">
        <f t="shared" si="28"/>
        <v>572.41598643318343</v>
      </c>
      <c r="M148" s="252">
        <f t="shared" si="28"/>
        <v>2.1541630081420364</v>
      </c>
      <c r="N148" s="252">
        <f>N88 + N111 + N134</f>
        <v>805.10749522662832</v>
      </c>
      <c r="O148" s="252">
        <f t="shared" si="28"/>
        <v>41.950006780086206</v>
      </c>
      <c r="P148" s="252">
        <f t="shared" si="28"/>
        <v>537.96439855817334</v>
      </c>
      <c r="Q148" s="252">
        <f t="shared" si="28"/>
        <v>26.025599186487572</v>
      </c>
      <c r="R148" s="252">
        <f t="shared" si="28"/>
        <v>-1.1644975363380685</v>
      </c>
      <c r="S148" s="252">
        <f t="shared" si="28"/>
        <v>-4.3769198950075749E-2</v>
      </c>
      <c r="T148" s="252">
        <f t="shared" si="28"/>
        <v>-6.519016311654906</v>
      </c>
      <c r="U148" s="252">
        <f t="shared" si="28"/>
        <v>0</v>
      </c>
      <c r="V148" s="252">
        <f t="shared" si="28"/>
        <v>0</v>
      </c>
      <c r="W148" s="252">
        <f t="shared" si="28"/>
        <v>0</v>
      </c>
      <c r="X148" s="252">
        <f t="shared" si="28"/>
        <v>0</v>
      </c>
      <c r="Y148" s="252">
        <f t="shared" si="28"/>
        <v>0</v>
      </c>
      <c r="AQ148" s="88"/>
    </row>
    <row r="149" spans="3:43" x14ac:dyDescent="0.25">
      <c r="C149" s="96"/>
      <c r="F149" s="293" t="s">
        <v>49</v>
      </c>
      <c r="G149" s="293" t="s">
        <v>102</v>
      </c>
      <c r="J149" s="252">
        <f t="shared" si="28"/>
        <v>2617.1281056971002</v>
      </c>
      <c r="K149" s="252">
        <f t="shared" si="28"/>
        <v>10.550905110710739</v>
      </c>
      <c r="L149" s="252">
        <f t="shared" si="28"/>
        <v>564.19161881201694</v>
      </c>
      <c r="M149" s="252">
        <f t="shared" si="28"/>
        <v>2.1232123902089608</v>
      </c>
      <c r="N149" s="252">
        <f t="shared" si="28"/>
        <v>793.5398588009582</v>
      </c>
      <c r="O149" s="252">
        <f t="shared" si="28"/>
        <v>41.347276797613702</v>
      </c>
      <c r="P149" s="252">
        <f t="shared" si="28"/>
        <v>0</v>
      </c>
      <c r="Q149" s="252">
        <f t="shared" si="28"/>
        <v>25.651668163693206</v>
      </c>
      <c r="R149" s="252">
        <f t="shared" si="28"/>
        <v>-1.1477662498964292</v>
      </c>
      <c r="S149" s="252">
        <f t="shared" si="28"/>
        <v>0</v>
      </c>
      <c r="T149" s="252">
        <f t="shared" si="28"/>
        <v>-6.4253522841885999</v>
      </c>
      <c r="U149" s="252">
        <f t="shared" si="28"/>
        <v>0</v>
      </c>
      <c r="V149" s="252">
        <f t="shared" si="28"/>
        <v>0</v>
      </c>
      <c r="W149" s="252">
        <f t="shared" si="28"/>
        <v>0</v>
      </c>
      <c r="X149" s="252">
        <f t="shared" si="28"/>
        <v>0</v>
      </c>
      <c r="Y149" s="252">
        <f t="shared" si="28"/>
        <v>0</v>
      </c>
      <c r="AQ149" s="88"/>
    </row>
    <row r="150" spans="3:43" x14ac:dyDescent="0.25">
      <c r="C150" s="96"/>
      <c r="F150" s="93" t="s">
        <v>50</v>
      </c>
      <c r="G150" s="93" t="s">
        <v>102</v>
      </c>
      <c r="H150" s="93"/>
      <c r="I150" s="93"/>
      <c r="J150" s="271">
        <f t="shared" si="28"/>
        <v>2511.2883661284673</v>
      </c>
      <c r="K150" s="271">
        <f t="shared" si="28"/>
        <v>10.124214095204056</v>
      </c>
      <c r="L150" s="271">
        <f t="shared" si="28"/>
        <v>541.37504599241333</v>
      </c>
      <c r="M150" s="271">
        <f t="shared" si="28"/>
        <v>2.0373471832519807</v>
      </c>
      <c r="N150" s="271">
        <f t="shared" si="28"/>
        <v>761.44817333474293</v>
      </c>
      <c r="O150" s="271">
        <f t="shared" si="28"/>
        <v>0</v>
      </c>
      <c r="P150" s="271">
        <f t="shared" si="28"/>
        <v>0</v>
      </c>
      <c r="Q150" s="271">
        <f t="shared" si="28"/>
        <v>24.614284524720318</v>
      </c>
      <c r="R150" s="271">
        <f t="shared" si="28"/>
        <v>0</v>
      </c>
      <c r="S150" s="271">
        <f t="shared" si="28"/>
        <v>0</v>
      </c>
      <c r="T150" s="271">
        <f t="shared" si="28"/>
        <v>0</v>
      </c>
      <c r="U150" s="271">
        <f t="shared" si="28"/>
        <v>0</v>
      </c>
      <c r="V150" s="271">
        <f t="shared" si="28"/>
        <v>0</v>
      </c>
      <c r="W150" s="271">
        <f t="shared" si="28"/>
        <v>0</v>
      </c>
      <c r="X150" s="271">
        <f t="shared" si="28"/>
        <v>0</v>
      </c>
      <c r="Y150" s="271">
        <f t="shared" si="28"/>
        <v>0</v>
      </c>
      <c r="AQ150" s="88"/>
    </row>
    <row r="151" spans="3:43" x14ac:dyDescent="0.25">
      <c r="C151" s="96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  <c r="W151" s="90"/>
      <c r="X151" s="90"/>
      <c r="Y151" s="90"/>
      <c r="AQ151" s="88"/>
    </row>
    <row r="152" spans="3:43" x14ac:dyDescent="0.25">
      <c r="E152" s="96" t="s">
        <v>667</v>
      </c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  <c r="W152" s="90"/>
      <c r="X152" s="90"/>
      <c r="Y152" s="90"/>
      <c r="AQ152" s="88"/>
    </row>
    <row r="153" spans="3:43" x14ac:dyDescent="0.25">
      <c r="E153" s="82" t="s">
        <v>615</v>
      </c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  <c r="W153" s="90"/>
      <c r="X153" s="90"/>
      <c r="Y153" s="90"/>
      <c r="AQ153" s="88"/>
    </row>
    <row r="154" spans="3:43" x14ac:dyDescent="0.25">
      <c r="C154" s="96"/>
      <c r="F154" s="91" t="s">
        <v>43</v>
      </c>
      <c r="G154" s="91" t="s">
        <v>113</v>
      </c>
      <c r="H154" s="254">
        <f t="shared" ref="H154:H162" si="29">SUM(J142:Y142) * thousand</f>
        <v>4999150.6167567428</v>
      </c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  <c r="W154" s="90"/>
      <c r="X154" s="90"/>
      <c r="Y154" s="90"/>
      <c r="AQ154" s="88"/>
    </row>
    <row r="155" spans="3:43" x14ac:dyDescent="0.25">
      <c r="C155" s="96"/>
      <c r="F155" s="293" t="s">
        <v>44</v>
      </c>
      <c r="G155" s="293" t="s">
        <v>113</v>
      </c>
      <c r="H155" s="256">
        <f t="shared" si="29"/>
        <v>4901249.9241924807</v>
      </c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  <c r="W155" s="90"/>
      <c r="X155" s="90"/>
      <c r="Y155" s="90"/>
      <c r="AQ155" s="88"/>
    </row>
    <row r="156" spans="3:43" x14ac:dyDescent="0.25">
      <c r="C156" s="96"/>
      <c r="F156" s="293" t="s">
        <v>45</v>
      </c>
      <c r="G156" s="293" t="s">
        <v>113</v>
      </c>
      <c r="H156" s="256">
        <f t="shared" si="29"/>
        <v>4881800.5197313987</v>
      </c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  <c r="W156" s="90"/>
      <c r="X156" s="90"/>
      <c r="Y156" s="90"/>
      <c r="AQ156" s="88"/>
    </row>
    <row r="157" spans="3:43" x14ac:dyDescent="0.25">
      <c r="C157" s="96"/>
      <c r="F157" s="293" t="s">
        <v>46</v>
      </c>
      <c r="G157" s="293" t="s">
        <v>113</v>
      </c>
      <c r="H157" s="256">
        <f t="shared" si="29"/>
        <v>4763723.4823915157</v>
      </c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  <c r="W157" s="90"/>
      <c r="X157" s="90"/>
      <c r="Y157" s="90"/>
      <c r="AQ157" s="88"/>
    </row>
    <row r="158" spans="3:43" x14ac:dyDescent="0.25">
      <c r="C158" s="96"/>
      <c r="F158" s="293" t="s">
        <v>47</v>
      </c>
      <c r="G158" s="293" t="s">
        <v>113</v>
      </c>
      <c r="H158" s="256">
        <f t="shared" si="29"/>
        <v>4735701.5795539189</v>
      </c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  <c r="W158" s="90"/>
      <c r="X158" s="90"/>
      <c r="Y158" s="90"/>
      <c r="AQ158" s="88"/>
    </row>
    <row r="159" spans="3:43" x14ac:dyDescent="0.25">
      <c r="C159" s="96"/>
      <c r="F159" s="293" t="s">
        <v>51</v>
      </c>
      <c r="G159" s="293" t="s">
        <v>113</v>
      </c>
      <c r="H159" s="256">
        <f t="shared" si="29"/>
        <v>0</v>
      </c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  <c r="W159" s="90"/>
      <c r="X159" s="90"/>
      <c r="Y159" s="90"/>
      <c r="AQ159" s="88"/>
    </row>
    <row r="160" spans="3:43" x14ac:dyDescent="0.25">
      <c r="C160" s="96"/>
      <c r="F160" s="293" t="s">
        <v>48</v>
      </c>
      <c r="G160" s="293" t="s">
        <v>113</v>
      </c>
      <c r="H160" s="256">
        <f t="shared" si="29"/>
        <v>4643873.7357117003</v>
      </c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  <c r="W160" s="90"/>
      <c r="X160" s="90"/>
      <c r="Y160" s="90"/>
      <c r="AQ160" s="88"/>
    </row>
    <row r="161" spans="3:43" x14ac:dyDescent="0.25">
      <c r="C161" s="96"/>
      <c r="F161" s="293" t="s">
        <v>49</v>
      </c>
      <c r="G161" s="293" t="s">
        <v>113</v>
      </c>
      <c r="H161" s="256">
        <f t="shared" si="29"/>
        <v>4046959.5272382172</v>
      </c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  <c r="W161" s="90"/>
      <c r="X161" s="90"/>
      <c r="Y161" s="90"/>
      <c r="AQ161" s="88"/>
    </row>
    <row r="162" spans="3:43" x14ac:dyDescent="0.25">
      <c r="C162" s="96"/>
      <c r="F162" s="93" t="s">
        <v>50</v>
      </c>
      <c r="G162" s="93" t="s">
        <v>113</v>
      </c>
      <c r="H162" s="258">
        <f t="shared" si="29"/>
        <v>3850887.4312587995</v>
      </c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  <c r="W162" s="90"/>
      <c r="X162" s="90"/>
      <c r="Y162" s="90"/>
      <c r="AQ162" s="88"/>
    </row>
    <row r="163" spans="3:43" x14ac:dyDescent="0.25">
      <c r="C163" s="96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  <c r="W163" s="90"/>
      <c r="X163" s="90"/>
      <c r="Y163" s="90"/>
      <c r="AQ163" s="88"/>
    </row>
    <row r="164" spans="3:43" x14ac:dyDescent="0.25">
      <c r="C164" s="7" t="str">
        <f ca="1">INDEX('Version control'!$H$35:$H$61,MATCH($A$1,'Version control'!$F$35:$F$61,0),1)&amp;"-D: Unit rate contributions to chargeable peak load"</f>
        <v>Section 509-D: Unit rate contributions to chargeable peak load</v>
      </c>
      <c r="D164" s="7"/>
      <c r="E164" s="7"/>
      <c r="F164" s="7"/>
      <c r="G164" s="7"/>
      <c r="H164" s="7"/>
      <c r="I164" s="7"/>
      <c r="J164" s="7"/>
      <c r="K164" s="7"/>
      <c r="L164" s="7"/>
      <c r="M164" s="7"/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  <c r="Z164" s="7"/>
      <c r="AA164" s="7"/>
      <c r="AQ164" s="88"/>
    </row>
    <row r="165" spans="3:43" x14ac:dyDescent="0.25">
      <c r="H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  <c r="W165" s="90"/>
      <c r="X165" s="90"/>
      <c r="Y165" s="90"/>
    </row>
    <row r="166" spans="3:43" x14ac:dyDescent="0.25">
      <c r="E166" s="96" t="s">
        <v>798</v>
      </c>
      <c r="H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  <c r="W166" s="90"/>
      <c r="X166" s="90"/>
      <c r="Y166" s="90"/>
    </row>
    <row r="167" spans="3:43" x14ac:dyDescent="0.25">
      <c r="E167" s="82" t="s">
        <v>526</v>
      </c>
      <c r="F167" s="82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  <c r="W167" s="90"/>
      <c r="X167" s="90"/>
      <c r="Y167" s="90"/>
      <c r="AQ167" s="88"/>
    </row>
    <row r="168" spans="3:43" x14ac:dyDescent="0.25">
      <c r="C168" s="96"/>
      <c r="F168" s="91" t="s">
        <v>43</v>
      </c>
      <c r="G168" s="91" t="s">
        <v>102</v>
      </c>
      <c r="H168" s="74"/>
      <c r="I168" s="91"/>
      <c r="J168" s="277">
        <f t="shared" ref="J168:Y176" si="30">J142 * (1 - J23)</f>
        <v>3080.0891094503158</v>
      </c>
      <c r="K168" s="277">
        <f t="shared" si="30"/>
        <v>3.10751487425012</v>
      </c>
      <c r="L168" s="277">
        <f t="shared" si="30"/>
        <v>565.71622513540569</v>
      </c>
      <c r="M168" s="277">
        <f t="shared" si="30"/>
        <v>1.3078607744611517</v>
      </c>
      <c r="N168" s="277">
        <f t="shared" si="30"/>
        <v>831.41152776583044</v>
      </c>
      <c r="O168" s="277">
        <f t="shared" si="30"/>
        <v>43.970592315641667</v>
      </c>
      <c r="P168" s="277">
        <f t="shared" si="30"/>
        <v>558.4361090603586</v>
      </c>
      <c r="Q168" s="277">
        <f t="shared" si="30"/>
        <v>36.788663287526226</v>
      </c>
      <c r="R168" s="277">
        <f t="shared" si="30"/>
        <v>-1.0437077015083287</v>
      </c>
      <c r="S168" s="277">
        <f t="shared" si="30"/>
        <v>-4.0571539703495994E-2</v>
      </c>
      <c r="T168" s="277">
        <f t="shared" si="30"/>
        <v>-5.3309605485184965</v>
      </c>
      <c r="U168" s="277">
        <f t="shared" si="30"/>
        <v>0</v>
      </c>
      <c r="V168" s="277">
        <f t="shared" si="30"/>
        <v>0</v>
      </c>
      <c r="W168" s="277">
        <f t="shared" si="30"/>
        <v>0</v>
      </c>
      <c r="X168" s="277">
        <f t="shared" si="30"/>
        <v>-115.26174611731598</v>
      </c>
      <c r="Y168" s="277">
        <f t="shared" si="30"/>
        <v>0</v>
      </c>
      <c r="AQ168" s="88"/>
    </row>
    <row r="169" spans="3:43" x14ac:dyDescent="0.25">
      <c r="C169" s="96"/>
      <c r="F169" s="293" t="s">
        <v>44</v>
      </c>
      <c r="G169" s="293" t="s">
        <v>102</v>
      </c>
      <c r="H169" s="90"/>
      <c r="J169" s="252">
        <f t="shared" si="30"/>
        <v>2986.6313927551273</v>
      </c>
      <c r="K169" s="252">
        <f t="shared" si="30"/>
        <v>4.9753849072034759</v>
      </c>
      <c r="L169" s="252">
        <f t="shared" si="30"/>
        <v>567.98301503918901</v>
      </c>
      <c r="M169" s="252">
        <f t="shared" si="30"/>
        <v>1.5262321465166218</v>
      </c>
      <c r="N169" s="252">
        <f t="shared" si="30"/>
        <v>826.60781906860075</v>
      </c>
      <c r="O169" s="252">
        <f t="shared" si="30"/>
        <v>43.588478505514587</v>
      </c>
      <c r="P169" s="252">
        <f t="shared" si="30"/>
        <v>554.85679065443549</v>
      </c>
      <c r="Q169" s="252">
        <f t="shared" si="30"/>
        <v>37.371281450417811</v>
      </c>
      <c r="R169" s="252">
        <f t="shared" si="30"/>
        <v>-1.0715281719816014</v>
      </c>
      <c r="S169" s="252">
        <f t="shared" si="30"/>
        <v>-4.1313787683013102E-2</v>
      </c>
      <c r="T169" s="252">
        <f t="shared" si="30"/>
        <v>-5.6076075579854789</v>
      </c>
      <c r="U169" s="252">
        <f t="shared" si="30"/>
        <v>0</v>
      </c>
      <c r="V169" s="252">
        <f t="shared" si="30"/>
        <v>0</v>
      </c>
      <c r="W169" s="252">
        <f t="shared" si="30"/>
        <v>0</v>
      </c>
      <c r="X169" s="252">
        <f t="shared" si="30"/>
        <v>-115.57002081687511</v>
      </c>
      <c r="Y169" s="252">
        <f t="shared" si="30"/>
        <v>0</v>
      </c>
      <c r="AQ169" s="88"/>
    </row>
    <row r="170" spans="3:43" x14ac:dyDescent="0.25">
      <c r="C170" s="96"/>
      <c r="F170" s="293" t="s">
        <v>45</v>
      </c>
      <c r="G170" s="293" t="s">
        <v>102</v>
      </c>
      <c r="H170" s="90"/>
      <c r="J170" s="252">
        <f t="shared" si="30"/>
        <v>2974.7796808791145</v>
      </c>
      <c r="K170" s="252">
        <f t="shared" si="30"/>
        <v>4.9556413163018744</v>
      </c>
      <c r="L170" s="252">
        <f t="shared" si="30"/>
        <v>565.72911418585886</v>
      </c>
      <c r="M170" s="252">
        <f t="shared" si="30"/>
        <v>1.5201756697447304</v>
      </c>
      <c r="N170" s="252">
        <f t="shared" si="30"/>
        <v>823.3276293103919</v>
      </c>
      <c r="O170" s="252">
        <f t="shared" si="30"/>
        <v>43.415508352714923</v>
      </c>
      <c r="P170" s="252">
        <f t="shared" si="30"/>
        <v>552.65497799310845</v>
      </c>
      <c r="Q170" s="252">
        <f t="shared" si="30"/>
        <v>37.222982714503459</v>
      </c>
      <c r="R170" s="252">
        <f t="shared" si="30"/>
        <v>-1.0672760760610396</v>
      </c>
      <c r="S170" s="252">
        <f t="shared" si="30"/>
        <v>-4.1149844081096384E-2</v>
      </c>
      <c r="T170" s="252">
        <f t="shared" si="30"/>
        <v>-5.585355147041092</v>
      </c>
      <c r="U170" s="252">
        <f t="shared" si="30"/>
        <v>0</v>
      </c>
      <c r="V170" s="252">
        <f t="shared" si="30"/>
        <v>0</v>
      </c>
      <c r="W170" s="252">
        <f t="shared" si="30"/>
        <v>0</v>
      </c>
      <c r="X170" s="252">
        <f t="shared" si="30"/>
        <v>-115.11140962315734</v>
      </c>
      <c r="Y170" s="252">
        <f t="shared" si="30"/>
        <v>0</v>
      </c>
      <c r="AQ170" s="88"/>
    </row>
    <row r="171" spans="3:43" x14ac:dyDescent="0.25">
      <c r="C171" s="96"/>
      <c r="F171" s="293" t="s">
        <v>46</v>
      </c>
      <c r="G171" s="293" t="s">
        <v>102</v>
      </c>
      <c r="H171" s="90"/>
      <c r="J171" s="252">
        <f t="shared" si="30"/>
        <v>2865.1323668822961</v>
      </c>
      <c r="K171" s="252">
        <f t="shared" si="30"/>
        <v>6.9856445758332217</v>
      </c>
      <c r="L171" s="252">
        <f t="shared" si="30"/>
        <v>569.43799451591372</v>
      </c>
      <c r="M171" s="252">
        <f t="shared" si="30"/>
        <v>1.7405762366110513</v>
      </c>
      <c r="N171" s="252">
        <f t="shared" si="30"/>
        <v>818.45062365055082</v>
      </c>
      <c r="O171" s="252">
        <f t="shared" si="30"/>
        <v>42.964496157183852</v>
      </c>
      <c r="P171" s="252">
        <f t="shared" si="30"/>
        <v>438.64539653260499</v>
      </c>
      <c r="Q171" s="252">
        <f t="shared" si="30"/>
        <v>33.432492635543888</v>
      </c>
      <c r="R171" s="252">
        <f t="shared" si="30"/>
        <v>-1.1058392232740037</v>
      </c>
      <c r="S171" s="252">
        <f t="shared" si="30"/>
        <v>-4.2223105166359409E-2</v>
      </c>
      <c r="T171" s="252">
        <f t="shared" si="30"/>
        <v>-5.9395971457006178</v>
      </c>
      <c r="U171" s="252">
        <f t="shared" si="30"/>
        <v>0</v>
      </c>
      <c r="V171" s="252">
        <f t="shared" si="30"/>
        <v>0</v>
      </c>
      <c r="W171" s="252">
        <f t="shared" si="30"/>
        <v>0</v>
      </c>
      <c r="X171" s="252">
        <f t="shared" si="30"/>
        <v>-115.63979845403175</v>
      </c>
      <c r="Y171" s="252">
        <f t="shared" si="30"/>
        <v>0</v>
      </c>
      <c r="AQ171" s="88"/>
    </row>
    <row r="172" spans="3:43" x14ac:dyDescent="0.25">
      <c r="C172" s="96"/>
      <c r="F172" s="293" t="s">
        <v>47</v>
      </c>
      <c r="G172" s="293" t="s">
        <v>102</v>
      </c>
      <c r="H172" s="90"/>
      <c r="J172" s="252">
        <f t="shared" si="30"/>
        <v>2848.2786470771057</v>
      </c>
      <c r="K172" s="252">
        <f t="shared" si="30"/>
        <v>6.9445525489165556</v>
      </c>
      <c r="L172" s="252">
        <f t="shared" si="30"/>
        <v>566.08835925405538</v>
      </c>
      <c r="M172" s="252">
        <f t="shared" si="30"/>
        <v>1.7303375528662808</v>
      </c>
      <c r="N172" s="252">
        <f t="shared" si="30"/>
        <v>813.63620821731229</v>
      </c>
      <c r="O172" s="252">
        <f t="shared" si="30"/>
        <v>42.711763826847481</v>
      </c>
      <c r="P172" s="252">
        <f t="shared" si="30"/>
        <v>0</v>
      </c>
      <c r="Q172" s="252">
        <f t="shared" si="30"/>
        <v>33.235830914158342</v>
      </c>
      <c r="R172" s="252">
        <f t="shared" si="30"/>
        <v>-1.0993342866665097</v>
      </c>
      <c r="S172" s="252">
        <f t="shared" si="30"/>
        <v>-4.1974733959498474E-2</v>
      </c>
      <c r="T172" s="252">
        <f t="shared" si="30"/>
        <v>-5.9046583389612026</v>
      </c>
      <c r="U172" s="252">
        <f t="shared" si="30"/>
        <v>0</v>
      </c>
      <c r="V172" s="252">
        <f t="shared" si="30"/>
        <v>0</v>
      </c>
      <c r="W172" s="252">
        <f t="shared" si="30"/>
        <v>0</v>
      </c>
      <c r="X172" s="252">
        <f t="shared" si="30"/>
        <v>-114.95956434547864</v>
      </c>
      <c r="Y172" s="252">
        <f t="shared" si="30"/>
        <v>0</v>
      </c>
      <c r="AQ172" s="88"/>
    </row>
    <row r="173" spans="3:43" x14ac:dyDescent="0.25">
      <c r="C173" s="96"/>
      <c r="F173" s="293" t="s">
        <v>51</v>
      </c>
      <c r="G173" s="293" t="s">
        <v>102</v>
      </c>
      <c r="H173" s="90"/>
      <c r="J173" s="252">
        <f t="shared" si="30"/>
        <v>0</v>
      </c>
      <c r="K173" s="252">
        <f t="shared" si="30"/>
        <v>0</v>
      </c>
      <c r="L173" s="252">
        <f t="shared" si="30"/>
        <v>0</v>
      </c>
      <c r="M173" s="252">
        <f t="shared" si="30"/>
        <v>0</v>
      </c>
      <c r="N173" s="252">
        <f t="shared" si="30"/>
        <v>0</v>
      </c>
      <c r="O173" s="252">
        <f t="shared" si="30"/>
        <v>0</v>
      </c>
      <c r="P173" s="252">
        <f t="shared" si="30"/>
        <v>0</v>
      </c>
      <c r="Q173" s="252">
        <f t="shared" si="30"/>
        <v>0</v>
      </c>
      <c r="R173" s="252">
        <f t="shared" si="30"/>
        <v>0</v>
      </c>
      <c r="S173" s="252">
        <f t="shared" si="30"/>
        <v>0</v>
      </c>
      <c r="T173" s="252">
        <f t="shared" si="30"/>
        <v>0</v>
      </c>
      <c r="U173" s="252">
        <f t="shared" si="30"/>
        <v>0</v>
      </c>
      <c r="V173" s="252">
        <f t="shared" si="30"/>
        <v>0</v>
      </c>
      <c r="W173" s="252">
        <f t="shared" si="30"/>
        <v>0</v>
      </c>
      <c r="X173" s="252">
        <f t="shared" si="30"/>
        <v>0</v>
      </c>
      <c r="Y173" s="252">
        <f t="shared" si="30"/>
        <v>0</v>
      </c>
      <c r="AQ173" s="88"/>
    </row>
    <row r="174" spans="3:43" x14ac:dyDescent="0.25">
      <c r="C174" s="96"/>
      <c r="F174" s="293" t="s">
        <v>48</v>
      </c>
      <c r="G174" s="293" t="s">
        <v>102</v>
      </c>
      <c r="H174" s="90"/>
      <c r="J174" s="252">
        <f t="shared" si="30"/>
        <v>2655.2786611737342</v>
      </c>
      <c r="K174" s="252">
        <f t="shared" si="30"/>
        <v>10.704708392207982</v>
      </c>
      <c r="L174" s="252">
        <f t="shared" si="30"/>
        <v>572.41598643318343</v>
      </c>
      <c r="M174" s="252">
        <f t="shared" si="30"/>
        <v>2.1541630081420364</v>
      </c>
      <c r="N174" s="252">
        <f t="shared" si="30"/>
        <v>644.08599618130268</v>
      </c>
      <c r="O174" s="252">
        <f t="shared" si="30"/>
        <v>0</v>
      </c>
      <c r="P174" s="252">
        <f t="shared" si="30"/>
        <v>0</v>
      </c>
      <c r="Q174" s="252">
        <f t="shared" si="30"/>
        <v>26.025599186487572</v>
      </c>
      <c r="R174" s="252">
        <f t="shared" si="30"/>
        <v>-1.1644975363380685</v>
      </c>
      <c r="S174" s="252">
        <f t="shared" si="30"/>
        <v>-4.3769198950075749E-2</v>
      </c>
      <c r="T174" s="252">
        <f t="shared" si="30"/>
        <v>-6.519016311654906</v>
      </c>
      <c r="U174" s="252">
        <f t="shared" si="30"/>
        <v>0</v>
      </c>
      <c r="V174" s="252">
        <f t="shared" si="30"/>
        <v>0</v>
      </c>
      <c r="W174" s="252">
        <f t="shared" si="30"/>
        <v>0</v>
      </c>
      <c r="X174" s="252">
        <f t="shared" si="30"/>
        <v>0</v>
      </c>
      <c r="Y174" s="252">
        <f t="shared" si="30"/>
        <v>0</v>
      </c>
      <c r="AQ174" s="88"/>
    </row>
    <row r="175" spans="3:43" x14ac:dyDescent="0.25">
      <c r="C175" s="96"/>
      <c r="F175" s="293" t="s">
        <v>49</v>
      </c>
      <c r="G175" s="293" t="s">
        <v>102</v>
      </c>
      <c r="H175" s="90"/>
      <c r="J175" s="252">
        <f t="shared" si="30"/>
        <v>2617.1281056971002</v>
      </c>
      <c r="K175" s="252">
        <f t="shared" si="30"/>
        <v>10.550905110710739</v>
      </c>
      <c r="L175" s="252">
        <f t="shared" si="30"/>
        <v>564.19161881201694</v>
      </c>
      <c r="M175" s="252">
        <f t="shared" si="30"/>
        <v>2.1232123902089608</v>
      </c>
      <c r="N175" s="252">
        <f t="shared" si="30"/>
        <v>0</v>
      </c>
      <c r="O175" s="252">
        <f t="shared" si="30"/>
        <v>0</v>
      </c>
      <c r="P175" s="252">
        <f t="shared" si="30"/>
        <v>0</v>
      </c>
      <c r="Q175" s="252">
        <f t="shared" si="30"/>
        <v>25.651668163693206</v>
      </c>
      <c r="R175" s="252">
        <f t="shared" si="30"/>
        <v>-1.1477662498964292</v>
      </c>
      <c r="S175" s="252">
        <f t="shared" si="30"/>
        <v>0</v>
      </c>
      <c r="T175" s="252">
        <f t="shared" si="30"/>
        <v>-6.4253522841885999</v>
      </c>
      <c r="U175" s="252">
        <f t="shared" si="30"/>
        <v>0</v>
      </c>
      <c r="V175" s="252">
        <f t="shared" si="30"/>
        <v>0</v>
      </c>
      <c r="W175" s="252">
        <f t="shared" si="30"/>
        <v>0</v>
      </c>
      <c r="X175" s="252">
        <f t="shared" si="30"/>
        <v>0</v>
      </c>
      <c r="Y175" s="252">
        <f t="shared" si="30"/>
        <v>0</v>
      </c>
      <c r="AQ175" s="88"/>
    </row>
    <row r="176" spans="3:43" x14ac:dyDescent="0.25">
      <c r="C176" s="96"/>
      <c r="F176" s="93" t="s">
        <v>50</v>
      </c>
      <c r="G176" s="93" t="s">
        <v>102</v>
      </c>
      <c r="H176" s="187"/>
      <c r="I176" s="93"/>
      <c r="J176" s="271">
        <f t="shared" si="30"/>
        <v>0</v>
      </c>
      <c r="K176" s="271">
        <f t="shared" si="30"/>
        <v>0</v>
      </c>
      <c r="L176" s="271">
        <f t="shared" si="30"/>
        <v>0</v>
      </c>
      <c r="M176" s="271">
        <f t="shared" si="30"/>
        <v>0</v>
      </c>
      <c r="N176" s="271">
        <f t="shared" si="30"/>
        <v>0</v>
      </c>
      <c r="O176" s="271">
        <f t="shared" si="30"/>
        <v>0</v>
      </c>
      <c r="P176" s="271">
        <f t="shared" si="30"/>
        <v>0</v>
      </c>
      <c r="Q176" s="271">
        <f t="shared" si="30"/>
        <v>24.614284524720318</v>
      </c>
      <c r="R176" s="271">
        <f t="shared" si="30"/>
        <v>0</v>
      </c>
      <c r="S176" s="271">
        <f t="shared" si="30"/>
        <v>0</v>
      </c>
      <c r="T176" s="271">
        <f t="shared" si="30"/>
        <v>0</v>
      </c>
      <c r="U176" s="271">
        <f t="shared" si="30"/>
        <v>0</v>
      </c>
      <c r="V176" s="271">
        <f t="shared" si="30"/>
        <v>0</v>
      </c>
      <c r="W176" s="271">
        <f t="shared" si="30"/>
        <v>0</v>
      </c>
      <c r="X176" s="271">
        <f t="shared" si="30"/>
        <v>0</v>
      </c>
      <c r="Y176" s="271">
        <f t="shared" si="30"/>
        <v>0</v>
      </c>
      <c r="AQ176" s="88"/>
    </row>
    <row r="177" spans="2:43" x14ac:dyDescent="0.25">
      <c r="C177" s="96"/>
      <c r="F177" s="73" t="s">
        <v>111</v>
      </c>
      <c r="G177" s="73" t="s">
        <v>102</v>
      </c>
      <c r="H177" s="70"/>
      <c r="I177" s="73"/>
      <c r="J177" s="280">
        <f t="shared" ref="J177:Y177" si="31">SUM(J168:J176)</f>
        <v>20027.317963914793</v>
      </c>
      <c r="K177" s="280">
        <f t="shared" si="31"/>
        <v>48.224351725423965</v>
      </c>
      <c r="L177" s="280">
        <f t="shared" si="31"/>
        <v>3971.5623133756226</v>
      </c>
      <c r="M177" s="280">
        <f t="shared" si="31"/>
        <v>12.102557778550834</v>
      </c>
      <c r="N177" s="280">
        <f t="shared" si="31"/>
        <v>4757.5198041939893</v>
      </c>
      <c r="O177" s="280">
        <f t="shared" si="31"/>
        <v>216.65083915790251</v>
      </c>
      <c r="P177" s="280">
        <f t="shared" si="31"/>
        <v>2104.5932742405075</v>
      </c>
      <c r="Q177" s="280">
        <f t="shared" si="31"/>
        <v>254.34280287705084</v>
      </c>
      <c r="R177" s="280">
        <f t="shared" si="31"/>
        <v>-7.6999492457259819</v>
      </c>
      <c r="S177" s="280">
        <f t="shared" si="31"/>
        <v>-0.25100220954353913</v>
      </c>
      <c r="T177" s="280">
        <f t="shared" si="31"/>
        <v>-41.312547334050393</v>
      </c>
      <c r="U177" s="280">
        <f t="shared" si="31"/>
        <v>0</v>
      </c>
      <c r="V177" s="280">
        <f t="shared" si="31"/>
        <v>0</v>
      </c>
      <c r="W177" s="280">
        <f t="shared" si="31"/>
        <v>0</v>
      </c>
      <c r="X177" s="280">
        <f t="shared" si="31"/>
        <v>-576.54253935685881</v>
      </c>
      <c r="Y177" s="280">
        <f t="shared" si="31"/>
        <v>0</v>
      </c>
      <c r="AQ177" s="88"/>
    </row>
    <row r="178" spans="2:43" x14ac:dyDescent="0.25">
      <c r="H178" s="83"/>
    </row>
    <row r="179" spans="2:43" x14ac:dyDescent="0.25">
      <c r="B179" s="95" t="s">
        <v>287</v>
      </c>
      <c r="C179" s="95"/>
      <c r="D179" s="95"/>
      <c r="E179" s="95"/>
      <c r="F179" s="95"/>
      <c r="G179" s="95"/>
      <c r="H179" s="95"/>
      <c r="I179" s="95"/>
      <c r="J179" s="32"/>
      <c r="K179" s="32"/>
      <c r="L179" s="32"/>
      <c r="M179" s="32"/>
      <c r="N179" s="32"/>
      <c r="O179" s="32"/>
      <c r="P179" s="32"/>
      <c r="Q179" s="32"/>
      <c r="R179" s="32"/>
      <c r="S179" s="32"/>
      <c r="T179" s="32"/>
      <c r="U179" s="32"/>
      <c r="V179" s="32"/>
      <c r="W179" s="32"/>
      <c r="X179" s="32"/>
      <c r="Y179" s="32"/>
      <c r="Z179" s="95"/>
      <c r="AA179" s="95"/>
      <c r="AQ179" s="88"/>
    </row>
    <row r="180" spans="2:43" x14ac:dyDescent="0.25">
      <c r="C180" s="96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  <c r="W180" s="90"/>
      <c r="X180" s="90"/>
      <c r="Y180" s="90"/>
      <c r="AQ180" s="88"/>
    </row>
    <row r="181" spans="2:43" x14ac:dyDescent="0.25">
      <c r="C181" s="82" t="s">
        <v>350</v>
      </c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  <c r="W181" s="90"/>
      <c r="X181" s="90"/>
      <c r="Y181" s="90"/>
      <c r="AQ181" s="88"/>
    </row>
    <row r="182" spans="2:43" x14ac:dyDescent="0.25">
      <c r="C182" s="82" t="s">
        <v>715</v>
      </c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  <c r="W182" s="90"/>
      <c r="X182" s="90"/>
      <c r="Y182" s="90"/>
      <c r="AQ182" s="88"/>
    </row>
    <row r="183" spans="2:43" x14ac:dyDescent="0.25">
      <c r="C183" s="96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  <c r="W183" s="90"/>
      <c r="X183" s="90"/>
      <c r="Y183" s="90"/>
      <c r="AQ183" s="88"/>
    </row>
    <row r="184" spans="2:43" x14ac:dyDescent="0.25">
      <c r="C184" s="7" t="str">
        <f ca="1">INDEX('Version control'!$H$35:$H$61,MATCH($A$1,'Version control'!$F$35:$F$61,0),1)&amp;"-E: Adjustment of import and exceeded capacity"</f>
        <v>Section 509-E: Adjustment of import and exceeded capacity</v>
      </c>
      <c r="D184" s="7"/>
      <c r="E184" s="7"/>
      <c r="F184" s="7"/>
      <c r="G184" s="7"/>
      <c r="H184" s="7"/>
      <c r="I184" s="7"/>
      <c r="J184" s="7"/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  <c r="Z184" s="7"/>
      <c r="AA184" s="7"/>
      <c r="AQ184" s="88"/>
    </row>
    <row r="185" spans="2:43" x14ac:dyDescent="0.25">
      <c r="C185" s="96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  <c r="W185" s="90"/>
      <c r="X185" s="90"/>
      <c r="Y185" s="90"/>
      <c r="AQ185" s="88"/>
    </row>
    <row r="186" spans="2:43" x14ac:dyDescent="0.25">
      <c r="D186" s="82" t="s">
        <v>351</v>
      </c>
      <c r="E186" s="82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  <c r="W186" s="90"/>
      <c r="X186" s="90"/>
      <c r="Y186" s="90"/>
      <c r="AQ186" s="88"/>
    </row>
    <row r="187" spans="2:43" x14ac:dyDescent="0.25">
      <c r="J187" s="90"/>
      <c r="K187" s="90"/>
      <c r="L187" s="90"/>
      <c r="M187" s="90"/>
      <c r="N187" s="90"/>
      <c r="O187" s="90"/>
      <c r="P187" s="90"/>
      <c r="Q187" s="90"/>
      <c r="R187" s="90"/>
      <c r="S187" s="90"/>
      <c r="T187" s="90"/>
      <c r="U187" s="90"/>
      <c r="V187" s="90"/>
      <c r="W187" s="90"/>
      <c r="X187" s="90"/>
      <c r="Y187" s="90"/>
      <c r="AQ187" s="88"/>
    </row>
    <row r="188" spans="2:43" x14ac:dyDescent="0.25">
      <c r="C188" s="96"/>
      <c r="E188" s="293" t="s">
        <v>202</v>
      </c>
      <c r="G188" s="293" t="s">
        <v>169</v>
      </c>
      <c r="J188" s="273">
        <f>'Volume adjustments'!J286</f>
        <v>0</v>
      </c>
      <c r="K188" s="273">
        <f>'Volume adjustments'!K286</f>
        <v>0</v>
      </c>
      <c r="L188" s="273">
        <f>'Volume adjustments'!L286</f>
        <v>0</v>
      </c>
      <c r="M188" s="273">
        <f>'Volume adjustments'!M286</f>
        <v>0</v>
      </c>
      <c r="N188" s="273">
        <f>'Volume adjustments'!N286</f>
        <v>3397709.5466040988</v>
      </c>
      <c r="O188" s="273">
        <f>'Volume adjustments'!O286</f>
        <v>137224.9011825301</v>
      </c>
      <c r="P188" s="273">
        <f>'Volume adjustments'!P286</f>
        <v>2008505.8880279362</v>
      </c>
      <c r="Q188" s="273">
        <f>'Volume adjustments'!Q286</f>
        <v>0</v>
      </c>
      <c r="R188" s="273">
        <f>'Volume adjustments'!R286</f>
        <v>0</v>
      </c>
      <c r="S188" s="273">
        <f>'Volume adjustments'!S286</f>
        <v>0</v>
      </c>
      <c r="T188" s="273">
        <f>'Volume adjustments'!T286</f>
        <v>0</v>
      </c>
      <c r="U188" s="273">
        <f>'Volume adjustments'!U286</f>
        <v>0</v>
      </c>
      <c r="V188" s="273">
        <f>'Volume adjustments'!V286</f>
        <v>0</v>
      </c>
      <c r="W188" s="273">
        <f>'Volume adjustments'!W286</f>
        <v>0</v>
      </c>
      <c r="X188" s="273">
        <f>'Volume adjustments'!X286</f>
        <v>0</v>
      </c>
      <c r="Y188" s="273">
        <f>'Volume adjustments'!Y286</f>
        <v>0</v>
      </c>
      <c r="AQ188" s="88"/>
    </row>
    <row r="189" spans="2:43" x14ac:dyDescent="0.25">
      <c r="C189" s="96"/>
      <c r="E189" s="293" t="s">
        <v>203</v>
      </c>
      <c r="G189" s="293" t="s">
        <v>169</v>
      </c>
      <c r="J189" s="273">
        <f>'Volume adjustments'!J297</f>
        <v>0</v>
      </c>
      <c r="K189" s="273">
        <f>'Volume adjustments'!K297</f>
        <v>0</v>
      </c>
      <c r="L189" s="273">
        <f>'Volume adjustments'!L297</f>
        <v>0</v>
      </c>
      <c r="M189" s="273">
        <f>'Volume adjustments'!M297</f>
        <v>0</v>
      </c>
      <c r="N189" s="273">
        <f>'Volume adjustments'!N297</f>
        <v>45255.008555527595</v>
      </c>
      <c r="O189" s="273">
        <f>'Volume adjustments'!O297</f>
        <v>909.04841465570098</v>
      </c>
      <c r="P189" s="273">
        <f>'Volume adjustments'!P297</f>
        <v>23776.537883978082</v>
      </c>
      <c r="Q189" s="273">
        <f>'Volume adjustments'!Q297</f>
        <v>0</v>
      </c>
      <c r="R189" s="273">
        <f>'Volume adjustments'!R297</f>
        <v>0</v>
      </c>
      <c r="S189" s="273">
        <f>'Volume adjustments'!S297</f>
        <v>0</v>
      </c>
      <c r="T189" s="273">
        <f>'Volume adjustments'!T297</f>
        <v>0</v>
      </c>
      <c r="U189" s="273">
        <f>'Volume adjustments'!U297</f>
        <v>0</v>
      </c>
      <c r="V189" s="273">
        <f>'Volume adjustments'!V297</f>
        <v>0</v>
      </c>
      <c r="W189" s="273">
        <f>'Volume adjustments'!W297</f>
        <v>0</v>
      </c>
      <c r="X189" s="273">
        <f>'Volume adjustments'!X297</f>
        <v>0</v>
      </c>
      <c r="Y189" s="273">
        <f>'Volume adjustments'!Y297</f>
        <v>0</v>
      </c>
      <c r="AQ189" s="88"/>
    </row>
    <row r="190" spans="2:43" x14ac:dyDescent="0.25">
      <c r="C190" s="96"/>
      <c r="J190" s="273"/>
      <c r="K190" s="273"/>
      <c r="L190" s="273"/>
      <c r="M190" s="273"/>
      <c r="N190" s="273"/>
      <c r="O190" s="273"/>
      <c r="P190" s="273"/>
      <c r="Q190" s="273"/>
      <c r="R190" s="273"/>
      <c r="S190" s="273"/>
      <c r="T190" s="273"/>
      <c r="U190" s="273"/>
      <c r="V190" s="273"/>
      <c r="W190" s="273"/>
      <c r="X190" s="273"/>
      <c r="Y190" s="273"/>
      <c r="AQ190" s="88"/>
    </row>
    <row r="191" spans="2:43" x14ac:dyDescent="0.25">
      <c r="C191" s="96"/>
      <c r="E191" s="293" t="s">
        <v>264</v>
      </c>
      <c r="G191" s="293" t="s">
        <v>169</v>
      </c>
      <c r="J191" s="252">
        <f t="shared" ref="J191:Y191" si="32">SUM(J188:J189)</f>
        <v>0</v>
      </c>
      <c r="K191" s="252">
        <f t="shared" si="32"/>
        <v>0</v>
      </c>
      <c r="L191" s="252">
        <f t="shared" si="32"/>
        <v>0</v>
      </c>
      <c r="M191" s="252">
        <f t="shared" si="32"/>
        <v>0</v>
      </c>
      <c r="N191" s="252">
        <f t="shared" si="32"/>
        <v>3442964.5551596265</v>
      </c>
      <c r="O191" s="252">
        <f t="shared" si="32"/>
        <v>138133.9495971858</v>
      </c>
      <c r="P191" s="252">
        <f t="shared" si="32"/>
        <v>2032282.4259119143</v>
      </c>
      <c r="Q191" s="252">
        <f t="shared" si="32"/>
        <v>0</v>
      </c>
      <c r="R191" s="252">
        <f t="shared" si="32"/>
        <v>0</v>
      </c>
      <c r="S191" s="252">
        <f t="shared" si="32"/>
        <v>0</v>
      </c>
      <c r="T191" s="252">
        <f t="shared" si="32"/>
        <v>0</v>
      </c>
      <c r="U191" s="252">
        <f t="shared" si="32"/>
        <v>0</v>
      </c>
      <c r="V191" s="252">
        <f t="shared" si="32"/>
        <v>0</v>
      </c>
      <c r="W191" s="252">
        <f t="shared" si="32"/>
        <v>0</v>
      </c>
      <c r="X191" s="252">
        <f t="shared" si="32"/>
        <v>0</v>
      </c>
      <c r="Y191" s="252">
        <f t="shared" si="32"/>
        <v>0</v>
      </c>
      <c r="AQ191" s="88"/>
    </row>
    <row r="192" spans="2:43" x14ac:dyDescent="0.25">
      <c r="C192" s="96"/>
      <c r="E192" s="293" t="s">
        <v>265</v>
      </c>
      <c r="G192" s="293" t="s">
        <v>102</v>
      </c>
      <c r="J192" s="252">
        <f t="shared" ref="J192:Y192" si="33">J191 * PowerFactor / thousand</f>
        <v>0</v>
      </c>
      <c r="K192" s="252">
        <f t="shared" si="33"/>
        <v>0</v>
      </c>
      <c r="L192" s="252">
        <f t="shared" si="33"/>
        <v>0</v>
      </c>
      <c r="M192" s="252">
        <f t="shared" si="33"/>
        <v>0</v>
      </c>
      <c r="N192" s="252">
        <f t="shared" si="33"/>
        <v>3270.8163274016451</v>
      </c>
      <c r="O192" s="252">
        <f t="shared" si="33"/>
        <v>131.22725211732651</v>
      </c>
      <c r="P192" s="252">
        <f t="shared" si="33"/>
        <v>1930.6683046163184</v>
      </c>
      <c r="Q192" s="252">
        <f t="shared" si="33"/>
        <v>0</v>
      </c>
      <c r="R192" s="252">
        <f t="shared" si="33"/>
        <v>0</v>
      </c>
      <c r="S192" s="252">
        <f t="shared" si="33"/>
        <v>0</v>
      </c>
      <c r="T192" s="252">
        <f t="shared" si="33"/>
        <v>0</v>
      </c>
      <c r="U192" s="252">
        <f t="shared" si="33"/>
        <v>0</v>
      </c>
      <c r="V192" s="252">
        <f t="shared" si="33"/>
        <v>0</v>
      </c>
      <c r="W192" s="252">
        <f t="shared" si="33"/>
        <v>0</v>
      </c>
      <c r="X192" s="252">
        <f t="shared" si="33"/>
        <v>0</v>
      </c>
      <c r="Y192" s="252">
        <f t="shared" si="33"/>
        <v>0</v>
      </c>
      <c r="AQ192" s="88"/>
    </row>
    <row r="193" spans="3:43" x14ac:dyDescent="0.25">
      <c r="C193" s="96"/>
      <c r="J193" s="90"/>
      <c r="K193" s="90"/>
      <c r="L193" s="90"/>
      <c r="M193" s="90"/>
      <c r="N193" s="90"/>
      <c r="O193" s="90"/>
      <c r="P193" s="90"/>
      <c r="Q193" s="90"/>
      <c r="R193" s="90"/>
      <c r="S193" s="90"/>
      <c r="T193" s="90"/>
      <c r="U193" s="90"/>
      <c r="V193" s="90"/>
      <c r="W193" s="90"/>
      <c r="X193" s="90"/>
      <c r="Y193" s="90"/>
      <c r="AQ193" s="88"/>
    </row>
    <row r="194" spans="3:43" x14ac:dyDescent="0.25">
      <c r="C194" s="7" t="str">
        <f ca="1">INDEX('Version control'!$H$35:$H$61,MATCH($A$1,'Version control'!$F$35:$F$61,0),1)&amp;"-F: Calculation of LV circuit diversity factor"</f>
        <v>Section 509-F: Calculation of LV circuit diversity factor</v>
      </c>
      <c r="D194" s="7"/>
      <c r="E194" s="7"/>
      <c r="F194" s="7"/>
      <c r="G194" s="7"/>
      <c r="H194" s="7"/>
      <c r="I194" s="7"/>
      <c r="J194" s="7"/>
      <c r="K194" s="7"/>
      <c r="L194" s="7"/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  <c r="Z194" s="7"/>
      <c r="AA194" s="7"/>
      <c r="AQ194" s="88"/>
    </row>
    <row r="195" spans="3:43" x14ac:dyDescent="0.25">
      <c r="C195" s="96"/>
      <c r="J195" s="90"/>
      <c r="K195" s="90"/>
      <c r="L195" s="90"/>
      <c r="M195" s="90"/>
      <c r="N195" s="90"/>
      <c r="O195" s="90"/>
      <c r="P195" s="90"/>
      <c r="Q195" s="90"/>
      <c r="R195" s="90"/>
      <c r="S195" s="90"/>
      <c r="T195" s="90"/>
      <c r="U195" s="90"/>
      <c r="V195" s="90"/>
      <c r="W195" s="90"/>
      <c r="X195" s="90"/>
      <c r="Y195" s="90"/>
      <c r="AQ195" s="88"/>
    </row>
    <row r="196" spans="3:43" x14ac:dyDescent="0.25">
      <c r="C196" s="96"/>
      <c r="D196" s="82" t="s">
        <v>716</v>
      </c>
      <c r="J196" s="90"/>
      <c r="K196" s="90"/>
      <c r="L196" s="90"/>
      <c r="M196" s="90"/>
      <c r="N196" s="90"/>
      <c r="O196" s="90"/>
      <c r="P196" s="90"/>
      <c r="Q196" s="90"/>
      <c r="R196" s="90"/>
      <c r="S196" s="90"/>
      <c r="T196" s="90"/>
      <c r="U196" s="90"/>
      <c r="V196" s="90"/>
      <c r="W196" s="90"/>
      <c r="X196" s="90"/>
      <c r="Y196" s="90"/>
      <c r="AQ196" s="88"/>
    </row>
    <row r="197" spans="3:43" x14ac:dyDescent="0.25">
      <c r="D197" s="96"/>
      <c r="J197" s="90"/>
      <c r="K197" s="90"/>
      <c r="L197" s="90"/>
      <c r="M197" s="90"/>
      <c r="N197" s="90"/>
      <c r="O197" s="90"/>
      <c r="P197" s="90"/>
      <c r="Q197" s="90"/>
      <c r="R197" s="90"/>
      <c r="S197" s="90"/>
      <c r="T197" s="90"/>
      <c r="U197" s="90"/>
      <c r="V197" s="90"/>
      <c r="W197" s="90"/>
      <c r="X197" s="90"/>
      <c r="Y197" s="90"/>
      <c r="AQ197" s="88"/>
    </row>
    <row r="198" spans="3:43" x14ac:dyDescent="0.25">
      <c r="E198" s="293" t="s">
        <v>447</v>
      </c>
      <c r="G198" s="293" t="s">
        <v>174</v>
      </c>
      <c r="H198" s="83"/>
      <c r="I198" s="293" t="s">
        <v>359</v>
      </c>
      <c r="J198" s="397" t="b">
        <f>'Fixed inputs'!J131</f>
        <v>1</v>
      </c>
      <c r="K198" s="397" t="b">
        <f>'Fixed inputs'!K131</f>
        <v>0</v>
      </c>
      <c r="L198" s="397" t="b">
        <f>'Fixed inputs'!L131</f>
        <v>1</v>
      </c>
      <c r="M198" s="397" t="b">
        <f>'Fixed inputs'!M131</f>
        <v>0</v>
      </c>
      <c r="N198" s="397" t="b">
        <f>'Fixed inputs'!N131</f>
        <v>1</v>
      </c>
      <c r="O198" s="397" t="b">
        <f>'Fixed inputs'!O131</f>
        <v>1</v>
      </c>
      <c r="P198" s="397" t="b">
        <f>'Fixed inputs'!P131</f>
        <v>1</v>
      </c>
      <c r="Q198" s="397" t="b">
        <f>'Fixed inputs'!Q131</f>
        <v>1</v>
      </c>
      <c r="R198" s="397" t="b">
        <f>'Fixed inputs'!R131</f>
        <v>1</v>
      </c>
      <c r="S198" s="397" t="b">
        <f>'Fixed inputs'!S131</f>
        <v>1</v>
      </c>
      <c r="T198" s="397" t="b">
        <f>'Fixed inputs'!T131</f>
        <v>1</v>
      </c>
      <c r="U198" s="397" t="b">
        <f>'Fixed inputs'!U131</f>
        <v>1</v>
      </c>
      <c r="V198" s="397" t="b">
        <f>'Fixed inputs'!V131</f>
        <v>1</v>
      </c>
      <c r="W198" s="397" t="b">
        <f>'Fixed inputs'!W131</f>
        <v>1</v>
      </c>
      <c r="X198" s="397" t="b">
        <f>'Fixed inputs'!X131</f>
        <v>1</v>
      </c>
      <c r="Y198" s="397" t="b">
        <f>'Fixed inputs'!Y131</f>
        <v>1</v>
      </c>
      <c r="AA198" s="293" t="s">
        <v>717</v>
      </c>
    </row>
    <row r="199" spans="3:43" x14ac:dyDescent="0.25">
      <c r="D199" s="96"/>
      <c r="H199" s="398"/>
      <c r="J199" s="90"/>
      <c r="L199" s="90"/>
      <c r="AQ199" s="88"/>
    </row>
    <row r="200" spans="3:43" x14ac:dyDescent="0.25">
      <c r="C200" s="96"/>
      <c r="E200" s="293" t="s">
        <v>326</v>
      </c>
      <c r="G200" s="293" t="s">
        <v>102</v>
      </c>
      <c r="H200" s="90"/>
      <c r="I200" s="293" t="s">
        <v>359</v>
      </c>
      <c r="J200" s="256">
        <f t="shared" ref="J200:Q200" si="34">IF(J61 = 0, 0, J59 / (hours_in_year * J61))</f>
        <v>3227.4951635828756</v>
      </c>
      <c r="K200" s="256">
        <f t="shared" si="34"/>
        <v>250.16486209301897</v>
      </c>
      <c r="L200" s="256">
        <f t="shared" si="34"/>
        <v>853.15253255325274</v>
      </c>
      <c r="M200" s="256">
        <f t="shared" si="34"/>
        <v>19.395608996465267</v>
      </c>
      <c r="N200" s="256">
        <f t="shared" si="34"/>
        <v>1020.436934920041</v>
      </c>
      <c r="O200" s="256">
        <f t="shared" si="34"/>
        <v>56.791959651664349</v>
      </c>
      <c r="P200" s="256">
        <f t="shared" si="34"/>
        <v>720.84261708673978</v>
      </c>
      <c r="Q200" s="256">
        <f t="shared" si="34"/>
        <v>46.935372348953571</v>
      </c>
      <c r="R200" s="374"/>
      <c r="S200" s="374"/>
      <c r="T200" s="374"/>
      <c r="U200" s="374"/>
      <c r="V200" s="374"/>
      <c r="W200" s="374"/>
      <c r="X200" s="374"/>
      <c r="Y200" s="374"/>
      <c r="AA200" s="293" t="s">
        <v>717</v>
      </c>
      <c r="AQ200" s="88"/>
    </row>
    <row r="201" spans="3:43" x14ac:dyDescent="0.25">
      <c r="C201" s="96"/>
      <c r="H201" s="90"/>
      <c r="J201" s="252"/>
      <c r="K201" s="252"/>
      <c r="L201" s="252"/>
      <c r="M201" s="252"/>
      <c r="N201" s="252"/>
      <c r="O201" s="252"/>
      <c r="P201" s="252"/>
      <c r="Q201" s="252"/>
      <c r="R201" s="90"/>
      <c r="S201" s="90"/>
      <c r="T201" s="90"/>
      <c r="U201" s="90"/>
      <c r="V201" s="90"/>
      <c r="W201" s="90"/>
      <c r="X201" s="90"/>
      <c r="Y201" s="90"/>
      <c r="AQ201" s="88"/>
    </row>
    <row r="202" spans="3:43" x14ac:dyDescent="0.25">
      <c r="E202" s="293" t="s">
        <v>311</v>
      </c>
      <c r="G202" s="293" t="s">
        <v>102</v>
      </c>
      <c r="H202" s="90"/>
      <c r="I202" s="293" t="s">
        <v>359</v>
      </c>
      <c r="J202" s="252">
        <f t="shared" ref="J202:Y202" si="35">J192 * J42 / $H53</f>
        <v>0</v>
      </c>
      <c r="K202" s="252">
        <f t="shared" si="35"/>
        <v>0</v>
      </c>
      <c r="L202" s="252">
        <f t="shared" si="35"/>
        <v>0</v>
      </c>
      <c r="M202" s="252">
        <f t="shared" si="35"/>
        <v>0</v>
      </c>
      <c r="N202" s="252">
        <f t="shared" si="35"/>
        <v>3270.8163274016451</v>
      </c>
      <c r="O202" s="252">
        <f t="shared" si="35"/>
        <v>0</v>
      </c>
      <c r="P202" s="252">
        <f t="shared" si="35"/>
        <v>0</v>
      </c>
      <c r="Q202" s="252">
        <f t="shared" si="35"/>
        <v>0</v>
      </c>
      <c r="R202" s="252">
        <f t="shared" si="35"/>
        <v>0</v>
      </c>
      <c r="S202" s="252">
        <f t="shared" si="35"/>
        <v>0</v>
      </c>
      <c r="T202" s="252">
        <f t="shared" si="35"/>
        <v>0</v>
      </c>
      <c r="U202" s="252">
        <f t="shared" si="35"/>
        <v>0</v>
      </c>
      <c r="V202" s="252">
        <f t="shared" si="35"/>
        <v>0</v>
      </c>
      <c r="W202" s="252">
        <f t="shared" si="35"/>
        <v>0</v>
      </c>
      <c r="X202" s="252">
        <f t="shared" si="35"/>
        <v>0</v>
      </c>
      <c r="Y202" s="252">
        <f t="shared" si="35"/>
        <v>0</v>
      </c>
      <c r="AA202" s="293" t="s">
        <v>717</v>
      </c>
    </row>
    <row r="203" spans="3:43" x14ac:dyDescent="0.25">
      <c r="H203" s="90"/>
      <c r="J203" s="252"/>
      <c r="K203" s="252"/>
      <c r="L203" s="252"/>
      <c r="M203" s="252"/>
      <c r="N203" s="252"/>
      <c r="O203" s="252"/>
      <c r="P203" s="252"/>
      <c r="Q203" s="252"/>
      <c r="R203" s="252"/>
      <c r="S203" s="252"/>
      <c r="T203" s="252"/>
      <c r="U203" s="252"/>
      <c r="V203" s="252"/>
      <c r="W203" s="252"/>
      <c r="X203" s="252"/>
      <c r="Y203" s="252"/>
    </row>
    <row r="204" spans="3:43" x14ac:dyDescent="0.25">
      <c r="E204" s="293" t="s">
        <v>446</v>
      </c>
      <c r="G204" s="293" t="s">
        <v>102</v>
      </c>
      <c r="H204" s="90"/>
      <c r="J204" s="252">
        <f t="shared" ref="J204:Y204" si="36">IF(J198, J$200 * J42 / $H53, 0)</f>
        <v>3227.4951635828756</v>
      </c>
      <c r="K204" s="252">
        <f t="shared" si="36"/>
        <v>0</v>
      </c>
      <c r="L204" s="252">
        <f t="shared" si="36"/>
        <v>853.15253255325274</v>
      </c>
      <c r="M204" s="252">
        <f t="shared" si="36"/>
        <v>0</v>
      </c>
      <c r="N204" s="252">
        <f t="shared" si="36"/>
        <v>1020.436934920041</v>
      </c>
      <c r="O204" s="252">
        <f t="shared" si="36"/>
        <v>0</v>
      </c>
      <c r="P204" s="252">
        <f t="shared" si="36"/>
        <v>0</v>
      </c>
      <c r="Q204" s="252">
        <f t="shared" si="36"/>
        <v>46.935372348953571</v>
      </c>
      <c r="R204" s="252">
        <f t="shared" si="36"/>
        <v>0</v>
      </c>
      <c r="S204" s="252">
        <f t="shared" si="36"/>
        <v>0</v>
      </c>
      <c r="T204" s="252">
        <f t="shared" si="36"/>
        <v>0</v>
      </c>
      <c r="U204" s="252">
        <f t="shared" si="36"/>
        <v>0</v>
      </c>
      <c r="V204" s="252">
        <f t="shared" si="36"/>
        <v>0</v>
      </c>
      <c r="W204" s="252">
        <f t="shared" si="36"/>
        <v>0</v>
      </c>
      <c r="X204" s="252">
        <f t="shared" si="36"/>
        <v>0</v>
      </c>
      <c r="Y204" s="252">
        <f t="shared" si="36"/>
        <v>0</v>
      </c>
    </row>
    <row r="205" spans="3:43" x14ac:dyDescent="0.25">
      <c r="H205" s="90"/>
      <c r="J205" s="252"/>
      <c r="K205" s="252"/>
      <c r="L205" s="252"/>
      <c r="M205" s="252"/>
      <c r="N205" s="252"/>
      <c r="O205" s="252"/>
      <c r="P205" s="252"/>
      <c r="Q205" s="252"/>
      <c r="R205" s="252"/>
      <c r="S205" s="252"/>
      <c r="T205" s="252"/>
      <c r="U205" s="252"/>
      <c r="V205" s="252"/>
      <c r="W205" s="252"/>
      <c r="X205" s="252"/>
      <c r="Y205" s="252"/>
    </row>
    <row r="206" spans="3:43" x14ac:dyDescent="0.25">
      <c r="E206" s="293" t="s">
        <v>450</v>
      </c>
      <c r="G206" s="293" t="s">
        <v>102</v>
      </c>
      <c r="H206" s="90"/>
      <c r="J206" s="252">
        <f t="shared" ref="J206:Y206" si="37">IF(J202 = 0, J204, J202)</f>
        <v>3227.4951635828756</v>
      </c>
      <c r="K206" s="252">
        <f t="shared" si="37"/>
        <v>0</v>
      </c>
      <c r="L206" s="252">
        <f t="shared" si="37"/>
        <v>853.15253255325274</v>
      </c>
      <c r="M206" s="252">
        <f t="shared" si="37"/>
        <v>0</v>
      </c>
      <c r="N206" s="252">
        <f t="shared" si="37"/>
        <v>3270.8163274016451</v>
      </c>
      <c r="O206" s="252">
        <f t="shared" si="37"/>
        <v>0</v>
      </c>
      <c r="P206" s="252">
        <f t="shared" si="37"/>
        <v>0</v>
      </c>
      <c r="Q206" s="252">
        <f t="shared" si="37"/>
        <v>46.935372348953571</v>
      </c>
      <c r="R206" s="252">
        <f t="shared" si="37"/>
        <v>0</v>
      </c>
      <c r="S206" s="252">
        <f t="shared" si="37"/>
        <v>0</v>
      </c>
      <c r="T206" s="252">
        <f t="shared" si="37"/>
        <v>0</v>
      </c>
      <c r="U206" s="252">
        <f t="shared" si="37"/>
        <v>0</v>
      </c>
      <c r="V206" s="252">
        <f t="shared" si="37"/>
        <v>0</v>
      </c>
      <c r="W206" s="252">
        <f t="shared" si="37"/>
        <v>0</v>
      </c>
      <c r="X206" s="252">
        <f t="shared" si="37"/>
        <v>0</v>
      </c>
      <c r="Y206" s="252">
        <f t="shared" si="37"/>
        <v>0</v>
      </c>
    </row>
    <row r="207" spans="3:43" x14ac:dyDescent="0.25">
      <c r="H207" s="90"/>
      <c r="J207" s="252"/>
      <c r="K207" s="252"/>
      <c r="L207" s="252"/>
      <c r="M207" s="252"/>
      <c r="N207" s="252"/>
      <c r="O207" s="252"/>
      <c r="P207" s="252"/>
      <c r="Q207" s="252"/>
      <c r="R207" s="252"/>
      <c r="S207" s="252"/>
      <c r="T207" s="252"/>
      <c r="U207" s="252"/>
      <c r="V207" s="252"/>
      <c r="W207" s="252"/>
      <c r="X207" s="252"/>
      <c r="Y207" s="252"/>
    </row>
    <row r="208" spans="3:43" x14ac:dyDescent="0.25">
      <c r="E208" s="293" t="s">
        <v>448</v>
      </c>
      <c r="G208" s="293" t="s">
        <v>102</v>
      </c>
      <c r="H208" s="90"/>
      <c r="I208" s="293" t="s">
        <v>359</v>
      </c>
      <c r="J208" s="252">
        <f t="shared" ref="J208:Y208" si="38">J150</f>
        <v>2511.2883661284673</v>
      </c>
      <c r="K208" s="252">
        <f t="shared" si="38"/>
        <v>10.124214095204056</v>
      </c>
      <c r="L208" s="252">
        <f t="shared" si="38"/>
        <v>541.37504599241333</v>
      </c>
      <c r="M208" s="252">
        <f t="shared" si="38"/>
        <v>2.0373471832519807</v>
      </c>
      <c r="N208" s="252">
        <f t="shared" si="38"/>
        <v>761.44817333474293</v>
      </c>
      <c r="O208" s="252">
        <f t="shared" si="38"/>
        <v>0</v>
      </c>
      <c r="P208" s="252">
        <f t="shared" si="38"/>
        <v>0</v>
      </c>
      <c r="Q208" s="252">
        <f t="shared" si="38"/>
        <v>24.614284524720318</v>
      </c>
      <c r="R208" s="252">
        <f t="shared" si="38"/>
        <v>0</v>
      </c>
      <c r="S208" s="252">
        <f t="shared" si="38"/>
        <v>0</v>
      </c>
      <c r="T208" s="252">
        <f t="shared" si="38"/>
        <v>0</v>
      </c>
      <c r="U208" s="252">
        <f t="shared" si="38"/>
        <v>0</v>
      </c>
      <c r="V208" s="252">
        <f t="shared" si="38"/>
        <v>0</v>
      </c>
      <c r="W208" s="252">
        <f t="shared" si="38"/>
        <v>0</v>
      </c>
      <c r="X208" s="252">
        <f t="shared" si="38"/>
        <v>0</v>
      </c>
      <c r="Y208" s="252">
        <f t="shared" si="38"/>
        <v>0</v>
      </c>
      <c r="AA208" s="293" t="s">
        <v>717</v>
      </c>
    </row>
    <row r="209" spans="5:43" x14ac:dyDescent="0.25">
      <c r="H209" s="90"/>
      <c r="J209" s="90"/>
      <c r="K209" s="90"/>
      <c r="L209" s="90"/>
      <c r="M209" s="90"/>
      <c r="N209" s="90"/>
      <c r="O209" s="90"/>
      <c r="P209" s="90"/>
      <c r="Q209" s="90"/>
      <c r="R209" s="90"/>
      <c r="S209" s="90"/>
      <c r="T209" s="90"/>
      <c r="U209" s="90"/>
      <c r="V209" s="90"/>
      <c r="W209" s="90"/>
      <c r="X209" s="90"/>
      <c r="Y209" s="90"/>
    </row>
    <row r="210" spans="5:43" x14ac:dyDescent="0.25">
      <c r="E210" s="293" t="s">
        <v>449</v>
      </c>
      <c r="G210" s="293" t="s">
        <v>94</v>
      </c>
      <c r="H210" s="399">
        <f>SUM(J206:Y206) / SUM(J208:Y208) - 1</f>
        <v>0.92121933656946653</v>
      </c>
      <c r="J210" s="90"/>
      <c r="K210" s="90"/>
      <c r="L210" s="90"/>
      <c r="M210" s="90"/>
      <c r="N210" s="90"/>
      <c r="O210" s="90"/>
      <c r="P210" s="90"/>
      <c r="Q210" s="90"/>
      <c r="R210" s="90"/>
      <c r="S210" s="90"/>
      <c r="T210" s="90"/>
      <c r="U210" s="90"/>
      <c r="V210" s="90"/>
      <c r="W210" s="90"/>
      <c r="X210" s="90"/>
      <c r="Y210" s="90"/>
    </row>
    <row r="211" spans="5:43" x14ac:dyDescent="0.25">
      <c r="H211" s="83"/>
    </row>
    <row r="212" spans="5:43" x14ac:dyDescent="0.25">
      <c r="E212" s="96" t="s">
        <v>319</v>
      </c>
      <c r="J212" s="90"/>
      <c r="L212" s="90"/>
      <c r="AA212" s="293" t="s">
        <v>717</v>
      </c>
      <c r="AQ212" s="88"/>
    </row>
    <row r="213" spans="5:43" x14ac:dyDescent="0.25">
      <c r="E213" s="82" t="s">
        <v>353</v>
      </c>
      <c r="F213" s="82"/>
      <c r="J213" s="90"/>
      <c r="L213" s="90"/>
      <c r="AQ213" s="88"/>
    </row>
    <row r="214" spans="5:43" x14ac:dyDescent="0.25">
      <c r="E214" s="96"/>
      <c r="F214" s="91" t="s">
        <v>43</v>
      </c>
      <c r="G214" s="91" t="s">
        <v>94</v>
      </c>
      <c r="H214" s="137">
        <f t="array" ref="H214:H222">TRANSPOSE('Load &amp; loss characteristics'!K23:S23)</f>
        <v>4.949939187329E-2</v>
      </c>
      <c r="J214" s="90"/>
      <c r="K214" s="89"/>
      <c r="L214" s="90"/>
      <c r="M214" s="89"/>
      <c r="AQ214" s="88"/>
    </row>
    <row r="215" spans="5:43" x14ac:dyDescent="0.25">
      <c r="E215" s="96"/>
      <c r="F215" s="293" t="s">
        <v>44</v>
      </c>
      <c r="G215" s="293" t="s">
        <v>94</v>
      </c>
      <c r="H215" s="143">
        <v>8.4907667851456869E-2</v>
      </c>
      <c r="J215" s="90"/>
      <c r="L215" s="90"/>
      <c r="AQ215" s="88"/>
    </row>
    <row r="216" spans="5:43" x14ac:dyDescent="0.25">
      <c r="E216" s="96"/>
      <c r="F216" s="293" t="s">
        <v>45</v>
      </c>
      <c r="G216" s="293" t="s">
        <v>94</v>
      </c>
      <c r="H216" s="143">
        <v>8.4907667851456869E-2</v>
      </c>
      <c r="J216" s="90"/>
      <c r="L216" s="90"/>
      <c r="AQ216" s="88"/>
    </row>
    <row r="217" spans="5:43" x14ac:dyDescent="0.25">
      <c r="E217" s="96"/>
      <c r="F217" s="293" t="s">
        <v>46</v>
      </c>
      <c r="G217" s="293" t="s">
        <v>94</v>
      </c>
      <c r="H217" s="143">
        <v>0.17181913007620908</v>
      </c>
      <c r="J217" s="90"/>
      <c r="L217" s="90"/>
      <c r="AQ217" s="88"/>
    </row>
    <row r="218" spans="5:43" x14ac:dyDescent="0.25">
      <c r="E218" s="96"/>
      <c r="F218" s="293" t="s">
        <v>47</v>
      </c>
      <c r="G218" s="293" t="s">
        <v>94</v>
      </c>
      <c r="H218" s="143">
        <v>0.17181913007620908</v>
      </c>
      <c r="J218" s="90"/>
      <c r="L218" s="90"/>
      <c r="AQ218" s="88"/>
    </row>
    <row r="219" spans="5:43" x14ac:dyDescent="0.25">
      <c r="E219" s="96"/>
      <c r="F219" s="293" t="s">
        <v>51</v>
      </c>
      <c r="G219" s="293" t="s">
        <v>94</v>
      </c>
      <c r="H219" s="143">
        <v>8.4907667851456869E-2</v>
      </c>
      <c r="J219" s="90"/>
      <c r="L219" s="90"/>
      <c r="AQ219" s="88"/>
    </row>
    <row r="220" spans="5:43" x14ac:dyDescent="0.25">
      <c r="E220" s="96"/>
      <c r="F220" s="293" t="s">
        <v>48</v>
      </c>
      <c r="G220" s="293" t="s">
        <v>94</v>
      </c>
      <c r="H220" s="143">
        <v>0.60539220820440676</v>
      </c>
      <c r="J220" s="90"/>
      <c r="L220" s="90"/>
      <c r="AQ220" s="88"/>
    </row>
    <row r="221" spans="5:43" x14ac:dyDescent="0.25">
      <c r="E221" s="96"/>
      <c r="F221" s="293" t="s">
        <v>49</v>
      </c>
      <c r="G221" s="293" t="s">
        <v>94</v>
      </c>
      <c r="H221" s="143">
        <v>0.60539220820440676</v>
      </c>
      <c r="J221" s="90"/>
      <c r="L221" s="90"/>
      <c r="AQ221" s="88"/>
    </row>
    <row r="222" spans="5:43" x14ac:dyDescent="0.25">
      <c r="E222" s="96"/>
      <c r="F222" s="93" t="s">
        <v>50</v>
      </c>
      <c r="G222" s="93" t="s">
        <v>94</v>
      </c>
      <c r="H222" s="390">
        <v>0.60539220820440676</v>
      </c>
      <c r="J222" s="90"/>
      <c r="L222" s="90"/>
      <c r="AQ222" s="88"/>
    </row>
    <row r="223" spans="5:43" x14ac:dyDescent="0.25">
      <c r="H223" s="83"/>
    </row>
    <row r="224" spans="5:43" x14ac:dyDescent="0.25">
      <c r="E224" s="96" t="s">
        <v>288</v>
      </c>
      <c r="J224" s="90"/>
      <c r="L224" s="90"/>
      <c r="AA224" s="293" t="s">
        <v>717</v>
      </c>
      <c r="AQ224" s="88"/>
    </row>
    <row r="225" spans="3:43" x14ac:dyDescent="0.25">
      <c r="E225" s="82" t="s">
        <v>352</v>
      </c>
      <c r="F225" s="82"/>
      <c r="J225" s="90"/>
      <c r="L225" s="90"/>
      <c r="AQ225" s="88"/>
    </row>
    <row r="226" spans="3:43" x14ac:dyDescent="0.25">
      <c r="C226" s="96"/>
      <c r="F226" s="91" t="s">
        <v>43</v>
      </c>
      <c r="G226" s="91" t="s">
        <v>94</v>
      </c>
      <c r="H226" s="175">
        <f t="shared" ref="H226:H233" si="39">IF(F226 = $F$234, $H$210, H214)</f>
        <v>4.949939187329E-2</v>
      </c>
      <c r="J226" s="90"/>
      <c r="L226" s="90"/>
      <c r="AQ226" s="88"/>
    </row>
    <row r="227" spans="3:43" x14ac:dyDescent="0.25">
      <c r="C227" s="96"/>
      <c r="F227" s="293" t="s">
        <v>44</v>
      </c>
      <c r="G227" s="293" t="s">
        <v>94</v>
      </c>
      <c r="H227" s="17">
        <f t="shared" si="39"/>
        <v>8.4907667851456869E-2</v>
      </c>
      <c r="J227" s="90"/>
      <c r="L227" s="90"/>
      <c r="AQ227" s="88"/>
    </row>
    <row r="228" spans="3:43" x14ac:dyDescent="0.25">
      <c r="C228" s="96"/>
      <c r="F228" s="293" t="s">
        <v>45</v>
      </c>
      <c r="G228" s="293" t="s">
        <v>94</v>
      </c>
      <c r="H228" s="17">
        <f t="shared" si="39"/>
        <v>8.4907667851456869E-2</v>
      </c>
      <c r="J228" s="90"/>
      <c r="L228" s="90"/>
      <c r="AQ228" s="88"/>
    </row>
    <row r="229" spans="3:43" x14ac:dyDescent="0.25">
      <c r="C229" s="96"/>
      <c r="F229" s="293" t="s">
        <v>46</v>
      </c>
      <c r="G229" s="293" t="s">
        <v>94</v>
      </c>
      <c r="H229" s="17">
        <f t="shared" si="39"/>
        <v>0.17181913007620908</v>
      </c>
      <c r="J229" s="90"/>
      <c r="L229" s="90"/>
      <c r="AQ229" s="88"/>
    </row>
    <row r="230" spans="3:43" x14ac:dyDescent="0.25">
      <c r="C230" s="96"/>
      <c r="F230" s="293" t="s">
        <v>47</v>
      </c>
      <c r="G230" s="293" t="s">
        <v>94</v>
      </c>
      <c r="H230" s="17">
        <f t="shared" si="39"/>
        <v>0.17181913007620908</v>
      </c>
      <c r="J230" s="90"/>
      <c r="L230" s="90"/>
      <c r="AQ230" s="88"/>
    </row>
    <row r="231" spans="3:43" x14ac:dyDescent="0.25">
      <c r="C231" s="96"/>
      <c r="F231" s="293" t="s">
        <v>51</v>
      </c>
      <c r="G231" s="293" t="s">
        <v>94</v>
      </c>
      <c r="H231" s="17">
        <f t="shared" si="39"/>
        <v>8.4907667851456869E-2</v>
      </c>
      <c r="J231" s="90"/>
      <c r="L231" s="90"/>
      <c r="AQ231" s="88"/>
    </row>
    <row r="232" spans="3:43" x14ac:dyDescent="0.25">
      <c r="C232" s="96"/>
      <c r="F232" s="293" t="s">
        <v>48</v>
      </c>
      <c r="G232" s="293" t="s">
        <v>94</v>
      </c>
      <c r="H232" s="17">
        <f t="shared" si="39"/>
        <v>0.60539220820440676</v>
      </c>
      <c r="J232" s="90"/>
      <c r="L232" s="90"/>
      <c r="AQ232" s="88"/>
    </row>
    <row r="233" spans="3:43" x14ac:dyDescent="0.25">
      <c r="C233" s="96"/>
      <c r="F233" s="293" t="s">
        <v>49</v>
      </c>
      <c r="G233" s="293" t="s">
        <v>94</v>
      </c>
      <c r="H233" s="17">
        <f t="shared" si="39"/>
        <v>0.60539220820440676</v>
      </c>
      <c r="J233" s="90"/>
      <c r="L233" s="90"/>
      <c r="AQ233" s="88"/>
    </row>
    <row r="234" spans="3:43" x14ac:dyDescent="0.25">
      <c r="C234" s="96"/>
      <c r="F234" s="93" t="s">
        <v>50</v>
      </c>
      <c r="G234" s="93" t="s">
        <v>94</v>
      </c>
      <c r="H234" s="18">
        <f>IF(F234 = $F$234, $H$210, H222)</f>
        <v>0.92121933656946653</v>
      </c>
      <c r="J234" s="90"/>
      <c r="L234" s="90"/>
      <c r="AQ234" s="88"/>
    </row>
    <row r="235" spans="3:43" x14ac:dyDescent="0.25">
      <c r="H235" s="83"/>
    </row>
    <row r="236" spans="3:43" x14ac:dyDescent="0.25">
      <c r="C236" s="7" t="str">
        <f ca="1">INDEX('Version control'!$H$35:$H$61,MATCH($A$1,'Version control'!$F$35:$F$61,0),1)&amp;"-G: Import/exceeded capacity contribution to system peak"</f>
        <v>Section 509-G: Import/exceeded capacity contribution to system peak</v>
      </c>
      <c r="D236" s="7"/>
      <c r="E236" s="7"/>
      <c r="F236" s="7"/>
      <c r="G236" s="7"/>
      <c r="H236" s="7"/>
      <c r="I236" s="7"/>
      <c r="J236" s="7"/>
      <c r="K236" s="7"/>
      <c r="L236" s="7"/>
      <c r="M236" s="7"/>
      <c r="N236" s="7"/>
      <c r="O236" s="7"/>
      <c r="P236" s="7"/>
      <c r="Q236" s="7"/>
      <c r="R236" s="7"/>
      <c r="S236" s="7"/>
      <c r="T236" s="7"/>
      <c r="U236" s="7"/>
      <c r="V236" s="7"/>
      <c r="W236" s="7"/>
      <c r="X236" s="7"/>
      <c r="Y236" s="7"/>
      <c r="Z236" s="7"/>
      <c r="AA236" s="7"/>
      <c r="AQ236" s="88"/>
    </row>
    <row r="237" spans="3:43" x14ac:dyDescent="0.25">
      <c r="H237" s="83"/>
    </row>
    <row r="238" spans="3:43" x14ac:dyDescent="0.25">
      <c r="E238" s="96" t="s">
        <v>354</v>
      </c>
      <c r="F238" s="82"/>
      <c r="H238" s="174"/>
    </row>
    <row r="239" spans="3:43" x14ac:dyDescent="0.25">
      <c r="C239" s="96"/>
      <c r="F239" s="91" t="s">
        <v>43</v>
      </c>
      <c r="G239" s="91" t="s">
        <v>102</v>
      </c>
      <c r="H239" s="74"/>
      <c r="I239" s="91"/>
      <c r="J239" s="277">
        <f t="shared" ref="J239:Y247" si="40">J$192 * J23 * J34 / (1 + $H226) / $H45</f>
        <v>0</v>
      </c>
      <c r="K239" s="277">
        <f t="shared" si="40"/>
        <v>0</v>
      </c>
      <c r="L239" s="277">
        <f t="shared" si="40"/>
        <v>0</v>
      </c>
      <c r="M239" s="277">
        <f t="shared" si="40"/>
        <v>0</v>
      </c>
      <c r="N239" s="277">
        <f t="shared" si="40"/>
        <v>0</v>
      </c>
      <c r="O239" s="277">
        <f t="shared" si="40"/>
        <v>0</v>
      </c>
      <c r="P239" s="277">
        <f t="shared" si="40"/>
        <v>0</v>
      </c>
      <c r="Q239" s="277">
        <f t="shared" si="40"/>
        <v>0</v>
      </c>
      <c r="R239" s="277">
        <f t="shared" si="40"/>
        <v>0</v>
      </c>
      <c r="S239" s="277">
        <f t="shared" si="40"/>
        <v>0</v>
      </c>
      <c r="T239" s="277">
        <f t="shared" si="40"/>
        <v>0</v>
      </c>
      <c r="U239" s="277">
        <f t="shared" si="40"/>
        <v>0</v>
      </c>
      <c r="V239" s="277">
        <f t="shared" si="40"/>
        <v>0</v>
      </c>
      <c r="W239" s="277">
        <f t="shared" si="40"/>
        <v>0</v>
      </c>
      <c r="X239" s="277">
        <f t="shared" si="40"/>
        <v>0</v>
      </c>
      <c r="Y239" s="277">
        <f t="shared" si="40"/>
        <v>0</v>
      </c>
      <c r="AQ239" s="88"/>
    </row>
    <row r="240" spans="3:43" x14ac:dyDescent="0.25">
      <c r="C240" s="96"/>
      <c r="F240" s="293" t="s">
        <v>44</v>
      </c>
      <c r="G240" s="293" t="s">
        <v>102</v>
      </c>
      <c r="H240" s="90"/>
      <c r="J240" s="252">
        <f t="shared" si="40"/>
        <v>0</v>
      </c>
      <c r="K240" s="252">
        <f t="shared" si="40"/>
        <v>0</v>
      </c>
      <c r="L240" s="252">
        <f t="shared" si="40"/>
        <v>0</v>
      </c>
      <c r="M240" s="252">
        <f t="shared" si="40"/>
        <v>0</v>
      </c>
      <c r="N240" s="252">
        <f t="shared" si="40"/>
        <v>0</v>
      </c>
      <c r="O240" s="252">
        <f t="shared" si="40"/>
        <v>0</v>
      </c>
      <c r="P240" s="252">
        <f t="shared" si="40"/>
        <v>0</v>
      </c>
      <c r="Q240" s="252">
        <f t="shared" si="40"/>
        <v>0</v>
      </c>
      <c r="R240" s="252">
        <f t="shared" si="40"/>
        <v>0</v>
      </c>
      <c r="S240" s="252">
        <f t="shared" si="40"/>
        <v>0</v>
      </c>
      <c r="T240" s="252">
        <f t="shared" si="40"/>
        <v>0</v>
      </c>
      <c r="U240" s="252">
        <f t="shared" si="40"/>
        <v>0</v>
      </c>
      <c r="V240" s="252">
        <f t="shared" si="40"/>
        <v>0</v>
      </c>
      <c r="W240" s="252">
        <f t="shared" si="40"/>
        <v>0</v>
      </c>
      <c r="X240" s="252">
        <f t="shared" si="40"/>
        <v>0</v>
      </c>
      <c r="Y240" s="252">
        <f t="shared" si="40"/>
        <v>0</v>
      </c>
      <c r="AQ240" s="88"/>
    </row>
    <row r="241" spans="3:43" x14ac:dyDescent="0.25">
      <c r="C241" s="96"/>
      <c r="F241" s="293" t="s">
        <v>45</v>
      </c>
      <c r="G241" s="293" t="s">
        <v>102</v>
      </c>
      <c r="H241" s="90"/>
      <c r="J241" s="252">
        <f t="shared" si="40"/>
        <v>0</v>
      </c>
      <c r="K241" s="252">
        <f t="shared" si="40"/>
        <v>0</v>
      </c>
      <c r="L241" s="252">
        <f t="shared" si="40"/>
        <v>0</v>
      </c>
      <c r="M241" s="252">
        <f t="shared" si="40"/>
        <v>0</v>
      </c>
      <c r="N241" s="252">
        <f t="shared" si="40"/>
        <v>0</v>
      </c>
      <c r="O241" s="252">
        <f t="shared" si="40"/>
        <v>0</v>
      </c>
      <c r="P241" s="252">
        <f t="shared" si="40"/>
        <v>0</v>
      </c>
      <c r="Q241" s="252">
        <f t="shared" si="40"/>
        <v>0</v>
      </c>
      <c r="R241" s="252">
        <f t="shared" si="40"/>
        <v>0</v>
      </c>
      <c r="S241" s="252">
        <f t="shared" si="40"/>
        <v>0</v>
      </c>
      <c r="T241" s="252">
        <f t="shared" si="40"/>
        <v>0</v>
      </c>
      <c r="U241" s="252">
        <f t="shared" si="40"/>
        <v>0</v>
      </c>
      <c r="V241" s="252">
        <f t="shared" si="40"/>
        <v>0</v>
      </c>
      <c r="W241" s="252">
        <f t="shared" si="40"/>
        <v>0</v>
      </c>
      <c r="X241" s="252">
        <f t="shared" si="40"/>
        <v>0</v>
      </c>
      <c r="Y241" s="252">
        <f t="shared" si="40"/>
        <v>0</v>
      </c>
      <c r="AQ241" s="88"/>
    </row>
    <row r="242" spans="3:43" x14ac:dyDescent="0.25">
      <c r="C242" s="96"/>
      <c r="F242" s="293" t="s">
        <v>46</v>
      </c>
      <c r="G242" s="293" t="s">
        <v>102</v>
      </c>
      <c r="H242" s="90"/>
      <c r="J242" s="252">
        <f t="shared" si="40"/>
        <v>0</v>
      </c>
      <c r="K242" s="252">
        <f t="shared" si="40"/>
        <v>0</v>
      </c>
      <c r="L242" s="252">
        <f t="shared" si="40"/>
        <v>0</v>
      </c>
      <c r="M242" s="252">
        <f t="shared" si="40"/>
        <v>0</v>
      </c>
      <c r="N242" s="252">
        <f t="shared" si="40"/>
        <v>0</v>
      </c>
      <c r="O242" s="252">
        <f t="shared" si="40"/>
        <v>0</v>
      </c>
      <c r="P242" s="252">
        <f t="shared" si="40"/>
        <v>334.39093736417357</v>
      </c>
      <c r="Q242" s="252">
        <f t="shared" si="40"/>
        <v>0</v>
      </c>
      <c r="R242" s="252">
        <f t="shared" si="40"/>
        <v>0</v>
      </c>
      <c r="S242" s="252">
        <f t="shared" si="40"/>
        <v>0</v>
      </c>
      <c r="T242" s="252">
        <f t="shared" si="40"/>
        <v>0</v>
      </c>
      <c r="U242" s="252">
        <f t="shared" si="40"/>
        <v>0</v>
      </c>
      <c r="V242" s="252">
        <f t="shared" si="40"/>
        <v>0</v>
      </c>
      <c r="W242" s="252">
        <f t="shared" si="40"/>
        <v>0</v>
      </c>
      <c r="X242" s="252">
        <f t="shared" si="40"/>
        <v>0</v>
      </c>
      <c r="Y242" s="252">
        <f t="shared" si="40"/>
        <v>0</v>
      </c>
      <c r="AQ242" s="88"/>
    </row>
    <row r="243" spans="3:43" x14ac:dyDescent="0.25">
      <c r="C243" s="96"/>
      <c r="F243" s="293" t="s">
        <v>47</v>
      </c>
      <c r="G243" s="293" t="s">
        <v>102</v>
      </c>
      <c r="H243" s="90"/>
      <c r="J243" s="252">
        <f t="shared" si="40"/>
        <v>0</v>
      </c>
      <c r="K243" s="252">
        <f t="shared" si="40"/>
        <v>0</v>
      </c>
      <c r="L243" s="252">
        <f t="shared" si="40"/>
        <v>0</v>
      </c>
      <c r="M243" s="252">
        <f t="shared" si="40"/>
        <v>0</v>
      </c>
      <c r="N243" s="252">
        <f t="shared" si="40"/>
        <v>0</v>
      </c>
      <c r="O243" s="252">
        <f t="shared" si="40"/>
        <v>0</v>
      </c>
      <c r="P243" s="252">
        <f t="shared" si="40"/>
        <v>1662.1196592513331</v>
      </c>
      <c r="Q243" s="252">
        <f t="shared" si="40"/>
        <v>0</v>
      </c>
      <c r="R243" s="252">
        <f t="shared" si="40"/>
        <v>0</v>
      </c>
      <c r="S243" s="252">
        <f t="shared" si="40"/>
        <v>0</v>
      </c>
      <c r="T243" s="252">
        <f t="shared" si="40"/>
        <v>0</v>
      </c>
      <c r="U243" s="252">
        <f t="shared" si="40"/>
        <v>0</v>
      </c>
      <c r="V243" s="252">
        <f t="shared" si="40"/>
        <v>0</v>
      </c>
      <c r="W243" s="252">
        <f t="shared" si="40"/>
        <v>0</v>
      </c>
      <c r="X243" s="252">
        <f t="shared" si="40"/>
        <v>0</v>
      </c>
      <c r="Y243" s="252">
        <f t="shared" si="40"/>
        <v>0</v>
      </c>
      <c r="AQ243" s="88"/>
    </row>
    <row r="244" spans="3:43" x14ac:dyDescent="0.25">
      <c r="C244" s="96"/>
      <c r="F244" s="293" t="s">
        <v>51</v>
      </c>
      <c r="G244" s="293" t="s">
        <v>102</v>
      </c>
      <c r="H244" s="90"/>
      <c r="J244" s="252">
        <f t="shared" si="40"/>
        <v>0</v>
      </c>
      <c r="K244" s="252">
        <f t="shared" si="40"/>
        <v>0</v>
      </c>
      <c r="L244" s="252">
        <f t="shared" si="40"/>
        <v>0</v>
      </c>
      <c r="M244" s="252">
        <f t="shared" si="40"/>
        <v>0</v>
      </c>
      <c r="N244" s="252">
        <f t="shared" si="40"/>
        <v>0</v>
      </c>
      <c r="O244" s="252">
        <f t="shared" si="40"/>
        <v>0</v>
      </c>
      <c r="P244" s="252">
        <f t="shared" si="40"/>
        <v>0</v>
      </c>
      <c r="Q244" s="252">
        <f t="shared" si="40"/>
        <v>0</v>
      </c>
      <c r="R244" s="252">
        <f t="shared" si="40"/>
        <v>0</v>
      </c>
      <c r="S244" s="252">
        <f t="shared" si="40"/>
        <v>0</v>
      </c>
      <c r="T244" s="252">
        <f t="shared" si="40"/>
        <v>0</v>
      </c>
      <c r="U244" s="252">
        <f t="shared" si="40"/>
        <v>0</v>
      </c>
      <c r="V244" s="252">
        <f t="shared" si="40"/>
        <v>0</v>
      </c>
      <c r="W244" s="252">
        <f t="shared" si="40"/>
        <v>0</v>
      </c>
      <c r="X244" s="252">
        <f t="shared" si="40"/>
        <v>0</v>
      </c>
      <c r="Y244" s="252">
        <f t="shared" si="40"/>
        <v>0</v>
      </c>
      <c r="AQ244" s="88"/>
    </row>
    <row r="245" spans="3:43" x14ac:dyDescent="0.25">
      <c r="C245" s="96"/>
      <c r="F245" s="293" t="s">
        <v>48</v>
      </c>
      <c r="G245" s="293" t="s">
        <v>102</v>
      </c>
      <c r="H245" s="90"/>
      <c r="J245" s="252">
        <f t="shared" si="40"/>
        <v>0</v>
      </c>
      <c r="K245" s="252">
        <f t="shared" si="40"/>
        <v>0</v>
      </c>
      <c r="L245" s="252">
        <f t="shared" si="40"/>
        <v>0</v>
      </c>
      <c r="M245" s="252">
        <f t="shared" si="40"/>
        <v>0</v>
      </c>
      <c r="N245" s="252">
        <f t="shared" si="40"/>
        <v>430.84248534933522</v>
      </c>
      <c r="O245" s="252">
        <f t="shared" si="40"/>
        <v>82.933120729777855</v>
      </c>
      <c r="P245" s="252">
        <f t="shared" si="40"/>
        <v>1202.6147222775705</v>
      </c>
      <c r="Q245" s="252">
        <f t="shared" si="40"/>
        <v>0</v>
      </c>
      <c r="R245" s="252">
        <f t="shared" si="40"/>
        <v>0</v>
      </c>
      <c r="S245" s="252">
        <f t="shared" si="40"/>
        <v>0</v>
      </c>
      <c r="T245" s="252">
        <f t="shared" si="40"/>
        <v>0</v>
      </c>
      <c r="U245" s="252">
        <f t="shared" si="40"/>
        <v>0</v>
      </c>
      <c r="V245" s="252">
        <f t="shared" si="40"/>
        <v>0</v>
      </c>
      <c r="W245" s="252">
        <f t="shared" si="40"/>
        <v>0</v>
      </c>
      <c r="X245" s="252">
        <f t="shared" si="40"/>
        <v>0</v>
      </c>
      <c r="Y245" s="252">
        <f t="shared" si="40"/>
        <v>0</v>
      </c>
      <c r="AQ245" s="88"/>
    </row>
    <row r="246" spans="3:43" x14ac:dyDescent="0.25">
      <c r="C246" s="96"/>
      <c r="F246" s="293" t="s">
        <v>49</v>
      </c>
      <c r="G246" s="293" t="s">
        <v>102</v>
      </c>
      <c r="H246" s="90"/>
      <c r="J246" s="252">
        <f t="shared" si="40"/>
        <v>0</v>
      </c>
      <c r="K246" s="252">
        <f t="shared" si="40"/>
        <v>0</v>
      </c>
      <c r="L246" s="252">
        <f t="shared" si="40"/>
        <v>0</v>
      </c>
      <c r="M246" s="252">
        <f t="shared" si="40"/>
        <v>0</v>
      </c>
      <c r="N246" s="252">
        <f t="shared" si="40"/>
        <v>2123.2610987761777</v>
      </c>
      <c r="O246" s="252">
        <f t="shared" si="40"/>
        <v>81.741552903200571</v>
      </c>
      <c r="P246" s="252">
        <f t="shared" si="40"/>
        <v>0</v>
      </c>
      <c r="Q246" s="252">
        <f t="shared" si="40"/>
        <v>0</v>
      </c>
      <c r="R246" s="252">
        <f t="shared" si="40"/>
        <v>0</v>
      </c>
      <c r="S246" s="252">
        <f t="shared" si="40"/>
        <v>0</v>
      </c>
      <c r="T246" s="252">
        <f t="shared" si="40"/>
        <v>0</v>
      </c>
      <c r="U246" s="252">
        <f t="shared" si="40"/>
        <v>0</v>
      </c>
      <c r="V246" s="252">
        <f t="shared" si="40"/>
        <v>0</v>
      </c>
      <c r="W246" s="252">
        <f t="shared" si="40"/>
        <v>0</v>
      </c>
      <c r="X246" s="252">
        <f t="shared" si="40"/>
        <v>0</v>
      </c>
      <c r="Y246" s="252">
        <f t="shared" si="40"/>
        <v>0</v>
      </c>
      <c r="AQ246" s="88"/>
    </row>
    <row r="247" spans="3:43" x14ac:dyDescent="0.25">
      <c r="C247" s="96"/>
      <c r="F247" s="93" t="s">
        <v>50</v>
      </c>
      <c r="G247" s="93" t="s">
        <v>102</v>
      </c>
      <c r="H247" s="187"/>
      <c r="I247" s="93"/>
      <c r="J247" s="271">
        <f t="shared" si="40"/>
        <v>0</v>
      </c>
      <c r="K247" s="271">
        <f t="shared" si="40"/>
        <v>0</v>
      </c>
      <c r="L247" s="271">
        <f t="shared" si="40"/>
        <v>0</v>
      </c>
      <c r="M247" s="271">
        <f t="shared" si="40"/>
        <v>0</v>
      </c>
      <c r="N247" s="271">
        <f t="shared" si="40"/>
        <v>1702.4689816218599</v>
      </c>
      <c r="O247" s="271">
        <f t="shared" si="40"/>
        <v>0</v>
      </c>
      <c r="P247" s="271">
        <f t="shared" si="40"/>
        <v>0</v>
      </c>
      <c r="Q247" s="271">
        <f t="shared" si="40"/>
        <v>0</v>
      </c>
      <c r="R247" s="271">
        <f t="shared" si="40"/>
        <v>0</v>
      </c>
      <c r="S247" s="271">
        <f t="shared" si="40"/>
        <v>0</v>
      </c>
      <c r="T247" s="271">
        <f t="shared" si="40"/>
        <v>0</v>
      </c>
      <c r="U247" s="271">
        <f t="shared" si="40"/>
        <v>0</v>
      </c>
      <c r="V247" s="271">
        <f t="shared" si="40"/>
        <v>0</v>
      </c>
      <c r="W247" s="271">
        <f t="shared" si="40"/>
        <v>0</v>
      </c>
      <c r="X247" s="271">
        <f t="shared" si="40"/>
        <v>0</v>
      </c>
      <c r="Y247" s="271">
        <f t="shared" si="40"/>
        <v>0</v>
      </c>
      <c r="AQ247" s="88"/>
    </row>
    <row r="248" spans="3:43" x14ac:dyDescent="0.25">
      <c r="H248" s="83"/>
      <c r="J248" s="252"/>
      <c r="K248" s="252"/>
      <c r="L248" s="252"/>
      <c r="M248" s="252"/>
      <c r="N248" s="252"/>
      <c r="O248" s="252"/>
      <c r="P248" s="252"/>
      <c r="Q248" s="252"/>
      <c r="R248" s="252"/>
      <c r="S248" s="252"/>
      <c r="T248" s="252"/>
      <c r="U248" s="252"/>
      <c r="V248" s="252"/>
      <c r="W248" s="252"/>
      <c r="X248" s="252"/>
      <c r="Y248" s="252"/>
    </row>
    <row r="249" spans="3:43" x14ac:dyDescent="0.25">
      <c r="C249" s="7" t="str">
        <f ca="1">INDEX('Version control'!$H$35:$H$61,MATCH($A$1,'Version control'!$F$35:$F$61,0),1)&amp;"-H: Estimated capacity contribution to system peak"</f>
        <v>Section 509-H: Estimated capacity contribution to system peak</v>
      </c>
      <c r="D249" s="7"/>
      <c r="E249" s="7"/>
      <c r="F249" s="7"/>
      <c r="G249" s="7"/>
      <c r="H249" s="7"/>
      <c r="I249" s="7"/>
      <c r="J249" s="242"/>
      <c r="K249" s="242"/>
      <c r="L249" s="242"/>
      <c r="M249" s="242"/>
      <c r="N249" s="242"/>
      <c r="O249" s="242"/>
      <c r="P249" s="242"/>
      <c r="Q249" s="242"/>
      <c r="R249" s="242"/>
      <c r="S249" s="242"/>
      <c r="T249" s="242"/>
      <c r="U249" s="242"/>
      <c r="V249" s="242"/>
      <c r="W249" s="242"/>
      <c r="X249" s="242"/>
      <c r="Y249" s="242"/>
      <c r="Z249" s="7"/>
      <c r="AA249" s="7"/>
      <c r="AQ249" s="88"/>
    </row>
    <row r="250" spans="3:43" x14ac:dyDescent="0.25">
      <c r="H250" s="83"/>
      <c r="J250" s="252"/>
      <c r="K250" s="252"/>
      <c r="L250" s="252"/>
      <c r="M250" s="252"/>
      <c r="N250" s="252"/>
      <c r="O250" s="252"/>
      <c r="P250" s="252"/>
      <c r="Q250" s="252"/>
      <c r="R250" s="252"/>
      <c r="S250" s="252"/>
      <c r="T250" s="252"/>
      <c r="U250" s="252"/>
      <c r="V250" s="252"/>
      <c r="W250" s="252"/>
      <c r="X250" s="252"/>
      <c r="Y250" s="252"/>
    </row>
    <row r="251" spans="3:43" x14ac:dyDescent="0.25">
      <c r="E251" s="96" t="s">
        <v>355</v>
      </c>
      <c r="F251" s="82"/>
      <c r="H251" s="83"/>
      <c r="J251" s="252"/>
      <c r="K251" s="252"/>
      <c r="L251" s="252"/>
      <c r="M251" s="252"/>
      <c r="N251" s="252"/>
      <c r="O251" s="252"/>
      <c r="P251" s="252"/>
      <c r="Q251" s="252"/>
      <c r="R251" s="252"/>
      <c r="S251" s="252"/>
      <c r="T251" s="252"/>
      <c r="U251" s="252"/>
      <c r="V251" s="252"/>
      <c r="W251" s="252"/>
      <c r="X251" s="252"/>
      <c r="Y251" s="252"/>
    </row>
    <row r="252" spans="3:43" x14ac:dyDescent="0.25">
      <c r="C252" s="96"/>
      <c r="F252" s="91" t="s">
        <v>43</v>
      </c>
      <c r="G252" s="74" t="s">
        <v>102</v>
      </c>
      <c r="H252" s="74"/>
      <c r="I252" s="91"/>
      <c r="J252" s="277">
        <f t="shared" ref="J252:Y260" si="41">IF(AND(J$192 = 0, J$198), J$200 * J23 * J34 / (1 + $H226) / $H45, 0)</f>
        <v>0</v>
      </c>
      <c r="K252" s="277">
        <f t="shared" si="41"/>
        <v>0</v>
      </c>
      <c r="L252" s="277">
        <f t="shared" si="41"/>
        <v>0</v>
      </c>
      <c r="M252" s="277">
        <f t="shared" si="41"/>
        <v>0</v>
      </c>
      <c r="N252" s="277">
        <f t="shared" si="41"/>
        <v>0</v>
      </c>
      <c r="O252" s="277">
        <f t="shared" si="41"/>
        <v>0</v>
      </c>
      <c r="P252" s="277">
        <f t="shared" si="41"/>
        <v>0</v>
      </c>
      <c r="Q252" s="277">
        <f t="shared" si="41"/>
        <v>0</v>
      </c>
      <c r="R252" s="277">
        <f t="shared" si="41"/>
        <v>0</v>
      </c>
      <c r="S252" s="277">
        <f t="shared" si="41"/>
        <v>0</v>
      </c>
      <c r="T252" s="277">
        <f t="shared" si="41"/>
        <v>0</v>
      </c>
      <c r="U252" s="277">
        <f t="shared" si="41"/>
        <v>0</v>
      </c>
      <c r="V252" s="277">
        <f t="shared" si="41"/>
        <v>0</v>
      </c>
      <c r="W252" s="277">
        <f t="shared" si="41"/>
        <v>0</v>
      </c>
      <c r="X252" s="277">
        <f t="shared" si="41"/>
        <v>0</v>
      </c>
      <c r="Y252" s="277">
        <f t="shared" si="41"/>
        <v>0</v>
      </c>
      <c r="AQ252" s="88"/>
    </row>
    <row r="253" spans="3:43" x14ac:dyDescent="0.25">
      <c r="C253" s="96"/>
      <c r="F253" s="293" t="s">
        <v>44</v>
      </c>
      <c r="G253" s="90" t="s">
        <v>102</v>
      </c>
      <c r="H253" s="90"/>
      <c r="J253" s="252">
        <f t="shared" si="41"/>
        <v>0</v>
      </c>
      <c r="K253" s="252">
        <f t="shared" si="41"/>
        <v>0</v>
      </c>
      <c r="L253" s="252">
        <f t="shared" si="41"/>
        <v>0</v>
      </c>
      <c r="M253" s="252">
        <f t="shared" si="41"/>
        <v>0</v>
      </c>
      <c r="N253" s="252">
        <f t="shared" si="41"/>
        <v>0</v>
      </c>
      <c r="O253" s="252">
        <f t="shared" si="41"/>
        <v>0</v>
      </c>
      <c r="P253" s="252">
        <f t="shared" si="41"/>
        <v>0</v>
      </c>
      <c r="Q253" s="252">
        <f t="shared" si="41"/>
        <v>0</v>
      </c>
      <c r="R253" s="252">
        <f t="shared" si="41"/>
        <v>0</v>
      </c>
      <c r="S253" s="252">
        <f t="shared" si="41"/>
        <v>0</v>
      </c>
      <c r="T253" s="252">
        <f t="shared" si="41"/>
        <v>0</v>
      </c>
      <c r="U253" s="252">
        <f t="shared" si="41"/>
        <v>0</v>
      </c>
      <c r="V253" s="252">
        <f t="shared" si="41"/>
        <v>0</v>
      </c>
      <c r="W253" s="252">
        <f t="shared" si="41"/>
        <v>0</v>
      </c>
      <c r="X253" s="252">
        <f t="shared" si="41"/>
        <v>0</v>
      </c>
      <c r="Y253" s="252">
        <f t="shared" si="41"/>
        <v>0</v>
      </c>
      <c r="AQ253" s="88"/>
    </row>
    <row r="254" spans="3:43" x14ac:dyDescent="0.25">
      <c r="C254" s="96"/>
      <c r="F254" s="293" t="s">
        <v>45</v>
      </c>
      <c r="G254" s="90" t="s">
        <v>102</v>
      </c>
      <c r="H254" s="90"/>
      <c r="J254" s="252">
        <f t="shared" si="41"/>
        <v>0</v>
      </c>
      <c r="K254" s="252">
        <f t="shared" si="41"/>
        <v>0</v>
      </c>
      <c r="L254" s="252">
        <f t="shared" si="41"/>
        <v>0</v>
      </c>
      <c r="M254" s="252">
        <f t="shared" si="41"/>
        <v>0</v>
      </c>
      <c r="N254" s="252">
        <f t="shared" si="41"/>
        <v>0</v>
      </c>
      <c r="O254" s="252">
        <f t="shared" si="41"/>
        <v>0</v>
      </c>
      <c r="P254" s="252">
        <f t="shared" si="41"/>
        <v>0</v>
      </c>
      <c r="Q254" s="252">
        <f t="shared" si="41"/>
        <v>0</v>
      </c>
      <c r="R254" s="252">
        <f t="shared" si="41"/>
        <v>0</v>
      </c>
      <c r="S254" s="252">
        <f t="shared" si="41"/>
        <v>0</v>
      </c>
      <c r="T254" s="252">
        <f t="shared" si="41"/>
        <v>0</v>
      </c>
      <c r="U254" s="252">
        <f t="shared" si="41"/>
        <v>0</v>
      </c>
      <c r="V254" s="252">
        <f t="shared" si="41"/>
        <v>0</v>
      </c>
      <c r="W254" s="252">
        <f t="shared" si="41"/>
        <v>0</v>
      </c>
      <c r="X254" s="252">
        <f t="shared" si="41"/>
        <v>0</v>
      </c>
      <c r="Y254" s="252">
        <f t="shared" si="41"/>
        <v>0</v>
      </c>
      <c r="AQ254" s="88"/>
    </row>
    <row r="255" spans="3:43" x14ac:dyDescent="0.25">
      <c r="C255" s="96"/>
      <c r="F255" s="293" t="s">
        <v>46</v>
      </c>
      <c r="G255" s="90" t="s">
        <v>102</v>
      </c>
      <c r="H255" s="90"/>
      <c r="J255" s="252">
        <f t="shared" si="41"/>
        <v>0</v>
      </c>
      <c r="K255" s="252">
        <f t="shared" si="41"/>
        <v>0</v>
      </c>
      <c r="L255" s="252">
        <f t="shared" si="41"/>
        <v>0</v>
      </c>
      <c r="M255" s="252">
        <f t="shared" si="41"/>
        <v>0</v>
      </c>
      <c r="N255" s="252">
        <f t="shared" si="41"/>
        <v>0</v>
      </c>
      <c r="O255" s="252">
        <f t="shared" si="41"/>
        <v>0</v>
      </c>
      <c r="P255" s="252">
        <f t="shared" si="41"/>
        <v>0</v>
      </c>
      <c r="Q255" s="252">
        <f t="shared" si="41"/>
        <v>0</v>
      </c>
      <c r="R255" s="252">
        <f t="shared" si="41"/>
        <v>0</v>
      </c>
      <c r="S255" s="252">
        <f t="shared" si="41"/>
        <v>0</v>
      </c>
      <c r="T255" s="252">
        <f t="shared" si="41"/>
        <v>0</v>
      </c>
      <c r="U255" s="252">
        <f t="shared" si="41"/>
        <v>0</v>
      </c>
      <c r="V255" s="252">
        <f t="shared" si="41"/>
        <v>0</v>
      </c>
      <c r="W255" s="252">
        <f t="shared" si="41"/>
        <v>0</v>
      </c>
      <c r="X255" s="252">
        <f t="shared" si="41"/>
        <v>0</v>
      </c>
      <c r="Y255" s="252">
        <f t="shared" si="41"/>
        <v>0</v>
      </c>
      <c r="AQ255" s="88"/>
    </row>
    <row r="256" spans="3:43" x14ac:dyDescent="0.25">
      <c r="C256" s="96"/>
      <c r="F256" s="293" t="s">
        <v>47</v>
      </c>
      <c r="G256" s="90" t="s">
        <v>102</v>
      </c>
      <c r="H256" s="90"/>
      <c r="J256" s="252">
        <f t="shared" si="41"/>
        <v>0</v>
      </c>
      <c r="K256" s="252">
        <f t="shared" si="41"/>
        <v>0</v>
      </c>
      <c r="L256" s="252">
        <f t="shared" si="41"/>
        <v>0</v>
      </c>
      <c r="M256" s="252">
        <f t="shared" si="41"/>
        <v>0</v>
      </c>
      <c r="N256" s="252">
        <f t="shared" si="41"/>
        <v>0</v>
      </c>
      <c r="O256" s="252">
        <f t="shared" si="41"/>
        <v>0</v>
      </c>
      <c r="P256" s="252">
        <f t="shared" si="41"/>
        <v>0</v>
      </c>
      <c r="Q256" s="252">
        <f t="shared" si="41"/>
        <v>0</v>
      </c>
      <c r="R256" s="252">
        <f t="shared" si="41"/>
        <v>0</v>
      </c>
      <c r="S256" s="252">
        <f t="shared" si="41"/>
        <v>0</v>
      </c>
      <c r="T256" s="252">
        <f t="shared" si="41"/>
        <v>0</v>
      </c>
      <c r="U256" s="252">
        <f t="shared" si="41"/>
        <v>0</v>
      </c>
      <c r="V256" s="252">
        <f t="shared" si="41"/>
        <v>0</v>
      </c>
      <c r="W256" s="252">
        <f t="shared" si="41"/>
        <v>0</v>
      </c>
      <c r="X256" s="252">
        <f t="shared" si="41"/>
        <v>0</v>
      </c>
      <c r="Y256" s="252">
        <f t="shared" si="41"/>
        <v>0</v>
      </c>
      <c r="AQ256" s="88"/>
    </row>
    <row r="257" spans="2:43" x14ac:dyDescent="0.25">
      <c r="C257" s="96"/>
      <c r="F257" s="293" t="s">
        <v>51</v>
      </c>
      <c r="G257" s="90" t="s">
        <v>102</v>
      </c>
      <c r="H257" s="90"/>
      <c r="J257" s="252">
        <f t="shared" si="41"/>
        <v>0</v>
      </c>
      <c r="K257" s="252">
        <f t="shared" si="41"/>
        <v>0</v>
      </c>
      <c r="L257" s="252">
        <f t="shared" si="41"/>
        <v>0</v>
      </c>
      <c r="M257" s="252">
        <f t="shared" si="41"/>
        <v>0</v>
      </c>
      <c r="N257" s="252">
        <f t="shared" si="41"/>
        <v>0</v>
      </c>
      <c r="O257" s="252">
        <f t="shared" si="41"/>
        <v>0</v>
      </c>
      <c r="P257" s="252">
        <f t="shared" si="41"/>
        <v>0</v>
      </c>
      <c r="Q257" s="252">
        <f t="shared" si="41"/>
        <v>0</v>
      </c>
      <c r="R257" s="252">
        <f t="shared" si="41"/>
        <v>0</v>
      </c>
      <c r="S257" s="252">
        <f t="shared" si="41"/>
        <v>0</v>
      </c>
      <c r="T257" s="252">
        <f t="shared" si="41"/>
        <v>0</v>
      </c>
      <c r="U257" s="252">
        <f t="shared" si="41"/>
        <v>0</v>
      </c>
      <c r="V257" s="252">
        <f t="shared" si="41"/>
        <v>0</v>
      </c>
      <c r="W257" s="252">
        <f t="shared" si="41"/>
        <v>0</v>
      </c>
      <c r="X257" s="252">
        <f t="shared" si="41"/>
        <v>0</v>
      </c>
      <c r="Y257" s="252">
        <f t="shared" si="41"/>
        <v>0</v>
      </c>
      <c r="AQ257" s="88"/>
    </row>
    <row r="258" spans="2:43" x14ac:dyDescent="0.25">
      <c r="C258" s="96"/>
      <c r="F258" s="293" t="s">
        <v>48</v>
      </c>
      <c r="G258" s="90" t="s">
        <v>102</v>
      </c>
      <c r="H258" s="90"/>
      <c r="J258" s="252">
        <f t="shared" si="41"/>
        <v>0</v>
      </c>
      <c r="K258" s="252">
        <f t="shared" si="41"/>
        <v>0</v>
      </c>
      <c r="L258" s="252">
        <f t="shared" si="41"/>
        <v>0</v>
      </c>
      <c r="M258" s="252">
        <f t="shared" si="41"/>
        <v>0</v>
      </c>
      <c r="N258" s="252">
        <f t="shared" si="41"/>
        <v>0</v>
      </c>
      <c r="O258" s="252">
        <f t="shared" si="41"/>
        <v>0</v>
      </c>
      <c r="P258" s="252">
        <f t="shared" si="41"/>
        <v>0</v>
      </c>
      <c r="Q258" s="252">
        <f t="shared" si="41"/>
        <v>0</v>
      </c>
      <c r="R258" s="252">
        <f t="shared" si="41"/>
        <v>0</v>
      </c>
      <c r="S258" s="252">
        <f t="shared" si="41"/>
        <v>0</v>
      </c>
      <c r="T258" s="252">
        <f t="shared" si="41"/>
        <v>0</v>
      </c>
      <c r="U258" s="252">
        <f t="shared" si="41"/>
        <v>0</v>
      </c>
      <c r="V258" s="252">
        <f t="shared" si="41"/>
        <v>0</v>
      </c>
      <c r="W258" s="252">
        <f t="shared" si="41"/>
        <v>0</v>
      </c>
      <c r="X258" s="252">
        <f t="shared" si="41"/>
        <v>0</v>
      </c>
      <c r="Y258" s="252">
        <f t="shared" si="41"/>
        <v>0</v>
      </c>
      <c r="AQ258" s="88"/>
    </row>
    <row r="259" spans="2:43" x14ac:dyDescent="0.25">
      <c r="C259" s="96"/>
      <c r="F259" s="293" t="s">
        <v>49</v>
      </c>
      <c r="G259" s="90" t="s">
        <v>102</v>
      </c>
      <c r="H259" s="90"/>
      <c r="J259" s="252">
        <f t="shared" si="41"/>
        <v>0</v>
      </c>
      <c r="K259" s="252">
        <f t="shared" si="41"/>
        <v>0</v>
      </c>
      <c r="L259" s="252">
        <f t="shared" si="41"/>
        <v>0</v>
      </c>
      <c r="M259" s="252">
        <f t="shared" si="41"/>
        <v>0</v>
      </c>
      <c r="N259" s="252">
        <f t="shared" si="41"/>
        <v>0</v>
      </c>
      <c r="O259" s="252">
        <f t="shared" si="41"/>
        <v>0</v>
      </c>
      <c r="P259" s="252">
        <f t="shared" si="41"/>
        <v>0</v>
      </c>
      <c r="Q259" s="252">
        <f t="shared" si="41"/>
        <v>0</v>
      </c>
      <c r="R259" s="252">
        <f t="shared" si="41"/>
        <v>0</v>
      </c>
      <c r="S259" s="252">
        <f t="shared" si="41"/>
        <v>0</v>
      </c>
      <c r="T259" s="252">
        <f t="shared" si="41"/>
        <v>0</v>
      </c>
      <c r="U259" s="252">
        <f t="shared" si="41"/>
        <v>0</v>
      </c>
      <c r="V259" s="252">
        <f t="shared" si="41"/>
        <v>0</v>
      </c>
      <c r="W259" s="252">
        <f t="shared" si="41"/>
        <v>0</v>
      </c>
      <c r="X259" s="252">
        <f t="shared" si="41"/>
        <v>0</v>
      </c>
      <c r="Y259" s="252">
        <f t="shared" si="41"/>
        <v>0</v>
      </c>
      <c r="AQ259" s="88"/>
    </row>
    <row r="260" spans="2:43" x14ac:dyDescent="0.25">
      <c r="C260" s="96"/>
      <c r="F260" s="93" t="s">
        <v>50</v>
      </c>
      <c r="G260" s="187" t="s">
        <v>102</v>
      </c>
      <c r="H260" s="187"/>
      <c r="I260" s="93"/>
      <c r="J260" s="271">
        <f t="shared" si="41"/>
        <v>1679.9201955493004</v>
      </c>
      <c r="K260" s="271">
        <f t="shared" si="41"/>
        <v>0</v>
      </c>
      <c r="L260" s="271">
        <f t="shared" si="41"/>
        <v>444.06826243829289</v>
      </c>
      <c r="M260" s="271">
        <f t="shared" si="41"/>
        <v>0</v>
      </c>
      <c r="N260" s="271">
        <f t="shared" si="41"/>
        <v>0</v>
      </c>
      <c r="O260" s="271">
        <f t="shared" si="41"/>
        <v>0</v>
      </c>
      <c r="P260" s="271">
        <f t="shared" si="41"/>
        <v>0</v>
      </c>
      <c r="Q260" s="271">
        <f t="shared" si="41"/>
        <v>0</v>
      </c>
      <c r="R260" s="271">
        <f t="shared" si="41"/>
        <v>0</v>
      </c>
      <c r="S260" s="271">
        <f t="shared" si="41"/>
        <v>0</v>
      </c>
      <c r="T260" s="271">
        <f t="shared" si="41"/>
        <v>0</v>
      </c>
      <c r="U260" s="271">
        <f t="shared" si="41"/>
        <v>0</v>
      </c>
      <c r="V260" s="271">
        <f t="shared" si="41"/>
        <v>0</v>
      </c>
      <c r="W260" s="271">
        <f t="shared" si="41"/>
        <v>0</v>
      </c>
      <c r="X260" s="271">
        <f t="shared" si="41"/>
        <v>0</v>
      </c>
      <c r="Y260" s="271">
        <f t="shared" si="41"/>
        <v>0</v>
      </c>
      <c r="AQ260" s="88"/>
    </row>
    <row r="261" spans="2:43" x14ac:dyDescent="0.25">
      <c r="H261" s="83"/>
    </row>
    <row r="262" spans="2:43" x14ac:dyDescent="0.25">
      <c r="B262" s="95" t="s">
        <v>283</v>
      </c>
      <c r="C262" s="95"/>
      <c r="D262" s="95"/>
      <c r="E262" s="95"/>
      <c r="F262" s="95"/>
      <c r="G262" s="95"/>
      <c r="H262" s="95"/>
      <c r="I262" s="95"/>
      <c r="J262" s="95"/>
      <c r="K262" s="95"/>
      <c r="L262" s="95"/>
      <c r="M262" s="95"/>
      <c r="N262" s="95"/>
      <c r="O262" s="95"/>
      <c r="P262" s="95"/>
      <c r="Q262" s="95"/>
      <c r="R262" s="95"/>
      <c r="S262" s="95"/>
      <c r="T262" s="95"/>
      <c r="U262" s="95"/>
      <c r="V262" s="95"/>
      <c r="W262" s="95"/>
      <c r="X262" s="95"/>
      <c r="Y262" s="95"/>
      <c r="Z262" s="95"/>
      <c r="AA262" s="95"/>
      <c r="AQ262" s="88"/>
    </row>
    <row r="263" spans="2:43" x14ac:dyDescent="0.25">
      <c r="H263" s="83"/>
      <c r="J263" s="90"/>
      <c r="K263" s="90"/>
      <c r="L263" s="90"/>
      <c r="M263" s="90"/>
      <c r="N263" s="90"/>
      <c r="O263" s="90"/>
      <c r="P263" s="90"/>
      <c r="Q263" s="90"/>
      <c r="R263" s="90"/>
      <c r="S263" s="90"/>
      <c r="T263" s="90"/>
      <c r="U263" s="90"/>
      <c r="V263" s="90"/>
      <c r="W263" s="90"/>
      <c r="X263" s="90"/>
      <c r="Y263" s="90"/>
    </row>
    <row r="264" spans="2:43" x14ac:dyDescent="0.25">
      <c r="C264" s="82" t="s">
        <v>356</v>
      </c>
      <c r="H264" s="83"/>
      <c r="J264" s="90"/>
      <c r="K264" s="90"/>
      <c r="L264" s="90"/>
      <c r="M264" s="90"/>
      <c r="N264" s="90"/>
      <c r="O264" s="90"/>
      <c r="P264" s="90"/>
      <c r="Q264" s="90"/>
      <c r="R264" s="90"/>
      <c r="S264" s="90"/>
      <c r="T264" s="90"/>
      <c r="U264" s="90"/>
      <c r="V264" s="90"/>
      <c r="W264" s="90"/>
      <c r="X264" s="90"/>
      <c r="Y264" s="90"/>
    </row>
    <row r="265" spans="2:43" x14ac:dyDescent="0.25">
      <c r="H265" s="83"/>
      <c r="J265" s="90"/>
      <c r="K265" s="90"/>
      <c r="L265" s="90"/>
      <c r="M265" s="90"/>
      <c r="N265" s="90"/>
      <c r="O265" s="90"/>
      <c r="P265" s="90"/>
      <c r="Q265" s="90"/>
      <c r="R265" s="90"/>
      <c r="S265" s="90"/>
      <c r="T265" s="90"/>
      <c r="U265" s="90"/>
      <c r="V265" s="90"/>
      <c r="W265" s="90"/>
      <c r="X265" s="90"/>
      <c r="Y265" s="90"/>
    </row>
    <row r="266" spans="2:43" x14ac:dyDescent="0.25">
      <c r="C266" s="7" t="str">
        <f ca="1">INDEX('Version control'!$H$35:$H$61,MATCH($A$1,'Version control'!$F$35:$F$61,0),1)&amp;"-I: System peak based on chargeable load"</f>
        <v>Section 509-I: System peak based on chargeable load</v>
      </c>
      <c r="D266" s="7"/>
      <c r="E266" s="7"/>
      <c r="F266" s="7"/>
      <c r="G266" s="7"/>
      <c r="H266" s="7"/>
      <c r="I266" s="7"/>
      <c r="J266" s="7"/>
      <c r="K266" s="7"/>
      <c r="L266" s="7"/>
      <c r="M266" s="7"/>
      <c r="N266" s="7"/>
      <c r="O266" s="7"/>
      <c r="P266" s="7"/>
      <c r="Q266" s="7"/>
      <c r="R266" s="7"/>
      <c r="S266" s="7"/>
      <c r="T266" s="7"/>
      <c r="U266" s="7"/>
      <c r="V266" s="7"/>
      <c r="W266" s="7"/>
      <c r="X266" s="7"/>
      <c r="Y266" s="7"/>
      <c r="Z266" s="7"/>
      <c r="AA266" s="7"/>
      <c r="AQ266" s="88"/>
    </row>
    <row r="267" spans="2:43" x14ac:dyDescent="0.25">
      <c r="H267" s="83"/>
    </row>
    <row r="268" spans="2:43" x14ac:dyDescent="0.25">
      <c r="E268" s="96" t="s">
        <v>357</v>
      </c>
      <c r="F268" s="82"/>
      <c r="H268" s="174" t="s">
        <v>215</v>
      </c>
      <c r="J268" s="90"/>
      <c r="K268" s="90"/>
      <c r="L268" s="90"/>
      <c r="M268" s="90"/>
      <c r="N268" s="90"/>
      <c r="O268" s="90"/>
      <c r="P268" s="90"/>
      <c r="Q268" s="90"/>
      <c r="R268" s="90"/>
      <c r="S268" s="90"/>
      <c r="T268" s="90"/>
      <c r="U268" s="90"/>
      <c r="V268" s="90"/>
      <c r="W268" s="90"/>
      <c r="X268" s="90"/>
      <c r="Y268" s="90"/>
    </row>
    <row r="269" spans="2:43" x14ac:dyDescent="0.25">
      <c r="C269" s="96"/>
      <c r="F269" s="91" t="s">
        <v>43</v>
      </c>
      <c r="G269" s="91" t="s">
        <v>102</v>
      </c>
      <c r="H269" s="254">
        <f t="shared" ref="H269:H277" si="42">SUM(J269:Y269)</f>
        <v>4999.1506167567431</v>
      </c>
      <c r="I269" s="277"/>
      <c r="J269" s="277">
        <f t="shared" ref="J269:Y277" si="43">J239 + J252 + J168</f>
        <v>3080.0891094503158</v>
      </c>
      <c r="K269" s="277">
        <f t="shared" si="43"/>
        <v>3.10751487425012</v>
      </c>
      <c r="L269" s="277">
        <f t="shared" si="43"/>
        <v>565.71622513540569</v>
      </c>
      <c r="M269" s="277">
        <f t="shared" si="43"/>
        <v>1.3078607744611517</v>
      </c>
      <c r="N269" s="277">
        <f t="shared" si="43"/>
        <v>831.41152776583044</v>
      </c>
      <c r="O269" s="277">
        <f t="shared" si="43"/>
        <v>43.970592315641667</v>
      </c>
      <c r="P269" s="277">
        <f t="shared" si="43"/>
        <v>558.4361090603586</v>
      </c>
      <c r="Q269" s="277">
        <f t="shared" si="43"/>
        <v>36.788663287526226</v>
      </c>
      <c r="R269" s="277">
        <f t="shared" si="43"/>
        <v>-1.0437077015083287</v>
      </c>
      <c r="S269" s="277">
        <f t="shared" si="43"/>
        <v>-4.0571539703495994E-2</v>
      </c>
      <c r="T269" s="277">
        <f t="shared" si="43"/>
        <v>-5.3309605485184965</v>
      </c>
      <c r="U269" s="277">
        <f t="shared" si="43"/>
        <v>0</v>
      </c>
      <c r="V269" s="277">
        <f t="shared" si="43"/>
        <v>0</v>
      </c>
      <c r="W269" s="277">
        <f t="shared" si="43"/>
        <v>0</v>
      </c>
      <c r="X269" s="277">
        <f t="shared" si="43"/>
        <v>-115.26174611731598</v>
      </c>
      <c r="Y269" s="277">
        <f t="shared" si="43"/>
        <v>0</v>
      </c>
      <c r="AQ269" s="88"/>
    </row>
    <row r="270" spans="2:43" x14ac:dyDescent="0.25">
      <c r="C270" s="96"/>
      <c r="F270" s="293" t="s">
        <v>44</v>
      </c>
      <c r="G270" s="293" t="s">
        <v>102</v>
      </c>
      <c r="H270" s="256">
        <f t="shared" si="42"/>
        <v>4901.2499241924806</v>
      </c>
      <c r="I270" s="252"/>
      <c r="J270" s="252">
        <f t="shared" si="43"/>
        <v>2986.6313927551273</v>
      </c>
      <c r="K270" s="252">
        <f t="shared" si="43"/>
        <v>4.9753849072034759</v>
      </c>
      <c r="L270" s="252">
        <f t="shared" si="43"/>
        <v>567.98301503918901</v>
      </c>
      <c r="M270" s="252">
        <f t="shared" si="43"/>
        <v>1.5262321465166218</v>
      </c>
      <c r="N270" s="252">
        <f t="shared" si="43"/>
        <v>826.60781906860075</v>
      </c>
      <c r="O270" s="252">
        <f t="shared" si="43"/>
        <v>43.588478505514587</v>
      </c>
      <c r="P270" s="252">
        <f t="shared" si="43"/>
        <v>554.85679065443549</v>
      </c>
      <c r="Q270" s="252">
        <f t="shared" si="43"/>
        <v>37.371281450417811</v>
      </c>
      <c r="R270" s="252">
        <f t="shared" si="43"/>
        <v>-1.0715281719816014</v>
      </c>
      <c r="S270" s="252">
        <f t="shared" si="43"/>
        <v>-4.1313787683013102E-2</v>
      </c>
      <c r="T270" s="252">
        <f t="shared" si="43"/>
        <v>-5.6076075579854789</v>
      </c>
      <c r="U270" s="252">
        <f t="shared" si="43"/>
        <v>0</v>
      </c>
      <c r="V270" s="252">
        <f t="shared" si="43"/>
        <v>0</v>
      </c>
      <c r="W270" s="252">
        <f t="shared" si="43"/>
        <v>0</v>
      </c>
      <c r="X270" s="252">
        <f t="shared" si="43"/>
        <v>-115.57002081687511</v>
      </c>
      <c r="Y270" s="252">
        <f t="shared" si="43"/>
        <v>0</v>
      </c>
      <c r="AQ270" s="88"/>
    </row>
    <row r="271" spans="2:43" x14ac:dyDescent="0.25">
      <c r="C271" s="96"/>
      <c r="F271" s="293" t="s">
        <v>45</v>
      </c>
      <c r="G271" s="293" t="s">
        <v>102</v>
      </c>
      <c r="H271" s="256">
        <f t="shared" si="42"/>
        <v>4881.8005197313987</v>
      </c>
      <c r="I271" s="252"/>
      <c r="J271" s="252">
        <f t="shared" si="43"/>
        <v>2974.7796808791145</v>
      </c>
      <c r="K271" s="252">
        <f t="shared" si="43"/>
        <v>4.9556413163018744</v>
      </c>
      <c r="L271" s="252">
        <f t="shared" si="43"/>
        <v>565.72911418585886</v>
      </c>
      <c r="M271" s="252">
        <f t="shared" si="43"/>
        <v>1.5201756697447304</v>
      </c>
      <c r="N271" s="252">
        <f t="shared" si="43"/>
        <v>823.3276293103919</v>
      </c>
      <c r="O271" s="252">
        <f t="shared" si="43"/>
        <v>43.415508352714923</v>
      </c>
      <c r="P271" s="252">
        <f t="shared" si="43"/>
        <v>552.65497799310845</v>
      </c>
      <c r="Q271" s="252">
        <f t="shared" si="43"/>
        <v>37.222982714503459</v>
      </c>
      <c r="R271" s="252">
        <f t="shared" si="43"/>
        <v>-1.0672760760610396</v>
      </c>
      <c r="S271" s="252">
        <f t="shared" si="43"/>
        <v>-4.1149844081096384E-2</v>
      </c>
      <c r="T271" s="252">
        <f t="shared" si="43"/>
        <v>-5.585355147041092</v>
      </c>
      <c r="U271" s="252">
        <f t="shared" si="43"/>
        <v>0</v>
      </c>
      <c r="V271" s="252">
        <f t="shared" si="43"/>
        <v>0</v>
      </c>
      <c r="W271" s="252">
        <f t="shared" si="43"/>
        <v>0</v>
      </c>
      <c r="X271" s="252">
        <f t="shared" si="43"/>
        <v>-115.11140962315734</v>
      </c>
      <c r="Y271" s="252">
        <f t="shared" si="43"/>
        <v>0</v>
      </c>
      <c r="AQ271" s="88"/>
    </row>
    <row r="272" spans="2:43" x14ac:dyDescent="0.25">
      <c r="C272" s="96"/>
      <c r="F272" s="293" t="s">
        <v>46</v>
      </c>
      <c r="G272" s="293" t="s">
        <v>102</v>
      </c>
      <c r="H272" s="256">
        <f t="shared" si="42"/>
        <v>4988.4530706225378</v>
      </c>
      <c r="I272" s="252"/>
      <c r="J272" s="252">
        <f t="shared" si="43"/>
        <v>2865.1323668822961</v>
      </c>
      <c r="K272" s="252">
        <f t="shared" si="43"/>
        <v>6.9856445758332217</v>
      </c>
      <c r="L272" s="252">
        <f t="shared" si="43"/>
        <v>569.43799451591372</v>
      </c>
      <c r="M272" s="252">
        <f t="shared" si="43"/>
        <v>1.7405762366110513</v>
      </c>
      <c r="N272" s="252">
        <f t="shared" si="43"/>
        <v>818.45062365055082</v>
      </c>
      <c r="O272" s="252">
        <f t="shared" si="43"/>
        <v>42.964496157183852</v>
      </c>
      <c r="P272" s="252">
        <f t="shared" si="43"/>
        <v>773.03633389677861</v>
      </c>
      <c r="Q272" s="252">
        <f t="shared" si="43"/>
        <v>33.432492635543888</v>
      </c>
      <c r="R272" s="252">
        <f t="shared" si="43"/>
        <v>-1.1058392232740037</v>
      </c>
      <c r="S272" s="252">
        <f t="shared" si="43"/>
        <v>-4.2223105166359409E-2</v>
      </c>
      <c r="T272" s="252">
        <f t="shared" si="43"/>
        <v>-5.9395971457006178</v>
      </c>
      <c r="U272" s="252">
        <f t="shared" si="43"/>
        <v>0</v>
      </c>
      <c r="V272" s="252">
        <f t="shared" si="43"/>
        <v>0</v>
      </c>
      <c r="W272" s="252">
        <f t="shared" si="43"/>
        <v>0</v>
      </c>
      <c r="X272" s="252">
        <f t="shared" si="43"/>
        <v>-115.63979845403175</v>
      </c>
      <c r="Y272" s="252">
        <f t="shared" si="43"/>
        <v>0</v>
      </c>
      <c r="AQ272" s="88"/>
    </row>
    <row r="273" spans="2:43" x14ac:dyDescent="0.25">
      <c r="C273" s="96"/>
      <c r="F273" s="293" t="s">
        <v>47</v>
      </c>
      <c r="G273" s="293" t="s">
        <v>102</v>
      </c>
      <c r="H273" s="256">
        <f t="shared" si="42"/>
        <v>5852.7398269375299</v>
      </c>
      <c r="I273" s="252"/>
      <c r="J273" s="252">
        <f t="shared" si="43"/>
        <v>2848.2786470771057</v>
      </c>
      <c r="K273" s="252">
        <f t="shared" si="43"/>
        <v>6.9445525489165556</v>
      </c>
      <c r="L273" s="252">
        <f t="shared" si="43"/>
        <v>566.08835925405538</v>
      </c>
      <c r="M273" s="252">
        <f t="shared" si="43"/>
        <v>1.7303375528662808</v>
      </c>
      <c r="N273" s="252">
        <f t="shared" si="43"/>
        <v>813.63620821731229</v>
      </c>
      <c r="O273" s="252">
        <f t="shared" si="43"/>
        <v>42.711763826847481</v>
      </c>
      <c r="P273" s="252">
        <f t="shared" si="43"/>
        <v>1662.1196592513331</v>
      </c>
      <c r="Q273" s="252">
        <f t="shared" si="43"/>
        <v>33.235830914158342</v>
      </c>
      <c r="R273" s="252">
        <f t="shared" si="43"/>
        <v>-1.0993342866665097</v>
      </c>
      <c r="S273" s="252">
        <f t="shared" si="43"/>
        <v>-4.1974733959498474E-2</v>
      </c>
      <c r="T273" s="252">
        <f t="shared" si="43"/>
        <v>-5.9046583389612026</v>
      </c>
      <c r="U273" s="252">
        <f t="shared" si="43"/>
        <v>0</v>
      </c>
      <c r="V273" s="252">
        <f t="shared" si="43"/>
        <v>0</v>
      </c>
      <c r="W273" s="252">
        <f t="shared" si="43"/>
        <v>0</v>
      </c>
      <c r="X273" s="252">
        <f t="shared" si="43"/>
        <v>-114.95956434547864</v>
      </c>
      <c r="Y273" s="252">
        <f t="shared" si="43"/>
        <v>0</v>
      </c>
      <c r="AQ273" s="88"/>
    </row>
    <row r="274" spans="2:43" x14ac:dyDescent="0.25">
      <c r="C274" s="96"/>
      <c r="F274" s="293" t="s">
        <v>51</v>
      </c>
      <c r="G274" s="293" t="s">
        <v>102</v>
      </c>
      <c r="H274" s="256">
        <f t="shared" si="42"/>
        <v>0</v>
      </c>
      <c r="I274" s="252"/>
      <c r="J274" s="252">
        <f t="shared" si="43"/>
        <v>0</v>
      </c>
      <c r="K274" s="252">
        <f t="shared" si="43"/>
        <v>0</v>
      </c>
      <c r="L274" s="252">
        <f t="shared" si="43"/>
        <v>0</v>
      </c>
      <c r="M274" s="252">
        <f t="shared" si="43"/>
        <v>0</v>
      </c>
      <c r="N274" s="252">
        <f t="shared" si="43"/>
        <v>0</v>
      </c>
      <c r="O274" s="252">
        <f t="shared" si="43"/>
        <v>0</v>
      </c>
      <c r="P274" s="252">
        <f t="shared" si="43"/>
        <v>0</v>
      </c>
      <c r="Q274" s="252">
        <f t="shared" si="43"/>
        <v>0</v>
      </c>
      <c r="R274" s="252">
        <f t="shared" si="43"/>
        <v>0</v>
      </c>
      <c r="S274" s="252">
        <f t="shared" si="43"/>
        <v>0</v>
      </c>
      <c r="T274" s="252">
        <f t="shared" si="43"/>
        <v>0</v>
      </c>
      <c r="U274" s="252">
        <f t="shared" si="43"/>
        <v>0</v>
      </c>
      <c r="V274" s="252">
        <f t="shared" si="43"/>
        <v>0</v>
      </c>
      <c r="W274" s="252">
        <f t="shared" si="43"/>
        <v>0</v>
      </c>
      <c r="X274" s="252">
        <f t="shared" si="43"/>
        <v>0</v>
      </c>
      <c r="Y274" s="252">
        <f t="shared" si="43"/>
        <v>0</v>
      </c>
      <c r="AQ274" s="88"/>
    </row>
    <row r="275" spans="2:43" x14ac:dyDescent="0.25">
      <c r="C275" s="96"/>
      <c r="F275" s="293" t="s">
        <v>48</v>
      </c>
      <c r="G275" s="293" t="s">
        <v>102</v>
      </c>
      <c r="H275" s="256">
        <f t="shared" si="42"/>
        <v>5619.3281596848001</v>
      </c>
      <c r="I275" s="252"/>
      <c r="J275" s="252">
        <f t="shared" si="43"/>
        <v>2655.2786611737342</v>
      </c>
      <c r="K275" s="252">
        <f t="shared" si="43"/>
        <v>10.704708392207982</v>
      </c>
      <c r="L275" s="252">
        <f t="shared" si="43"/>
        <v>572.41598643318343</v>
      </c>
      <c r="M275" s="252">
        <f t="shared" si="43"/>
        <v>2.1541630081420364</v>
      </c>
      <c r="N275" s="252">
        <f t="shared" si="43"/>
        <v>1074.9284815306378</v>
      </c>
      <c r="O275" s="252">
        <f t="shared" si="43"/>
        <v>82.933120729777855</v>
      </c>
      <c r="P275" s="252">
        <f t="shared" si="43"/>
        <v>1202.6147222775705</v>
      </c>
      <c r="Q275" s="252">
        <f t="shared" si="43"/>
        <v>26.025599186487572</v>
      </c>
      <c r="R275" s="252">
        <f t="shared" si="43"/>
        <v>-1.1644975363380685</v>
      </c>
      <c r="S275" s="252">
        <f t="shared" si="43"/>
        <v>-4.3769198950075749E-2</v>
      </c>
      <c r="T275" s="252">
        <f t="shared" si="43"/>
        <v>-6.519016311654906</v>
      </c>
      <c r="U275" s="252">
        <f t="shared" si="43"/>
        <v>0</v>
      </c>
      <c r="V275" s="252">
        <f t="shared" si="43"/>
        <v>0</v>
      </c>
      <c r="W275" s="252">
        <f t="shared" si="43"/>
        <v>0</v>
      </c>
      <c r="X275" s="252">
        <f t="shared" si="43"/>
        <v>0</v>
      </c>
      <c r="Y275" s="252">
        <f t="shared" si="43"/>
        <v>0</v>
      </c>
      <c r="AQ275" s="88"/>
    </row>
    <row r="276" spans="2:43" x14ac:dyDescent="0.25">
      <c r="C276" s="96"/>
      <c r="F276" s="293" t="s">
        <v>49</v>
      </c>
      <c r="G276" s="293" t="s">
        <v>102</v>
      </c>
      <c r="H276" s="256">
        <f t="shared" si="42"/>
        <v>5417.0750433190242</v>
      </c>
      <c r="I276" s="252"/>
      <c r="J276" s="252">
        <f t="shared" si="43"/>
        <v>2617.1281056971002</v>
      </c>
      <c r="K276" s="252">
        <f t="shared" si="43"/>
        <v>10.550905110710739</v>
      </c>
      <c r="L276" s="252">
        <f t="shared" si="43"/>
        <v>564.19161881201694</v>
      </c>
      <c r="M276" s="252">
        <f t="shared" si="43"/>
        <v>2.1232123902089608</v>
      </c>
      <c r="N276" s="252">
        <f t="shared" si="43"/>
        <v>2123.2610987761777</v>
      </c>
      <c r="O276" s="252">
        <f t="shared" si="43"/>
        <v>81.741552903200571</v>
      </c>
      <c r="P276" s="252">
        <f t="shared" si="43"/>
        <v>0</v>
      </c>
      <c r="Q276" s="252">
        <f t="shared" si="43"/>
        <v>25.651668163693206</v>
      </c>
      <c r="R276" s="252">
        <f t="shared" si="43"/>
        <v>-1.1477662498964292</v>
      </c>
      <c r="S276" s="252">
        <f t="shared" si="43"/>
        <v>0</v>
      </c>
      <c r="T276" s="252">
        <f t="shared" si="43"/>
        <v>-6.4253522841885999</v>
      </c>
      <c r="U276" s="252">
        <f t="shared" si="43"/>
        <v>0</v>
      </c>
      <c r="V276" s="252">
        <f t="shared" si="43"/>
        <v>0</v>
      </c>
      <c r="W276" s="252">
        <f t="shared" si="43"/>
        <v>0</v>
      </c>
      <c r="X276" s="252">
        <f t="shared" si="43"/>
        <v>0</v>
      </c>
      <c r="Y276" s="252">
        <f t="shared" si="43"/>
        <v>0</v>
      </c>
      <c r="AQ276" s="88"/>
    </row>
    <row r="277" spans="2:43" x14ac:dyDescent="0.25">
      <c r="C277" s="96"/>
      <c r="F277" s="93" t="s">
        <v>50</v>
      </c>
      <c r="G277" s="93" t="s">
        <v>102</v>
      </c>
      <c r="H277" s="258">
        <f t="shared" si="42"/>
        <v>3851.0717241341736</v>
      </c>
      <c r="I277" s="271"/>
      <c r="J277" s="271">
        <f t="shared" si="43"/>
        <v>1679.9201955493004</v>
      </c>
      <c r="K277" s="271">
        <f t="shared" si="43"/>
        <v>0</v>
      </c>
      <c r="L277" s="271">
        <f t="shared" si="43"/>
        <v>444.06826243829289</v>
      </c>
      <c r="M277" s="271">
        <f t="shared" si="43"/>
        <v>0</v>
      </c>
      <c r="N277" s="271">
        <f t="shared" si="43"/>
        <v>1702.4689816218599</v>
      </c>
      <c r="O277" s="271">
        <f t="shared" si="43"/>
        <v>0</v>
      </c>
      <c r="P277" s="271">
        <f t="shared" si="43"/>
        <v>0</v>
      </c>
      <c r="Q277" s="271">
        <f t="shared" si="43"/>
        <v>24.614284524720318</v>
      </c>
      <c r="R277" s="271">
        <f t="shared" si="43"/>
        <v>0</v>
      </c>
      <c r="S277" s="271">
        <f t="shared" si="43"/>
        <v>0</v>
      </c>
      <c r="T277" s="271">
        <f t="shared" si="43"/>
        <v>0</v>
      </c>
      <c r="U277" s="271">
        <f t="shared" si="43"/>
        <v>0</v>
      </c>
      <c r="V277" s="271">
        <f t="shared" si="43"/>
        <v>0</v>
      </c>
      <c r="W277" s="271">
        <f t="shared" si="43"/>
        <v>0</v>
      </c>
      <c r="X277" s="271">
        <f t="shared" si="43"/>
        <v>0</v>
      </c>
      <c r="Y277" s="271">
        <f t="shared" si="43"/>
        <v>0</v>
      </c>
      <c r="AQ277" s="88"/>
    </row>
    <row r="278" spans="2:43" x14ac:dyDescent="0.25">
      <c r="H278" s="83"/>
    </row>
    <row r="279" spans="2:43" x14ac:dyDescent="0.25">
      <c r="B279" s="95" t="s">
        <v>109</v>
      </c>
      <c r="C279" s="95"/>
      <c r="D279" s="95"/>
      <c r="E279" s="95"/>
      <c r="F279" s="95"/>
      <c r="G279" s="95"/>
      <c r="H279" s="95"/>
      <c r="I279" s="95"/>
      <c r="J279" s="95"/>
      <c r="K279" s="95"/>
      <c r="L279" s="95"/>
      <c r="M279" s="95"/>
      <c r="N279" s="95"/>
      <c r="O279" s="95"/>
      <c r="P279" s="95"/>
      <c r="Q279" s="95"/>
      <c r="R279" s="95"/>
      <c r="S279" s="95"/>
      <c r="T279" s="95"/>
      <c r="U279" s="95"/>
      <c r="V279" s="95"/>
      <c r="W279" s="95"/>
      <c r="X279" s="95"/>
      <c r="Y279" s="95"/>
      <c r="Z279" s="95"/>
      <c r="AA279" s="95"/>
      <c r="AC279" s="95"/>
      <c r="AD279" s="95"/>
      <c r="AE279" s="95"/>
      <c r="AF279" s="95"/>
      <c r="AG279" s="95"/>
      <c r="AH279" s="95"/>
      <c r="AI279" s="95"/>
      <c r="AJ279" s="95"/>
      <c r="AK279" s="95"/>
      <c r="AL279" s="95"/>
      <c r="AM279" s="95"/>
      <c r="AN279" s="95"/>
      <c r="AO279" s="95"/>
      <c r="AQ279" s="95"/>
    </row>
    <row r="281" spans="2:43" x14ac:dyDescent="0.25">
      <c r="E281" s="293" t="s">
        <v>415</v>
      </c>
      <c r="G281" s="122" t="s">
        <v>588</v>
      </c>
      <c r="H281" s="310">
        <f t="array" ref="H281">SUM(IF(ISERROR(H23:Y277), 1))</f>
        <v>0</v>
      </c>
    </row>
    <row r="283" spans="2:43" x14ac:dyDescent="0.25">
      <c r="B283" s="95" t="s">
        <v>110</v>
      </c>
      <c r="C283" s="95"/>
      <c r="D283" s="95"/>
      <c r="E283" s="95"/>
      <c r="F283" s="95"/>
      <c r="G283" s="95"/>
      <c r="H283" s="95"/>
      <c r="I283" s="95"/>
      <c r="J283" s="95"/>
      <c r="K283" s="95"/>
      <c r="L283" s="95"/>
      <c r="M283" s="95"/>
      <c r="N283" s="95"/>
      <c r="O283" s="95"/>
      <c r="P283" s="95"/>
      <c r="Q283" s="95"/>
      <c r="R283" s="95"/>
      <c r="S283" s="95"/>
      <c r="T283" s="95"/>
      <c r="U283" s="95"/>
      <c r="V283" s="95"/>
      <c r="W283" s="95"/>
      <c r="X283" s="95"/>
      <c r="Y283" s="95"/>
      <c r="Z283" s="95"/>
      <c r="AA283" s="95"/>
      <c r="AC283" s="95"/>
      <c r="AD283" s="95"/>
      <c r="AE283" s="95"/>
      <c r="AF283" s="95"/>
      <c r="AG283" s="95"/>
      <c r="AH283" s="95"/>
      <c r="AI283" s="95"/>
      <c r="AJ283" s="95"/>
      <c r="AK283" s="95"/>
      <c r="AL283" s="95"/>
      <c r="AM283" s="95"/>
      <c r="AN283" s="95"/>
      <c r="AO283" s="95"/>
      <c r="AQ283" s="95"/>
    </row>
  </sheetData>
  <sheetProtection sheet="1" objects="1" formatCells="0" formatColumns="0" formatRows="0" sort="0" autoFilter="0"/>
  <conditionalFormatting sqref="A4:I4 Z4:XFD4">
    <cfRule type="expression" dxfId="145" priority="10">
      <formula>LEFT($A$4,1) &lt;&gt; "0"</formula>
    </cfRule>
  </conditionalFormatting>
  <conditionalFormatting sqref="N4:P4">
    <cfRule type="expression" dxfId="144" priority="9">
      <formula>LEFT($A$4,1) &lt;&gt; "0"</formula>
    </cfRule>
  </conditionalFormatting>
  <conditionalFormatting sqref="L4:M4">
    <cfRule type="expression" dxfId="143" priority="8">
      <formula>LEFT($A$4,1) &lt;&gt; "0"</formula>
    </cfRule>
  </conditionalFormatting>
  <conditionalFormatting sqref="J4:K4">
    <cfRule type="expression" dxfId="142" priority="7">
      <formula>LEFT($A$4,1) &lt;&gt; "0"</formula>
    </cfRule>
  </conditionalFormatting>
  <conditionalFormatting sqref="Q4">
    <cfRule type="expression" dxfId="141" priority="6">
      <formula>LEFT($A$4,1) &lt;&gt; "0"</formula>
    </cfRule>
  </conditionalFormatting>
  <conditionalFormatting sqref="R4:S4">
    <cfRule type="expression" dxfId="140" priority="5">
      <formula>LEFT($A$4,1) &lt;&gt; "0"</formula>
    </cfRule>
  </conditionalFormatting>
  <conditionalFormatting sqref="T4:U4">
    <cfRule type="expression" dxfId="139" priority="4">
      <formula>LEFT($A$4,1) &lt;&gt; "0"</formula>
    </cfRule>
  </conditionalFormatting>
  <conditionalFormatting sqref="V4:W4">
    <cfRule type="expression" dxfId="138" priority="3">
      <formula>LEFT($A$4,1) &lt;&gt; "0"</formula>
    </cfRule>
  </conditionalFormatting>
  <conditionalFormatting sqref="X4:Y4">
    <cfRule type="expression" dxfId="137" priority="2">
      <formula>LEFT($A$4,1) &lt;&gt; "0"</formula>
    </cfRule>
  </conditionalFormatting>
  <conditionalFormatting sqref="H281">
    <cfRule type="cellIs" dxfId="136" priority="1" operator="greaterThan">
      <formula>0</formula>
    </cfRule>
  </conditionalFormatting>
  <hyperlinks>
    <hyperlink ref="B5:F5" location="'Model map'!A1" display="Click here to return to model map" xr:uid="{7F07C6EB-259B-4EAA-8577-1597BD2ECC65}"/>
  </hyperlinks>
  <pageMargins left="0.7" right="0.7" top="0.75" bottom="0.75" header="0.3" footer="0.3"/>
  <pageSetup paperSize="9" fitToHeight="0" orientation="portrait" r:id="rId1"/>
  <headerFooter>
    <oddHeader>&amp;L&amp;A&amp;C&amp;R&amp;P of &amp;N</oddHeader>
    <oddFooter>&amp;F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4B7F47-5D24-4AE0-AFCC-81854FA8B224}">
  <sheetPr codeName="Sheet40">
    <tabColor theme="4" tint="0.59999389629810485"/>
    <pageSetUpPr fitToPage="1"/>
  </sheetPr>
  <dimension ref="A1:LK40"/>
  <sheetViews>
    <sheetView showGridLines="0" zoomScale="80" zoomScaleNormal="80" workbookViewId="0">
      <pane xSplit="9" ySplit="5" topLeftCell="J6" activePane="bottomRight" state="frozen"/>
      <selection pane="topRight"/>
      <selection pane="bottomLeft"/>
      <selection pane="bottomRight"/>
    </sheetView>
  </sheetViews>
  <sheetFormatPr defaultColWidth="0" defaultRowHeight="15" x14ac:dyDescent="0.25"/>
  <cols>
    <col min="1" max="5" width="2.5703125" style="293" customWidth="1"/>
    <col min="6" max="6" width="59.5703125" style="293" customWidth="1"/>
    <col min="7" max="8" width="20.5703125" style="293" customWidth="1"/>
    <col min="9" max="9" width="2.42578125" style="293" customWidth="1"/>
    <col min="10" max="25" width="17" style="293" customWidth="1"/>
    <col min="26" max="26" width="2.42578125" style="293" customWidth="1"/>
    <col min="27" max="27" width="50.5703125" style="293" customWidth="1"/>
    <col min="28" max="28" width="2.42578125" style="293" customWidth="1"/>
    <col min="29" max="41" width="17" style="293" hidden="1" customWidth="1"/>
    <col min="42" max="42" width="3.5703125" style="293" hidden="1" customWidth="1"/>
    <col min="43" max="43" width="18.42578125" style="293" hidden="1" customWidth="1"/>
    <col min="44" max="44" width="4.42578125" style="293" hidden="1" customWidth="1"/>
    <col min="45" max="45" width="24.5703125" style="293" hidden="1" customWidth="1"/>
    <col min="46" max="46" width="3.5703125" style="293" hidden="1" customWidth="1"/>
    <col min="47" max="47" width="15.42578125" style="293" hidden="1" customWidth="1"/>
    <col min="48" max="323" width="24.5703125" style="293" hidden="1" customWidth="1"/>
    <col min="324" max="16384" width="8.5703125" style="293" hidden="1"/>
  </cols>
  <sheetData>
    <row r="1" spans="1:43" s="10" customFormat="1" x14ac:dyDescent="0.25">
      <c r="A1" s="10" t="str">
        <f ca="1">MID(CELL("filename",A1),FIND("]",CELL("filename",A1))+1,255)</f>
        <v>Service model assets</v>
      </c>
    </row>
    <row r="2" spans="1:43" s="10" customFormat="1" x14ac:dyDescent="0.25">
      <c r="A2" s="10" t="str">
        <f>Cover!D21&amp;" - "&amp;Cover!D23</f>
        <v>Southern Electric Power Distribution plc - Final</v>
      </c>
    </row>
    <row r="3" spans="1:43" s="46" customFormat="1" x14ac:dyDescent="0.25">
      <c r="A3" s="46" t="str">
        <f>Cover!D2&amp;" - "&amp;Cover!D8&amp;" v"&amp;Cover!D10&amp;" - "&amp;Cover!D19</f>
        <v>ARP model - Release for charge setting v7 - 2023/24</v>
      </c>
    </row>
    <row r="4" spans="1:43" x14ac:dyDescent="0.25">
      <c r="A4" s="366" t="str">
        <f>H38 &amp; IF(H38 = 1, " issue", " issues") &amp;" identified in checks on this sheet"</f>
        <v>0 issues identified in checks on this sheet</v>
      </c>
      <c r="B4" s="108"/>
      <c r="C4" s="108"/>
      <c r="D4" s="108"/>
      <c r="E4" s="108"/>
      <c r="F4" s="108"/>
      <c r="G4" s="108"/>
      <c r="H4" s="111"/>
      <c r="I4" s="111"/>
    </row>
    <row r="5" spans="1:43" ht="60" x14ac:dyDescent="0.25">
      <c r="B5" s="367" t="s">
        <v>451</v>
      </c>
      <c r="C5" s="368"/>
      <c r="D5" s="368"/>
      <c r="E5" s="368"/>
      <c r="F5" s="368"/>
      <c r="G5" s="1" t="s">
        <v>91</v>
      </c>
      <c r="H5" s="2" t="s">
        <v>92</v>
      </c>
      <c r="I5" s="111"/>
      <c r="J5" s="2" t="s">
        <v>926</v>
      </c>
      <c r="K5" s="2" t="s">
        <v>927</v>
      </c>
      <c r="L5" s="2" t="s">
        <v>928</v>
      </c>
      <c r="M5" s="2" t="s">
        <v>929</v>
      </c>
      <c r="N5" s="2" t="s">
        <v>930</v>
      </c>
      <c r="O5" s="2" t="s">
        <v>931</v>
      </c>
      <c r="P5" s="2" t="s">
        <v>932</v>
      </c>
      <c r="Q5" s="2" t="s">
        <v>933</v>
      </c>
      <c r="R5" s="2" t="s">
        <v>934</v>
      </c>
      <c r="S5" s="2" t="s">
        <v>935</v>
      </c>
      <c r="T5" s="2" t="s">
        <v>936</v>
      </c>
      <c r="U5" s="2" t="s">
        <v>937</v>
      </c>
      <c r="V5" s="2" t="s">
        <v>938</v>
      </c>
      <c r="W5" s="2" t="s">
        <v>939</v>
      </c>
      <c r="X5" s="2" t="s">
        <v>940</v>
      </c>
      <c r="Y5" s="2" t="s">
        <v>941</v>
      </c>
      <c r="AA5" s="1" t="s">
        <v>93</v>
      </c>
    </row>
    <row r="7" spans="1:43" x14ac:dyDescent="0.25">
      <c r="B7" s="95" t="s">
        <v>90</v>
      </c>
      <c r="C7" s="95"/>
      <c r="D7" s="95"/>
      <c r="E7" s="95"/>
      <c r="F7" s="95"/>
      <c r="G7" s="95"/>
      <c r="H7" s="95"/>
      <c r="I7" s="95"/>
      <c r="J7" s="95"/>
      <c r="K7" s="95"/>
      <c r="L7" s="95"/>
      <c r="M7" s="95"/>
      <c r="N7" s="95"/>
      <c r="O7" s="95"/>
      <c r="P7" s="95"/>
      <c r="Q7" s="95"/>
      <c r="R7" s="95"/>
      <c r="S7" s="95"/>
      <c r="T7" s="95"/>
      <c r="U7" s="95"/>
      <c r="V7" s="95"/>
      <c r="W7" s="95"/>
      <c r="X7" s="95"/>
      <c r="Y7" s="95"/>
      <c r="Z7" s="95"/>
      <c r="AA7" s="95"/>
      <c r="AC7" s="95"/>
      <c r="AD7" s="95"/>
      <c r="AE7" s="95"/>
      <c r="AF7" s="95"/>
      <c r="AG7" s="95"/>
      <c r="AH7" s="95"/>
      <c r="AI7" s="95"/>
      <c r="AJ7" s="95"/>
      <c r="AK7" s="95"/>
      <c r="AL7" s="95"/>
      <c r="AM7" s="95"/>
      <c r="AN7" s="95"/>
      <c r="AO7" s="95"/>
      <c r="AQ7" s="95"/>
    </row>
    <row r="9" spans="1:43" x14ac:dyDescent="0.25">
      <c r="C9" s="82" t="s">
        <v>635</v>
      </c>
    </row>
    <row r="10" spans="1:43" x14ac:dyDescent="0.25">
      <c r="C10" s="82" t="s">
        <v>636</v>
      </c>
    </row>
    <row r="11" spans="1:43" x14ac:dyDescent="0.25">
      <c r="D11" s="96"/>
      <c r="AQ11" s="88"/>
    </row>
    <row r="12" spans="1:43" x14ac:dyDescent="0.25">
      <c r="B12" s="95" t="s">
        <v>669</v>
      </c>
      <c r="C12" s="95"/>
      <c r="D12" s="95"/>
      <c r="E12" s="95"/>
      <c r="F12" s="95"/>
      <c r="G12" s="128"/>
      <c r="H12" s="95"/>
      <c r="I12" s="95"/>
      <c r="J12" s="95"/>
      <c r="K12" s="95"/>
      <c r="L12" s="95"/>
      <c r="M12" s="95"/>
      <c r="N12" s="95"/>
      <c r="O12" s="95"/>
      <c r="P12" s="95"/>
      <c r="Q12" s="95"/>
      <c r="R12" s="95"/>
      <c r="S12" s="95"/>
      <c r="T12" s="95"/>
      <c r="U12" s="95"/>
      <c r="V12" s="95"/>
      <c r="W12" s="95"/>
      <c r="X12" s="95"/>
      <c r="Y12" s="95"/>
      <c r="Z12" s="95"/>
      <c r="AA12" s="95"/>
    </row>
    <row r="13" spans="1:43" x14ac:dyDescent="0.25">
      <c r="G13" s="108"/>
    </row>
    <row r="14" spans="1:43" x14ac:dyDescent="0.25">
      <c r="C14" s="7" t="str">
        <f ca="1">INDEX('Version control'!$H$35:$H$61,MATCH($A$1,'Version control'!$F$35:$F$61,0),1)&amp;"-A: Service model notional asset values"</f>
        <v>Section 510-A: Service model notional asset values</v>
      </c>
      <c r="D14" s="7"/>
      <c r="E14" s="7"/>
      <c r="F14" s="7"/>
      <c r="G14" s="172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</row>
    <row r="16" spans="1:43" x14ac:dyDescent="0.25">
      <c r="E16" s="14" t="s">
        <v>402</v>
      </c>
      <c r="G16" s="14" t="s">
        <v>74</v>
      </c>
      <c r="J16" s="273">
        <f>'Volume adjustments'!J275</f>
        <v>2974344.8025927823</v>
      </c>
      <c r="K16" s="273">
        <f>'Volume adjustments'!K275</f>
        <v>34009.139902491879</v>
      </c>
      <c r="L16" s="273">
        <f>'Volume adjustments'!L275</f>
        <v>233814.03222493452</v>
      </c>
      <c r="M16" s="273">
        <f>'Volume adjustments'!M275</f>
        <v>4763.1029684859122</v>
      </c>
      <c r="N16" s="273">
        <f>'Volume adjustments'!N275</f>
        <v>23003.187012441267</v>
      </c>
      <c r="O16" s="273">
        <f>'Volume adjustments'!O275</f>
        <v>296.66634753688652</v>
      </c>
      <c r="P16" s="273">
        <f>'Volume adjustments'!P275</f>
        <v>1845.5473650417343</v>
      </c>
      <c r="Q16" s="273">
        <f>'Volume adjustments'!Q275</f>
        <v>4315.823371813919</v>
      </c>
      <c r="R16" s="273">
        <f>'Volume adjustments'!R275</f>
        <v>1884.9999999999998</v>
      </c>
      <c r="S16" s="273">
        <f>'Volume adjustments'!S275</f>
        <v>38.935483870967744</v>
      </c>
      <c r="T16" s="273">
        <f>'Volume adjustments'!T275</f>
        <v>836.76967715751107</v>
      </c>
      <c r="U16" s="273">
        <f>'Volume adjustments'!U275</f>
        <v>0</v>
      </c>
      <c r="V16" s="273">
        <f>'Volume adjustments'!V275</f>
        <v>1</v>
      </c>
      <c r="W16" s="273">
        <f>'Volume adjustments'!W275</f>
        <v>0</v>
      </c>
      <c r="X16" s="273">
        <f>'Volume adjustments'!X275</f>
        <v>232.35483870967744</v>
      </c>
      <c r="Y16" s="273">
        <f>'Volume adjustments'!Y275</f>
        <v>0</v>
      </c>
    </row>
    <row r="17" spans="5:27" x14ac:dyDescent="0.25">
      <c r="E17" s="14" t="s">
        <v>627</v>
      </c>
      <c r="G17" s="14" t="s">
        <v>120</v>
      </c>
      <c r="J17" s="272">
        <f>'Volume adjustments'!J264</f>
        <v>12143967.001487436</v>
      </c>
      <c r="K17" s="272">
        <f>'Volume adjustments'!K264</f>
        <v>150446.67048186305</v>
      </c>
      <c r="L17" s="272">
        <f>'Volume adjustments'!L264</f>
        <v>3095864.0242546536</v>
      </c>
      <c r="M17" s="272">
        <f>'Volume adjustments'!M264</f>
        <v>31903.884124617314</v>
      </c>
      <c r="N17" s="272">
        <f>'Volume adjustments'!N264</f>
        <v>5070948.2903276868</v>
      </c>
      <c r="O17" s="272">
        <f>'Volume adjustments'!O264</f>
        <v>349099.7171783871</v>
      </c>
      <c r="P17" s="272">
        <f>'Volume adjustments'!P264</f>
        <v>4393882.0817988962</v>
      </c>
      <c r="Q17" s="272">
        <f>'Volume adjustments'!Q264</f>
        <v>195230.13046304617</v>
      </c>
      <c r="R17" s="272">
        <f>'Volume adjustments'!R264</f>
        <v>6997.5549723252525</v>
      </c>
      <c r="S17" s="272">
        <f>'Volume adjustments'!S264</f>
        <v>274.92011051908435</v>
      </c>
      <c r="T17" s="272">
        <f>'Volume adjustments'!T264</f>
        <v>44625.245166284119</v>
      </c>
      <c r="U17" s="272">
        <f>'Volume adjustments'!U264</f>
        <v>0</v>
      </c>
      <c r="V17" s="272">
        <f>'Volume adjustments'!V264</f>
        <v>0</v>
      </c>
      <c r="W17" s="272">
        <f>'Volume adjustments'!W264</f>
        <v>0</v>
      </c>
      <c r="X17" s="272">
        <f>'Volume adjustments'!X264</f>
        <v>879847.11449808395</v>
      </c>
      <c r="Y17" s="272">
        <f>'Volume adjustments'!Y264</f>
        <v>0</v>
      </c>
    </row>
    <row r="18" spans="5:27" x14ac:dyDescent="0.25">
      <c r="J18" s="252"/>
      <c r="K18" s="252"/>
      <c r="L18" s="252"/>
      <c r="M18" s="252"/>
      <c r="N18" s="252"/>
      <c r="O18" s="252"/>
      <c r="P18" s="252"/>
      <c r="Q18" s="252"/>
      <c r="R18" s="252"/>
      <c r="S18" s="252"/>
      <c r="T18" s="252"/>
      <c r="U18" s="252"/>
      <c r="V18" s="252"/>
      <c r="W18" s="252"/>
      <c r="X18" s="252"/>
      <c r="Y18" s="252"/>
    </row>
    <row r="19" spans="5:27" x14ac:dyDescent="0.25">
      <c r="E19" s="86" t="s">
        <v>629</v>
      </c>
      <c r="J19" s="252"/>
      <c r="K19" s="252"/>
      <c r="L19" s="252"/>
      <c r="M19" s="252"/>
      <c r="N19" s="252"/>
      <c r="O19" s="252"/>
      <c r="P19" s="252"/>
      <c r="Q19" s="252"/>
      <c r="R19" s="252"/>
      <c r="S19" s="252"/>
      <c r="T19" s="252"/>
      <c r="U19" s="252"/>
      <c r="V19" s="252"/>
      <c r="W19" s="252"/>
      <c r="X19" s="252"/>
      <c r="Y19" s="252"/>
    </row>
    <row r="20" spans="5:27" x14ac:dyDescent="0.25">
      <c r="E20" s="82" t="s">
        <v>628</v>
      </c>
      <c r="J20" s="252"/>
      <c r="K20" s="252"/>
      <c r="L20" s="252"/>
      <c r="M20" s="252"/>
      <c r="N20" s="252"/>
      <c r="O20" s="252"/>
      <c r="P20" s="252"/>
      <c r="Q20" s="252"/>
      <c r="R20" s="252"/>
      <c r="S20" s="252"/>
      <c r="T20" s="252"/>
      <c r="U20" s="252"/>
      <c r="V20" s="252"/>
      <c r="W20" s="252"/>
      <c r="X20" s="252"/>
      <c r="Y20" s="252"/>
    </row>
    <row r="21" spans="5:27" x14ac:dyDescent="0.25">
      <c r="E21" s="86"/>
      <c r="F21" s="91" t="s">
        <v>124</v>
      </c>
      <c r="G21" s="91" t="s">
        <v>509</v>
      </c>
      <c r="H21" s="141"/>
      <c r="I21" s="91"/>
      <c r="J21" s="272">
        <f>'Inputs by customer type'!J190</f>
        <v>379.45506561896252</v>
      </c>
      <c r="K21" s="272">
        <f>'Inputs by customer type'!K190</f>
        <v>0</v>
      </c>
      <c r="L21" s="272">
        <f>'Inputs by customer type'!L190</f>
        <v>789.60088178174999</v>
      </c>
      <c r="M21" s="272">
        <f>'Inputs by customer type'!M190</f>
        <v>0</v>
      </c>
      <c r="N21" s="272">
        <f>'Inputs by customer type'!N190</f>
        <v>2290.8202987987502</v>
      </c>
      <c r="O21" s="272">
        <f>'Inputs by customer type'!O190</f>
        <v>5371.7792662500005</v>
      </c>
      <c r="P21" s="272">
        <f>'Inputs by customer type'!P190</f>
        <v>0</v>
      </c>
      <c r="Q21" s="238"/>
      <c r="R21" s="272">
        <f>'Inputs by customer type'!R190</f>
        <v>0</v>
      </c>
      <c r="S21" s="272">
        <f>'Inputs by customer type'!S190</f>
        <v>0</v>
      </c>
      <c r="T21" s="272">
        <f>'Inputs by customer type'!T190</f>
        <v>0</v>
      </c>
      <c r="U21" s="272">
        <f>'Inputs by customer type'!U190</f>
        <v>0</v>
      </c>
      <c r="V21" s="272">
        <f>'Inputs by customer type'!V190</f>
        <v>0</v>
      </c>
      <c r="W21" s="272">
        <f>'Inputs by customer type'!W190</f>
        <v>0</v>
      </c>
      <c r="X21" s="272">
        <f>'Inputs by customer type'!X190</f>
        <v>0</v>
      </c>
      <c r="Y21" s="272">
        <f>'Inputs by customer type'!Y190</f>
        <v>0</v>
      </c>
    </row>
    <row r="22" spans="5:27" x14ac:dyDescent="0.25">
      <c r="E22" s="86"/>
      <c r="F22" s="293" t="s">
        <v>123</v>
      </c>
      <c r="G22" s="293" t="s">
        <v>509</v>
      </c>
      <c r="H22" s="380"/>
      <c r="J22" s="273">
        <f>'Inputs by customer type'!J191</f>
        <v>0</v>
      </c>
      <c r="K22" s="273">
        <f>'Inputs by customer type'!K191</f>
        <v>0</v>
      </c>
      <c r="L22" s="273">
        <f>'Inputs by customer type'!L191</f>
        <v>0</v>
      </c>
      <c r="M22" s="273">
        <f>'Inputs by customer type'!M191</f>
        <v>0</v>
      </c>
      <c r="N22" s="273">
        <f>'Inputs by customer type'!N191</f>
        <v>0</v>
      </c>
      <c r="O22" s="273">
        <f>'Inputs by customer type'!O191</f>
        <v>0</v>
      </c>
      <c r="P22" s="273">
        <f>'Inputs by customer type'!P191</f>
        <v>23333.1646654</v>
      </c>
      <c r="Q22" s="279"/>
      <c r="R22" s="273">
        <f>'Inputs by customer type'!R191</f>
        <v>0</v>
      </c>
      <c r="S22" s="273">
        <f>'Inputs by customer type'!S191</f>
        <v>0</v>
      </c>
      <c r="T22" s="273">
        <f>'Inputs by customer type'!T191</f>
        <v>0</v>
      </c>
      <c r="U22" s="273">
        <f>'Inputs by customer type'!U191</f>
        <v>0</v>
      </c>
      <c r="V22" s="273">
        <f>'Inputs by customer type'!V191</f>
        <v>0</v>
      </c>
      <c r="W22" s="273">
        <f>'Inputs by customer type'!W191</f>
        <v>0</v>
      </c>
      <c r="X22" s="273">
        <f>'Inputs by customer type'!X191</f>
        <v>46691.536333672499</v>
      </c>
      <c r="Y22" s="273">
        <f>'Inputs by customer type'!Y191</f>
        <v>46691.536333672499</v>
      </c>
    </row>
    <row r="23" spans="5:27" x14ac:dyDescent="0.25">
      <c r="E23" s="86"/>
      <c r="F23" s="93" t="s">
        <v>381</v>
      </c>
      <c r="G23" s="93" t="s">
        <v>271</v>
      </c>
      <c r="H23" s="93"/>
      <c r="I23" s="93"/>
      <c r="J23" s="429"/>
      <c r="K23" s="429"/>
      <c r="L23" s="429"/>
      <c r="M23" s="429"/>
      <c r="N23" s="429"/>
      <c r="O23" s="429"/>
      <c r="P23" s="429"/>
      <c r="Q23" s="428">
        <f>'Inputs by customer type'!Q193</f>
        <v>808.07138150962226</v>
      </c>
      <c r="R23" s="429"/>
      <c r="S23" s="429"/>
      <c r="T23" s="429"/>
      <c r="U23" s="429"/>
      <c r="V23" s="429"/>
      <c r="W23" s="429"/>
      <c r="X23" s="429"/>
      <c r="Y23" s="429"/>
    </row>
    <row r="24" spans="5:27" x14ac:dyDescent="0.25">
      <c r="J24" s="252"/>
      <c r="K24" s="252"/>
      <c r="L24" s="252"/>
      <c r="M24" s="252"/>
      <c r="N24" s="252"/>
      <c r="O24" s="252"/>
      <c r="P24" s="252"/>
      <c r="Q24" s="252"/>
      <c r="R24" s="252"/>
      <c r="S24" s="252"/>
      <c r="T24" s="252"/>
      <c r="U24" s="252"/>
      <c r="V24" s="252"/>
      <c r="W24" s="252"/>
      <c r="X24" s="252"/>
      <c r="Y24" s="252"/>
    </row>
    <row r="25" spans="5:27" x14ac:dyDescent="0.25">
      <c r="E25" s="86" t="s">
        <v>630</v>
      </c>
      <c r="J25" s="252"/>
      <c r="K25" s="252"/>
      <c r="L25" s="252"/>
      <c r="M25" s="252"/>
      <c r="N25" s="252"/>
      <c r="O25" s="252"/>
      <c r="P25" s="252"/>
      <c r="Q25" s="252"/>
      <c r="R25" s="252"/>
      <c r="S25" s="252"/>
      <c r="T25" s="252"/>
      <c r="U25" s="252"/>
      <c r="V25" s="252"/>
      <c r="W25" s="252"/>
      <c r="X25" s="252"/>
      <c r="Y25" s="252"/>
    </row>
    <row r="26" spans="5:27" x14ac:dyDescent="0.25">
      <c r="E26" s="82" t="s">
        <v>634</v>
      </c>
      <c r="I26" s="293" t="s">
        <v>359</v>
      </c>
      <c r="J26" s="252"/>
      <c r="K26" s="252"/>
      <c r="L26" s="252"/>
      <c r="M26" s="252"/>
      <c r="N26" s="252"/>
      <c r="O26" s="252"/>
      <c r="P26" s="252"/>
      <c r="Q26" s="252"/>
      <c r="R26" s="252"/>
      <c r="S26" s="252"/>
      <c r="T26" s="252"/>
      <c r="U26" s="252"/>
      <c r="V26" s="252"/>
      <c r="W26" s="252"/>
      <c r="X26" s="252"/>
      <c r="Y26" s="252"/>
      <c r="AA26" s="293" t="s">
        <v>960</v>
      </c>
    </row>
    <row r="27" spans="5:27" x14ac:dyDescent="0.25">
      <c r="F27" s="91" t="s">
        <v>124</v>
      </c>
      <c r="G27" s="91" t="s">
        <v>107</v>
      </c>
      <c r="H27" s="74"/>
      <c r="I27" s="91"/>
      <c r="J27" s="267">
        <f t="shared" ref="J27:Y28" si="0">J21 * J$16</f>
        <v>1128630202.2412643</v>
      </c>
      <c r="K27" s="267">
        <f t="shared" si="0"/>
        <v>0</v>
      </c>
      <c r="L27" s="267">
        <f t="shared" si="0"/>
        <v>184619766.01775479</v>
      </c>
      <c r="M27" s="267">
        <f t="shared" si="0"/>
        <v>0</v>
      </c>
      <c r="N27" s="267">
        <f t="shared" si="0"/>
        <v>52696167.74516423</v>
      </c>
      <c r="O27" s="267">
        <f t="shared" si="0"/>
        <v>1593626.1346927639</v>
      </c>
      <c r="P27" s="267">
        <f t="shared" si="0"/>
        <v>0</v>
      </c>
      <c r="Q27" s="267">
        <f t="shared" si="0"/>
        <v>0</v>
      </c>
      <c r="R27" s="267">
        <f t="shared" si="0"/>
        <v>0</v>
      </c>
      <c r="S27" s="267">
        <f t="shared" si="0"/>
        <v>0</v>
      </c>
      <c r="T27" s="267">
        <f t="shared" si="0"/>
        <v>0</v>
      </c>
      <c r="U27" s="267">
        <f t="shared" si="0"/>
        <v>0</v>
      </c>
      <c r="V27" s="267">
        <f t="shared" si="0"/>
        <v>0</v>
      </c>
      <c r="W27" s="267">
        <f t="shared" si="0"/>
        <v>0</v>
      </c>
      <c r="X27" s="267">
        <f t="shared" si="0"/>
        <v>0</v>
      </c>
      <c r="Y27" s="267">
        <f t="shared" si="0"/>
        <v>0</v>
      </c>
    </row>
    <row r="28" spans="5:27" x14ac:dyDescent="0.25">
      <c r="F28" s="293" t="s">
        <v>123</v>
      </c>
      <c r="G28" s="293" t="s">
        <v>107</v>
      </c>
      <c r="H28" s="90"/>
      <c r="J28" s="275">
        <f t="shared" si="0"/>
        <v>0</v>
      </c>
      <c r="K28" s="275">
        <f t="shared" si="0"/>
        <v>0</v>
      </c>
      <c r="L28" s="275">
        <f t="shared" si="0"/>
        <v>0</v>
      </c>
      <c r="M28" s="275">
        <f t="shared" si="0"/>
        <v>0</v>
      </c>
      <c r="N28" s="275">
        <f t="shared" si="0"/>
        <v>0</v>
      </c>
      <c r="O28" s="275">
        <f t="shared" si="0"/>
        <v>0</v>
      </c>
      <c r="P28" s="275">
        <f t="shared" si="0"/>
        <v>43062460.56631387</v>
      </c>
      <c r="Q28" s="275">
        <f t="shared" si="0"/>
        <v>0</v>
      </c>
      <c r="R28" s="275">
        <f t="shared" si="0"/>
        <v>0</v>
      </c>
      <c r="S28" s="275">
        <f t="shared" si="0"/>
        <v>0</v>
      </c>
      <c r="T28" s="275">
        <f t="shared" si="0"/>
        <v>0</v>
      </c>
      <c r="U28" s="275">
        <f t="shared" si="0"/>
        <v>0</v>
      </c>
      <c r="V28" s="275">
        <f t="shared" si="0"/>
        <v>0</v>
      </c>
      <c r="W28" s="275">
        <f t="shared" si="0"/>
        <v>0</v>
      </c>
      <c r="X28" s="275">
        <f t="shared" si="0"/>
        <v>10849004.393917518</v>
      </c>
      <c r="Y28" s="275">
        <f t="shared" si="0"/>
        <v>0</v>
      </c>
    </row>
    <row r="29" spans="5:27" x14ac:dyDescent="0.25">
      <c r="F29" s="93" t="s">
        <v>381</v>
      </c>
      <c r="G29" s="93" t="s">
        <v>107</v>
      </c>
      <c r="H29" s="187"/>
      <c r="I29" s="93"/>
      <c r="J29" s="429"/>
      <c r="K29" s="429"/>
      <c r="L29" s="429"/>
      <c r="M29" s="429"/>
      <c r="N29" s="429"/>
      <c r="O29" s="429"/>
      <c r="P29" s="429"/>
      <c r="Q29" s="270">
        <f t="shared" ref="Q29" si="1">Q23 * Q$17</f>
        <v>157759881.23557749</v>
      </c>
      <c r="R29" s="429"/>
      <c r="S29" s="429"/>
      <c r="T29" s="429"/>
      <c r="U29" s="429"/>
      <c r="V29" s="429"/>
      <c r="W29" s="429"/>
      <c r="X29" s="429"/>
      <c r="Y29" s="429"/>
    </row>
    <row r="30" spans="5:27" x14ac:dyDescent="0.25">
      <c r="J30" s="252"/>
      <c r="K30" s="252"/>
      <c r="L30" s="252"/>
      <c r="M30" s="252"/>
      <c r="N30" s="252"/>
      <c r="O30" s="252"/>
      <c r="P30" s="252"/>
      <c r="Q30" s="252"/>
      <c r="R30" s="252"/>
      <c r="S30" s="252"/>
      <c r="T30" s="252"/>
      <c r="U30" s="252"/>
      <c r="V30" s="252"/>
      <c r="W30" s="252"/>
      <c r="X30" s="252"/>
      <c r="Y30" s="252"/>
    </row>
    <row r="31" spans="5:27" x14ac:dyDescent="0.25">
      <c r="E31" s="86" t="s">
        <v>757</v>
      </c>
      <c r="J31" s="252"/>
      <c r="K31" s="252"/>
      <c r="L31" s="252"/>
      <c r="M31" s="252"/>
      <c r="N31" s="252"/>
      <c r="O31" s="252"/>
      <c r="P31" s="252"/>
      <c r="Q31" s="252"/>
      <c r="R31" s="252"/>
      <c r="S31" s="252"/>
      <c r="T31" s="252"/>
      <c r="U31" s="252"/>
      <c r="V31" s="252"/>
      <c r="W31" s="252"/>
      <c r="X31" s="252"/>
      <c r="Y31" s="252"/>
    </row>
    <row r="32" spans="5:27" x14ac:dyDescent="0.25">
      <c r="E32" s="82" t="s">
        <v>633</v>
      </c>
      <c r="H32" s="41" t="s">
        <v>215</v>
      </c>
      <c r="J32" s="252"/>
      <c r="K32" s="252"/>
      <c r="L32" s="252"/>
      <c r="M32" s="252"/>
      <c r="N32" s="252"/>
      <c r="O32" s="252"/>
      <c r="P32" s="252"/>
      <c r="Q32" s="252"/>
      <c r="R32" s="252"/>
      <c r="S32" s="252"/>
      <c r="T32" s="252"/>
      <c r="U32" s="252"/>
      <c r="V32" s="252"/>
      <c r="W32" s="252"/>
      <c r="X32" s="252"/>
      <c r="Y32" s="252"/>
    </row>
    <row r="33" spans="2:43" x14ac:dyDescent="0.25">
      <c r="F33" s="91" t="s">
        <v>631</v>
      </c>
      <c r="G33" s="91" t="s">
        <v>107</v>
      </c>
      <c r="H33" s="254">
        <f>SUM(J33:Y33)</f>
        <v>1525299643.3744535</v>
      </c>
      <c r="I33" s="91"/>
      <c r="J33" s="277">
        <f t="shared" ref="J33:Y33" si="2">J27 +J29</f>
        <v>1128630202.2412643</v>
      </c>
      <c r="K33" s="277">
        <f t="shared" si="2"/>
        <v>0</v>
      </c>
      <c r="L33" s="277">
        <f t="shared" si="2"/>
        <v>184619766.01775479</v>
      </c>
      <c r="M33" s="277">
        <f t="shared" si="2"/>
        <v>0</v>
      </c>
      <c r="N33" s="277">
        <f t="shared" si="2"/>
        <v>52696167.74516423</v>
      </c>
      <c r="O33" s="277">
        <f t="shared" si="2"/>
        <v>1593626.1346927639</v>
      </c>
      <c r="P33" s="277">
        <f t="shared" si="2"/>
        <v>0</v>
      </c>
      <c r="Q33" s="277">
        <f t="shared" si="2"/>
        <v>157759881.23557749</v>
      </c>
      <c r="R33" s="277">
        <f t="shared" si="2"/>
        <v>0</v>
      </c>
      <c r="S33" s="277">
        <f t="shared" si="2"/>
        <v>0</v>
      </c>
      <c r="T33" s="277">
        <f t="shared" si="2"/>
        <v>0</v>
      </c>
      <c r="U33" s="277">
        <f t="shared" si="2"/>
        <v>0</v>
      </c>
      <c r="V33" s="277">
        <f t="shared" si="2"/>
        <v>0</v>
      </c>
      <c r="W33" s="277">
        <f t="shared" si="2"/>
        <v>0</v>
      </c>
      <c r="X33" s="277">
        <f t="shared" si="2"/>
        <v>0</v>
      </c>
      <c r="Y33" s="277">
        <f t="shared" si="2"/>
        <v>0</v>
      </c>
    </row>
    <row r="34" spans="2:43" x14ac:dyDescent="0.25">
      <c r="F34" s="93" t="s">
        <v>632</v>
      </c>
      <c r="G34" s="93" t="s">
        <v>107</v>
      </c>
      <c r="H34" s="258">
        <f>SUM(J34:Y34)</f>
        <v>53911464.960231386</v>
      </c>
      <c r="I34" s="93"/>
      <c r="J34" s="280">
        <f t="shared" ref="J34:Y34" si="3">J28</f>
        <v>0</v>
      </c>
      <c r="K34" s="280">
        <f t="shared" si="3"/>
        <v>0</v>
      </c>
      <c r="L34" s="280">
        <f t="shared" si="3"/>
        <v>0</v>
      </c>
      <c r="M34" s="280">
        <f t="shared" si="3"/>
        <v>0</v>
      </c>
      <c r="N34" s="280">
        <f t="shared" si="3"/>
        <v>0</v>
      </c>
      <c r="O34" s="280">
        <f t="shared" si="3"/>
        <v>0</v>
      </c>
      <c r="P34" s="280">
        <f t="shared" si="3"/>
        <v>43062460.56631387</v>
      </c>
      <c r="Q34" s="280">
        <f t="shared" si="3"/>
        <v>0</v>
      </c>
      <c r="R34" s="280">
        <f t="shared" si="3"/>
        <v>0</v>
      </c>
      <c r="S34" s="280">
        <f t="shared" si="3"/>
        <v>0</v>
      </c>
      <c r="T34" s="280">
        <f t="shared" si="3"/>
        <v>0</v>
      </c>
      <c r="U34" s="280">
        <f t="shared" si="3"/>
        <v>0</v>
      </c>
      <c r="V34" s="280">
        <f t="shared" si="3"/>
        <v>0</v>
      </c>
      <c r="W34" s="280">
        <f t="shared" si="3"/>
        <v>0</v>
      </c>
      <c r="X34" s="280">
        <f t="shared" si="3"/>
        <v>10849004.393917518</v>
      </c>
      <c r="Y34" s="280">
        <f t="shared" si="3"/>
        <v>0</v>
      </c>
    </row>
    <row r="36" spans="2:43" x14ac:dyDescent="0.25">
      <c r="B36" s="95" t="s">
        <v>109</v>
      </c>
      <c r="C36" s="95"/>
      <c r="D36" s="95"/>
      <c r="E36" s="95"/>
      <c r="F36" s="95"/>
      <c r="G36" s="95"/>
      <c r="H36" s="95"/>
      <c r="I36" s="95"/>
      <c r="J36" s="95"/>
      <c r="K36" s="95"/>
      <c r="L36" s="95"/>
      <c r="M36" s="95"/>
      <c r="N36" s="95"/>
      <c r="O36" s="95"/>
      <c r="P36" s="95"/>
      <c r="Q36" s="95"/>
      <c r="R36" s="95"/>
      <c r="S36" s="95"/>
      <c r="T36" s="95"/>
      <c r="U36" s="95"/>
      <c r="V36" s="95"/>
      <c r="W36" s="95"/>
      <c r="X36" s="95"/>
      <c r="Y36" s="95"/>
      <c r="Z36" s="95"/>
      <c r="AA36" s="95"/>
      <c r="AC36" s="95"/>
      <c r="AD36" s="95"/>
      <c r="AE36" s="95"/>
      <c r="AF36" s="95"/>
      <c r="AG36" s="95"/>
      <c r="AH36" s="95"/>
      <c r="AI36" s="95"/>
      <c r="AJ36" s="95"/>
      <c r="AK36" s="95"/>
      <c r="AL36" s="95"/>
      <c r="AM36" s="95"/>
      <c r="AN36" s="95"/>
      <c r="AO36" s="95"/>
      <c r="AQ36" s="95"/>
    </row>
    <row r="38" spans="2:43" x14ac:dyDescent="0.25">
      <c r="E38" s="293" t="s">
        <v>415</v>
      </c>
      <c r="G38" s="122" t="s">
        <v>588</v>
      </c>
      <c r="H38" s="310">
        <f t="array" ref="H38">SUM(IF(ISERROR(H16:Y35), 1))</f>
        <v>0</v>
      </c>
    </row>
    <row r="40" spans="2:43" x14ac:dyDescent="0.25">
      <c r="B40" s="95" t="s">
        <v>110</v>
      </c>
      <c r="C40" s="95"/>
      <c r="D40" s="95"/>
      <c r="E40" s="95"/>
      <c r="F40" s="95"/>
      <c r="G40" s="95"/>
      <c r="H40" s="95"/>
      <c r="I40" s="95"/>
      <c r="J40" s="95"/>
      <c r="K40" s="95"/>
      <c r="L40" s="95"/>
      <c r="M40" s="95"/>
      <c r="N40" s="95"/>
      <c r="O40" s="95"/>
      <c r="P40" s="95"/>
      <c r="Q40" s="95"/>
      <c r="R40" s="95"/>
      <c r="S40" s="95"/>
      <c r="T40" s="95"/>
      <c r="U40" s="95"/>
      <c r="V40" s="95"/>
      <c r="W40" s="95"/>
      <c r="X40" s="95"/>
      <c r="Y40" s="95"/>
      <c r="Z40" s="95"/>
      <c r="AA40" s="95"/>
      <c r="AC40" s="95"/>
      <c r="AD40" s="95"/>
      <c r="AE40" s="95"/>
      <c r="AF40" s="95"/>
      <c r="AG40" s="95"/>
      <c r="AH40" s="95"/>
      <c r="AI40" s="95"/>
      <c r="AJ40" s="95"/>
      <c r="AK40" s="95"/>
      <c r="AL40" s="95"/>
      <c r="AM40" s="95"/>
      <c r="AN40" s="95"/>
      <c r="AO40" s="95"/>
      <c r="AQ40" s="95"/>
    </row>
  </sheetData>
  <sheetProtection sheet="1" objects="1" formatCells="0" formatColumns="0" formatRows="0" sort="0" autoFilter="0"/>
  <conditionalFormatting sqref="A4:I4 Z4:XFD4">
    <cfRule type="expression" dxfId="135" priority="10">
      <formula>LEFT($A$4,1) &lt;&gt; "0"</formula>
    </cfRule>
  </conditionalFormatting>
  <conditionalFormatting sqref="N4:P4">
    <cfRule type="expression" dxfId="134" priority="9">
      <formula>LEFT($A$4,1) &lt;&gt; "0"</formula>
    </cfRule>
  </conditionalFormatting>
  <conditionalFormatting sqref="L4:M4">
    <cfRule type="expression" dxfId="133" priority="8">
      <formula>LEFT($A$4,1) &lt;&gt; "0"</formula>
    </cfRule>
  </conditionalFormatting>
  <conditionalFormatting sqref="J4:K4">
    <cfRule type="expression" dxfId="132" priority="7">
      <formula>LEFT($A$4,1) &lt;&gt; "0"</formula>
    </cfRule>
  </conditionalFormatting>
  <conditionalFormatting sqref="Q4">
    <cfRule type="expression" dxfId="131" priority="6">
      <formula>LEFT($A$4,1) &lt;&gt; "0"</formula>
    </cfRule>
  </conditionalFormatting>
  <conditionalFormatting sqref="R4:S4">
    <cfRule type="expression" dxfId="130" priority="5">
      <formula>LEFT($A$4,1) &lt;&gt; "0"</formula>
    </cfRule>
  </conditionalFormatting>
  <conditionalFormatting sqref="T4:U4">
    <cfRule type="expression" dxfId="129" priority="4">
      <formula>LEFT($A$4,1) &lt;&gt; "0"</formula>
    </cfRule>
  </conditionalFormatting>
  <conditionalFormatting sqref="V4:W4">
    <cfRule type="expression" dxfId="128" priority="3">
      <formula>LEFT($A$4,1) &lt;&gt; "0"</formula>
    </cfRule>
  </conditionalFormatting>
  <conditionalFormatting sqref="X4:Y4">
    <cfRule type="expression" dxfId="127" priority="2">
      <formula>LEFT($A$4,1) &lt;&gt; "0"</formula>
    </cfRule>
  </conditionalFormatting>
  <conditionalFormatting sqref="H38">
    <cfRule type="cellIs" dxfId="126" priority="1" operator="greaterThan">
      <formula>0</formula>
    </cfRule>
  </conditionalFormatting>
  <dataValidations count="2">
    <dataValidation type="textLength" operator="equal" allowBlank="1" showInputMessage="1" showErrorMessage="1" error="This cell is not in use." sqref="Y23 Y29" xr:uid="{FCCFB177-0BCE-48E5-AB96-B7FB6028D441}">
      <formula1>0</formula1>
    </dataValidation>
    <dataValidation type="decimal" operator="greaterThanOrEqual" allowBlank="1" showInputMessage="1" showErrorMessage="1" errorTitle="Invalid volume data" error="Invalid volume data (negative number or unused cell)." sqref="R29:Y29 J29:P29 J21:Y23 J16:Y17" xr:uid="{364EBC5C-AC77-4C32-AD58-46F149D06F5C}">
      <formula1>0</formula1>
    </dataValidation>
  </dataValidations>
  <hyperlinks>
    <hyperlink ref="B5:F5" location="'Model map'!A1" display="Click here to return to model map" xr:uid="{B372821F-31F1-4776-A2E0-A7DBD3BCAEBF}"/>
  </hyperlinks>
  <pageMargins left="0.7" right="0.7" top="0.75" bottom="0.75" header="0.3" footer="0.3"/>
  <pageSetup paperSize="9" fitToHeight="0" orientation="portrait" r:id="rId1"/>
  <headerFooter>
    <oddHeader>&amp;L&amp;A&amp;C&amp;R&amp;P of &amp;N</oddHeader>
    <oddFooter>&amp;F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F18EB3-8D02-4C19-8DD9-0FC4897EFA4B}">
  <sheetPr codeName="Sheet41">
    <tabColor theme="4" tint="0.59999389629810485"/>
    <pageSetUpPr fitToPage="1"/>
  </sheetPr>
  <dimension ref="A1:JF133"/>
  <sheetViews>
    <sheetView showGridLines="0" zoomScale="80" zoomScaleNormal="80" workbookViewId="0">
      <pane xSplit="9" ySplit="5" topLeftCell="J6" activePane="bottomRight" state="frozen"/>
      <selection pane="topRight"/>
      <selection pane="bottomLeft"/>
      <selection pane="bottomRight"/>
    </sheetView>
  </sheetViews>
  <sheetFormatPr defaultColWidth="0" defaultRowHeight="15" x14ac:dyDescent="0.25"/>
  <cols>
    <col min="1" max="5" width="2.5703125" style="293" customWidth="1"/>
    <col min="6" max="6" width="59.5703125" style="293" customWidth="1"/>
    <col min="7" max="8" width="20.5703125" style="293" customWidth="1"/>
    <col min="9" max="9" width="2.42578125" style="293" customWidth="1"/>
    <col min="10" max="21" width="17" style="293" customWidth="1"/>
    <col min="22" max="22" width="2.42578125" style="293" customWidth="1"/>
    <col min="23" max="23" width="50.5703125" style="293" customWidth="1"/>
    <col min="24" max="24" width="2.42578125" style="293" customWidth="1"/>
    <col min="25" max="42" width="17" style="293" hidden="1" customWidth="1"/>
    <col min="43" max="43" width="2.42578125" style="293" hidden="1" customWidth="1"/>
    <col min="44" max="44" width="18.42578125" style="293" hidden="1" customWidth="1"/>
    <col min="45" max="45" width="4.42578125" style="293" hidden="1" customWidth="1"/>
    <col min="46" max="266" width="24.5703125" style="293" hidden="1" customWidth="1"/>
    <col min="267" max="16384" width="8.5703125" style="293" hidden="1"/>
  </cols>
  <sheetData>
    <row r="1" spans="1:23" s="10" customFormat="1" x14ac:dyDescent="0.25">
      <c r="A1" s="10" t="str">
        <f ca="1">MID(CELL("filename",A1),FIND("]",CELL("filename",A1))+1,255)</f>
        <v>Unit costs</v>
      </c>
    </row>
    <row r="2" spans="1:23" s="10" customFormat="1" x14ac:dyDescent="0.25">
      <c r="A2" s="10" t="str">
        <f>Cover!D21&amp;" - "&amp;Cover!D23</f>
        <v>Southern Electric Power Distribution plc - Final</v>
      </c>
    </row>
    <row r="3" spans="1:23" s="46" customFormat="1" x14ac:dyDescent="0.25">
      <c r="A3" s="46" t="str">
        <f>Cover!D2&amp;" - "&amp;Cover!D8&amp;" v"&amp;Cover!D10&amp;" - "&amp;Cover!D19</f>
        <v>ARP model - Release for charge setting v7 - 2023/24</v>
      </c>
    </row>
    <row r="4" spans="1:23" x14ac:dyDescent="0.25">
      <c r="A4" s="366" t="str">
        <f>H131 &amp; IF(H131 = 1, " issue", " issues") &amp;" identified in checks on this sheet"</f>
        <v>0 issues identified in checks on this sheet</v>
      </c>
      <c r="B4" s="108"/>
      <c r="C4" s="108"/>
      <c r="D4" s="108"/>
      <c r="E4" s="108"/>
      <c r="F4" s="108"/>
      <c r="G4" s="108"/>
      <c r="H4" s="111"/>
      <c r="I4" s="111"/>
      <c r="J4" s="108"/>
    </row>
    <row r="5" spans="1:23" x14ac:dyDescent="0.25">
      <c r="B5" s="367" t="s">
        <v>451</v>
      </c>
      <c r="C5" s="368"/>
      <c r="D5" s="368"/>
      <c r="E5" s="368"/>
      <c r="F5" s="368"/>
      <c r="G5" s="1" t="s">
        <v>91</v>
      </c>
      <c r="H5" s="2" t="s">
        <v>92</v>
      </c>
      <c r="I5" s="4"/>
      <c r="J5" s="8" t="s">
        <v>267</v>
      </c>
      <c r="K5" s="383" t="s">
        <v>43</v>
      </c>
      <c r="L5" s="383" t="s">
        <v>44</v>
      </c>
      <c r="M5" s="383" t="s">
        <v>45</v>
      </c>
      <c r="N5" s="383" t="s">
        <v>46</v>
      </c>
      <c r="O5" s="383" t="s">
        <v>47</v>
      </c>
      <c r="P5" s="383" t="s">
        <v>51</v>
      </c>
      <c r="Q5" s="383" t="s">
        <v>48</v>
      </c>
      <c r="R5" s="383" t="s">
        <v>49</v>
      </c>
      <c r="S5" s="383" t="s">
        <v>50</v>
      </c>
      <c r="T5" s="383" t="s">
        <v>124</v>
      </c>
      <c r="U5" s="383" t="s">
        <v>123</v>
      </c>
      <c r="W5" s="368" t="s">
        <v>93</v>
      </c>
    </row>
    <row r="6" spans="1:23" x14ac:dyDescent="0.25">
      <c r="H6" s="88"/>
      <c r="I6" s="88"/>
      <c r="J6" s="88"/>
      <c r="K6" s="88"/>
      <c r="L6" s="88"/>
      <c r="M6" s="88"/>
      <c r="N6" s="88"/>
      <c r="O6" s="88"/>
      <c r="P6" s="88"/>
      <c r="Q6" s="88"/>
      <c r="R6" s="88"/>
      <c r="S6" s="88"/>
      <c r="T6" s="88"/>
      <c r="U6" s="88"/>
      <c r="W6" s="88"/>
    </row>
    <row r="7" spans="1:23" x14ac:dyDescent="0.25">
      <c r="B7" s="95" t="s">
        <v>90</v>
      </c>
      <c r="C7" s="95"/>
      <c r="D7" s="95"/>
      <c r="E7" s="95"/>
      <c r="F7" s="95"/>
      <c r="G7" s="95"/>
      <c r="H7" s="95"/>
      <c r="I7" s="95"/>
      <c r="J7" s="95"/>
      <c r="K7" s="95"/>
      <c r="L7" s="95"/>
      <c r="M7" s="95"/>
      <c r="N7" s="95"/>
      <c r="O7" s="95"/>
      <c r="P7" s="95"/>
      <c r="Q7" s="95"/>
      <c r="R7" s="95"/>
      <c r="S7" s="95"/>
      <c r="T7" s="95"/>
      <c r="U7" s="95"/>
      <c r="V7" s="95"/>
      <c r="W7" s="95"/>
    </row>
    <row r="9" spans="1:23" x14ac:dyDescent="0.25">
      <c r="C9" s="82" t="s">
        <v>408</v>
      </c>
      <c r="D9" s="82"/>
    </row>
    <row r="10" spans="1:23" x14ac:dyDescent="0.25">
      <c r="C10" s="82" t="s">
        <v>903</v>
      </c>
      <c r="D10" s="82"/>
    </row>
    <row r="11" spans="1:23" x14ac:dyDescent="0.25">
      <c r="C11" s="82"/>
      <c r="D11" s="82" t="s">
        <v>683</v>
      </c>
    </row>
    <row r="12" spans="1:23" x14ac:dyDescent="0.25">
      <c r="C12" s="82"/>
      <c r="D12" s="82" t="s">
        <v>358</v>
      </c>
    </row>
    <row r="13" spans="1:23" x14ac:dyDescent="0.25">
      <c r="C13" s="82" t="s">
        <v>718</v>
      </c>
      <c r="D13" s="82"/>
    </row>
    <row r="15" spans="1:23" x14ac:dyDescent="0.25">
      <c r="B15" s="95" t="s">
        <v>907</v>
      </c>
      <c r="C15" s="95"/>
      <c r="D15" s="95"/>
      <c r="E15" s="95"/>
      <c r="F15" s="95"/>
      <c r="G15" s="95"/>
      <c r="H15" s="95"/>
      <c r="I15" s="95"/>
      <c r="J15" s="95"/>
      <c r="K15" s="95"/>
      <c r="L15" s="95"/>
      <c r="M15" s="95"/>
      <c r="N15" s="95"/>
      <c r="O15" s="95"/>
      <c r="P15" s="95"/>
      <c r="Q15" s="95"/>
      <c r="R15" s="95"/>
      <c r="S15" s="95"/>
      <c r="T15" s="95"/>
      <c r="U15" s="95"/>
      <c r="V15" s="95"/>
      <c r="W15" s="95"/>
    </row>
    <row r="16" spans="1:23" x14ac:dyDescent="0.25">
      <c r="H16" s="88"/>
      <c r="I16" s="88"/>
      <c r="J16" s="88"/>
      <c r="K16" s="88"/>
      <c r="L16" s="88"/>
      <c r="M16" s="88"/>
      <c r="N16" s="88"/>
      <c r="O16" s="88"/>
      <c r="P16" s="88"/>
      <c r="Q16" s="88"/>
      <c r="R16" s="88"/>
      <c r="S16" s="88"/>
      <c r="T16" s="88"/>
      <c r="U16" s="88"/>
      <c r="W16" s="88"/>
    </row>
    <row r="17" spans="3:25" x14ac:dyDescent="0.25">
      <c r="C17" s="82" t="s">
        <v>908</v>
      </c>
    </row>
    <row r="18" spans="3:25" x14ac:dyDescent="0.25">
      <c r="H18" s="88"/>
      <c r="I18" s="88"/>
      <c r="J18" s="88"/>
      <c r="K18" s="88"/>
      <c r="L18" s="88"/>
      <c r="M18" s="88"/>
      <c r="N18" s="88"/>
      <c r="O18" s="88"/>
      <c r="P18" s="88"/>
      <c r="Q18" s="88"/>
      <c r="R18" s="88"/>
      <c r="S18" s="88"/>
      <c r="T18" s="88"/>
      <c r="U18" s="88"/>
      <c r="W18" s="88"/>
    </row>
    <row r="19" spans="3:25" x14ac:dyDescent="0.25">
      <c r="C19" s="7" t="str">
        <f ca="1">INDEX('Version control'!$H$35:$H$61,MATCH($A$1,'Version control'!$F$35:$F$61,0),1)&amp;"-A: Financial data"</f>
        <v>Section 511-A: Financial data</v>
      </c>
      <c r="D19" s="7"/>
      <c r="E19" s="7"/>
      <c r="F19" s="7"/>
      <c r="G19" s="7"/>
      <c r="H19" s="227"/>
      <c r="I19" s="227"/>
      <c r="J19" s="227"/>
      <c r="K19" s="227"/>
      <c r="L19" s="227"/>
      <c r="M19" s="227"/>
      <c r="N19" s="227"/>
      <c r="O19" s="227"/>
      <c r="P19" s="227"/>
      <c r="Q19" s="227"/>
      <c r="R19" s="227"/>
      <c r="S19" s="227"/>
      <c r="T19" s="227"/>
      <c r="U19" s="227"/>
      <c r="V19" s="7"/>
      <c r="W19" s="227"/>
    </row>
    <row r="20" spans="3:25" x14ac:dyDescent="0.25">
      <c r="H20" s="88"/>
    </row>
    <row r="21" spans="3:25" x14ac:dyDescent="0.25">
      <c r="D21" s="82" t="s">
        <v>360</v>
      </c>
      <c r="I21" s="88" t="s">
        <v>359</v>
      </c>
      <c r="J21" s="88"/>
      <c r="K21" s="88"/>
      <c r="L21" s="88"/>
      <c r="M21" s="88"/>
      <c r="N21" s="88"/>
      <c r="O21" s="88"/>
      <c r="P21" s="88"/>
      <c r="Q21" s="88"/>
      <c r="R21" s="88"/>
      <c r="S21" s="88"/>
      <c r="T21" s="88"/>
      <c r="U21" s="88"/>
      <c r="W21" s="88" t="s">
        <v>696</v>
      </c>
    </row>
    <row r="22" spans="3:25" x14ac:dyDescent="0.25">
      <c r="D22" s="82"/>
    </row>
    <row r="23" spans="3:25" x14ac:dyDescent="0.25">
      <c r="D23" s="86"/>
      <c r="E23" s="14" t="s">
        <v>616</v>
      </c>
      <c r="G23" s="14" t="s">
        <v>94</v>
      </c>
      <c r="H23" s="384">
        <f>'General inputs'!H95</f>
        <v>3.7400000000000003E-2</v>
      </c>
      <c r="I23" s="88"/>
      <c r="J23" s="88"/>
      <c r="K23" s="88"/>
      <c r="L23" s="88"/>
      <c r="M23" s="88"/>
      <c r="N23" s="88"/>
      <c r="O23" s="88"/>
      <c r="P23" s="88"/>
      <c r="Q23" s="88"/>
      <c r="R23" s="88"/>
      <c r="S23" s="88"/>
      <c r="T23" s="88"/>
      <c r="U23" s="88"/>
    </row>
    <row r="24" spans="3:25" x14ac:dyDescent="0.25">
      <c r="D24" s="86"/>
      <c r="E24" s="14" t="s">
        <v>95</v>
      </c>
      <c r="G24" s="14" t="s">
        <v>96</v>
      </c>
      <c r="H24" s="400">
        <f>'Fixed inputs'!H35</f>
        <v>40</v>
      </c>
      <c r="I24" s="88"/>
      <c r="J24" s="88"/>
      <c r="K24" s="88"/>
      <c r="L24" s="88"/>
      <c r="M24" s="88"/>
      <c r="N24" s="88"/>
      <c r="O24" s="88"/>
      <c r="P24" s="88"/>
      <c r="Q24" s="88"/>
      <c r="R24" s="88"/>
      <c r="S24" s="88"/>
      <c r="T24" s="88"/>
      <c r="U24" s="88"/>
      <c r="W24" s="88"/>
    </row>
    <row r="25" spans="3:25" x14ac:dyDescent="0.25">
      <c r="E25" s="14" t="s">
        <v>97</v>
      </c>
      <c r="G25" s="14" t="s">
        <v>94</v>
      </c>
      <c r="H25" s="401">
        <f>H23 / (1 - (1 + H23) ^ -H24)</f>
        <v>4.8585551125484371E-2</v>
      </c>
      <c r="I25" s="88"/>
      <c r="J25" s="88"/>
      <c r="K25" s="88"/>
      <c r="L25" s="88"/>
      <c r="M25" s="88"/>
      <c r="N25" s="88"/>
      <c r="O25" s="88"/>
      <c r="P25" s="88"/>
      <c r="Q25" s="88"/>
      <c r="R25" s="88"/>
      <c r="S25" s="88"/>
      <c r="T25" s="88"/>
      <c r="U25" s="88"/>
      <c r="W25" s="88"/>
    </row>
    <row r="26" spans="3:25" x14ac:dyDescent="0.25">
      <c r="H26" s="88"/>
      <c r="I26" s="88"/>
      <c r="J26" s="88"/>
      <c r="K26" s="88"/>
      <c r="L26" s="88"/>
      <c r="M26" s="88"/>
      <c r="N26" s="88"/>
      <c r="O26" s="88"/>
      <c r="P26" s="88"/>
      <c r="Q26" s="88"/>
      <c r="R26" s="88"/>
      <c r="S26" s="88"/>
      <c r="T26" s="88"/>
      <c r="U26" s="88"/>
      <c r="W26" s="88"/>
    </row>
    <row r="27" spans="3:25" x14ac:dyDescent="0.25">
      <c r="C27" s="7" t="str">
        <f ca="1">INDEX('Version control'!$H$35:$H$61,MATCH($A$1,'Version control'!$F$35:$F$61,0),1)&amp;"-B: Diversity and loss adjustment factors"</f>
        <v>Section 511-B: Diversity and loss adjustment factors</v>
      </c>
      <c r="D27" s="7"/>
      <c r="E27" s="7"/>
      <c r="F27" s="7"/>
      <c r="G27" s="7"/>
      <c r="H27" s="227"/>
      <c r="I27" s="227"/>
      <c r="J27" s="227"/>
      <c r="K27" s="227"/>
      <c r="L27" s="227"/>
      <c r="M27" s="227"/>
      <c r="N27" s="227"/>
      <c r="O27" s="227"/>
      <c r="P27" s="227"/>
      <c r="Q27" s="227"/>
      <c r="R27" s="227"/>
      <c r="S27" s="227"/>
      <c r="T27" s="227"/>
      <c r="U27" s="227"/>
      <c r="V27" s="7"/>
      <c r="W27" s="227"/>
    </row>
    <row r="28" spans="3:25" x14ac:dyDescent="0.25">
      <c r="E28" s="96"/>
      <c r="F28" s="87"/>
      <c r="H28" s="88"/>
      <c r="I28" s="88"/>
      <c r="J28" s="88"/>
      <c r="K28" s="88"/>
      <c r="L28" s="88"/>
      <c r="M28" s="88"/>
      <c r="N28" s="88"/>
      <c r="O28" s="88"/>
      <c r="P28" s="88"/>
      <c r="Q28" s="88"/>
      <c r="R28" s="88"/>
      <c r="S28" s="88"/>
      <c r="T28" s="88"/>
      <c r="U28" s="88"/>
    </row>
    <row r="29" spans="3:25" x14ac:dyDescent="0.25">
      <c r="D29" s="82" t="s">
        <v>364</v>
      </c>
      <c r="F29" s="87"/>
      <c r="H29" s="88"/>
      <c r="I29" s="88"/>
      <c r="J29" s="88"/>
      <c r="K29" s="88"/>
      <c r="L29" s="88"/>
      <c r="M29" s="88"/>
      <c r="N29" s="88"/>
      <c r="O29" s="88"/>
      <c r="P29" s="88"/>
      <c r="Q29" s="88"/>
      <c r="R29" s="88"/>
      <c r="S29" s="88"/>
      <c r="T29" s="88"/>
      <c r="U29" s="88"/>
    </row>
    <row r="30" spans="3:25" x14ac:dyDescent="0.25">
      <c r="D30" s="82"/>
      <c r="F30" s="87"/>
      <c r="H30" s="88"/>
      <c r="I30" s="88"/>
      <c r="J30" s="88"/>
      <c r="K30" s="88"/>
      <c r="L30" s="88"/>
      <c r="M30" s="88"/>
      <c r="N30" s="88"/>
      <c r="O30" s="88"/>
      <c r="P30" s="88"/>
      <c r="Q30" s="88"/>
      <c r="R30" s="88"/>
      <c r="S30" s="88"/>
      <c r="T30" s="88"/>
      <c r="U30" s="88"/>
    </row>
    <row r="31" spans="3:25" x14ac:dyDescent="0.25">
      <c r="E31" s="293" t="s">
        <v>541</v>
      </c>
      <c r="F31" s="386"/>
      <c r="G31" s="14" t="s">
        <v>99</v>
      </c>
      <c r="H31" s="88"/>
      <c r="I31" s="88"/>
      <c r="J31" s="279"/>
      <c r="K31" s="273">
        <f>'Load &amp; loss characteristics'!K29</f>
        <v>1</v>
      </c>
      <c r="L31" s="273">
        <f>'Load &amp; loss characteristics'!L29</f>
        <v>1.004</v>
      </c>
      <c r="M31" s="273">
        <f>'Load &amp; loss characteristics'!M29</f>
        <v>1.008</v>
      </c>
      <c r="N31" s="273">
        <f>'Load &amp; loss characteristics'!N29</f>
        <v>1.014</v>
      </c>
      <c r="O31" s="273">
        <f>'Load &amp; loss characteristics'!O29</f>
        <v>1.02</v>
      </c>
      <c r="P31" s="273">
        <f>'Load &amp; loss characteristics'!P29</f>
        <v>1.02</v>
      </c>
      <c r="Q31" s="273">
        <f>'Load &amp; loss characteristics'!Q29</f>
        <v>1.0289999999999999</v>
      </c>
      <c r="R31" s="273">
        <f>'Load &amp; loss characteristics'!R29</f>
        <v>1.044</v>
      </c>
      <c r="S31" s="273">
        <f>'Load &amp; loss characteristics'!S29</f>
        <v>1.0880000000000001</v>
      </c>
      <c r="T31" s="279"/>
      <c r="U31" s="279"/>
    </row>
    <row r="32" spans="3:25" x14ac:dyDescent="0.25">
      <c r="E32" s="293" t="s">
        <v>152</v>
      </c>
      <c r="F32" s="402"/>
      <c r="G32" s="14" t="s">
        <v>94</v>
      </c>
      <c r="H32" s="88"/>
      <c r="I32" s="88"/>
      <c r="J32" s="403"/>
      <c r="K32" s="404">
        <f>'Load &amp; loss characteristics'!$K$23</f>
        <v>4.949939187329E-2</v>
      </c>
      <c r="L32" s="405"/>
      <c r="M32" s="405"/>
      <c r="N32" s="405"/>
      <c r="O32" s="405"/>
      <c r="P32" s="403"/>
      <c r="Q32" s="405"/>
      <c r="R32" s="405"/>
      <c r="S32" s="405"/>
      <c r="T32" s="403"/>
      <c r="U32" s="403"/>
      <c r="Y32" s="3"/>
    </row>
    <row r="33" spans="3:23" x14ac:dyDescent="0.25">
      <c r="E33" s="293" t="s">
        <v>151</v>
      </c>
      <c r="F33" s="386"/>
      <c r="G33" s="14" t="s">
        <v>94</v>
      </c>
      <c r="H33" s="88"/>
      <c r="I33" s="88"/>
      <c r="J33" s="370"/>
      <c r="K33" s="401">
        <f xml:space="preserve"> 1 / (1 + K32)</f>
        <v>0.9528352352973386</v>
      </c>
      <c r="L33" s="405"/>
      <c r="M33" s="405"/>
      <c r="N33" s="405"/>
      <c r="O33" s="405"/>
      <c r="P33" s="405"/>
      <c r="Q33" s="405"/>
      <c r="R33" s="405"/>
      <c r="S33" s="405"/>
      <c r="T33" s="403"/>
      <c r="U33" s="403"/>
      <c r="W33" s="88"/>
    </row>
    <row r="34" spans="3:23" x14ac:dyDescent="0.25">
      <c r="F34" s="386"/>
      <c r="G34" s="14"/>
      <c r="H34" s="88"/>
      <c r="I34" s="88"/>
      <c r="J34" s="88"/>
      <c r="K34" s="88"/>
      <c r="L34" s="88"/>
      <c r="M34" s="88"/>
      <c r="N34" s="88"/>
      <c r="O34" s="88"/>
      <c r="P34" s="88"/>
      <c r="Q34" s="88"/>
      <c r="R34" s="88"/>
      <c r="S34" s="88"/>
      <c r="T34" s="88"/>
      <c r="U34" s="88"/>
      <c r="V34" s="88"/>
      <c r="W34" s="88"/>
    </row>
    <row r="35" spans="3:23" x14ac:dyDescent="0.25">
      <c r="C35" s="7" t="str">
        <f ca="1">INDEX('Version control'!$H$35:$H$61,MATCH($A$1,'Version control'!$F$35:$F$61,0),1)&amp;"-C: Maximum demand"</f>
        <v>Section 511-C: Maximum demand</v>
      </c>
      <c r="D35" s="7"/>
      <c r="E35" s="7"/>
      <c r="F35" s="7"/>
      <c r="G35" s="7"/>
      <c r="H35" s="227"/>
      <c r="I35" s="227"/>
      <c r="J35" s="227"/>
      <c r="K35" s="227"/>
      <c r="L35" s="227"/>
      <c r="M35" s="227"/>
      <c r="N35" s="227"/>
      <c r="O35" s="227"/>
      <c r="P35" s="227"/>
      <c r="Q35" s="227"/>
      <c r="R35" s="227"/>
      <c r="S35" s="227"/>
      <c r="T35" s="227"/>
      <c r="U35" s="227"/>
      <c r="V35" s="7"/>
      <c r="W35" s="227"/>
    </row>
    <row r="36" spans="3:23" x14ac:dyDescent="0.25">
      <c r="E36" s="96"/>
      <c r="F36" s="87"/>
      <c r="H36" s="88"/>
      <c r="J36" s="88"/>
      <c r="K36" s="88"/>
      <c r="L36" s="88"/>
      <c r="M36" s="88"/>
      <c r="N36" s="88"/>
      <c r="O36" s="88"/>
      <c r="P36" s="88"/>
      <c r="Q36" s="88"/>
      <c r="R36" s="88"/>
      <c r="S36" s="88"/>
      <c r="T36" s="88"/>
      <c r="U36" s="88"/>
    </row>
    <row r="37" spans="3:23" x14ac:dyDescent="0.25">
      <c r="D37" s="82" t="s">
        <v>909</v>
      </c>
      <c r="F37" s="87"/>
      <c r="H37" s="88"/>
      <c r="I37" s="88"/>
      <c r="J37" s="88"/>
      <c r="K37" s="88"/>
      <c r="L37" s="88"/>
      <c r="M37" s="88"/>
      <c r="N37" s="88"/>
      <c r="O37" s="88"/>
      <c r="P37" s="88"/>
      <c r="Q37" s="88"/>
      <c r="R37" s="88"/>
      <c r="S37" s="88"/>
      <c r="T37" s="88"/>
      <c r="U37" s="88"/>
      <c r="W37" s="88"/>
    </row>
    <row r="38" spans="3:23" x14ac:dyDescent="0.25">
      <c r="D38" s="82"/>
      <c r="F38" s="87"/>
      <c r="H38" s="88"/>
      <c r="I38" s="88"/>
      <c r="J38" s="88"/>
      <c r="K38" s="88"/>
      <c r="L38" s="88"/>
      <c r="M38" s="88"/>
      <c r="N38" s="88"/>
      <c r="O38" s="88"/>
      <c r="P38" s="88"/>
      <c r="Q38" s="88"/>
      <c r="R38" s="88"/>
      <c r="S38" s="88"/>
      <c r="T38" s="88"/>
      <c r="U38" s="88"/>
      <c r="W38" s="88"/>
    </row>
    <row r="39" spans="3:23" x14ac:dyDescent="0.25">
      <c r="D39" s="86"/>
      <c r="E39" s="293" t="s">
        <v>101</v>
      </c>
      <c r="F39" s="386"/>
      <c r="G39" s="14" t="s">
        <v>102</v>
      </c>
      <c r="H39" s="273">
        <f>'Fixed inputs'!H41</f>
        <v>500</v>
      </c>
      <c r="I39" s="88"/>
      <c r="J39" s="279"/>
      <c r="K39" s="279"/>
      <c r="L39" s="279"/>
      <c r="M39" s="279"/>
      <c r="N39" s="279"/>
      <c r="O39" s="279"/>
      <c r="P39" s="279"/>
      <c r="Q39" s="279"/>
      <c r="R39" s="279"/>
      <c r="S39" s="279"/>
      <c r="T39" s="279"/>
      <c r="U39" s="279"/>
      <c r="W39" s="88"/>
    </row>
    <row r="40" spans="3:23" x14ac:dyDescent="0.25">
      <c r="E40" s="293" t="s">
        <v>103</v>
      </c>
      <c r="F40" s="386"/>
      <c r="G40" s="14" t="s">
        <v>102</v>
      </c>
      <c r="H40" s="88"/>
      <c r="I40" s="88" t="s">
        <v>359</v>
      </c>
      <c r="J40" s="279"/>
      <c r="K40" s="406">
        <f t="shared" ref="K40:S40" si="0">$H$39 * $K$33 / K31</f>
        <v>476.41761764866931</v>
      </c>
      <c r="L40" s="406">
        <f t="shared" si="0"/>
        <v>474.51953949070651</v>
      </c>
      <c r="M40" s="406">
        <f t="shared" si="0"/>
        <v>472.63652544510842</v>
      </c>
      <c r="N40" s="406">
        <f t="shared" si="0"/>
        <v>469.83985961407228</v>
      </c>
      <c r="O40" s="406">
        <f t="shared" si="0"/>
        <v>467.07609573398952</v>
      </c>
      <c r="P40" s="406">
        <f t="shared" si="0"/>
        <v>467.07609573398952</v>
      </c>
      <c r="Q40" s="406">
        <f t="shared" si="0"/>
        <v>462.99088206867771</v>
      </c>
      <c r="R40" s="406">
        <f t="shared" si="0"/>
        <v>456.3387142228633</v>
      </c>
      <c r="S40" s="406">
        <f t="shared" si="0"/>
        <v>437.88383975061515</v>
      </c>
      <c r="T40" s="279"/>
      <c r="U40" s="279"/>
      <c r="W40" s="88" t="s">
        <v>719</v>
      </c>
    </row>
    <row r="41" spans="3:23" x14ac:dyDescent="0.25">
      <c r="F41" s="386"/>
      <c r="G41" s="14"/>
      <c r="H41" s="88"/>
      <c r="I41" s="88"/>
      <c r="J41" s="88"/>
      <c r="K41" s="88"/>
      <c r="L41" s="88"/>
      <c r="M41" s="88"/>
      <c r="N41" s="88"/>
      <c r="O41" s="88"/>
      <c r="P41" s="88"/>
      <c r="Q41" s="88"/>
      <c r="R41" s="88"/>
      <c r="S41" s="88"/>
      <c r="T41" s="88"/>
      <c r="U41" s="88"/>
      <c r="V41" s="88"/>
      <c r="W41" s="88"/>
    </row>
    <row r="42" spans="3:23" x14ac:dyDescent="0.25">
      <c r="C42" s="7" t="str">
        <f ca="1">INDEX('Version control'!$H$35:$H$61,MATCH($A$1,'Version control'!$F$35:$F$61,0),1)&amp;"-D: Rerouting matrix"</f>
        <v>Section 511-D: Rerouting matrix</v>
      </c>
      <c r="D42" s="7"/>
      <c r="E42" s="7"/>
      <c r="F42" s="7"/>
      <c r="G42" s="7"/>
      <c r="H42" s="227"/>
      <c r="I42" s="227"/>
      <c r="J42" s="227"/>
      <c r="K42" s="227"/>
      <c r="L42" s="227"/>
      <c r="M42" s="227"/>
      <c r="N42" s="227"/>
      <c r="O42" s="227"/>
      <c r="P42" s="227"/>
      <c r="Q42" s="227"/>
      <c r="R42" s="227"/>
      <c r="S42" s="227"/>
      <c r="T42" s="227"/>
      <c r="U42" s="227"/>
      <c r="V42" s="7"/>
      <c r="W42" s="227"/>
    </row>
    <row r="43" spans="3:23" x14ac:dyDescent="0.25">
      <c r="E43" s="96"/>
      <c r="F43" s="87"/>
      <c r="H43" s="88"/>
      <c r="I43" s="88"/>
      <c r="J43" s="88"/>
      <c r="K43" s="88"/>
      <c r="L43" s="88"/>
      <c r="M43" s="88"/>
      <c r="N43" s="88"/>
      <c r="O43" s="88"/>
      <c r="P43" s="88"/>
      <c r="Q43" s="88"/>
      <c r="R43" s="88"/>
      <c r="S43" s="88"/>
      <c r="T43" s="88"/>
      <c r="U43" s="88"/>
      <c r="W43" s="88"/>
    </row>
    <row r="44" spans="3:23" x14ac:dyDescent="0.25">
      <c r="D44" s="82" t="s">
        <v>416</v>
      </c>
      <c r="F44" s="87"/>
      <c r="H44" s="88"/>
      <c r="I44" s="88"/>
      <c r="J44" s="88"/>
      <c r="K44" s="88"/>
      <c r="L44" s="88"/>
      <c r="M44" s="88"/>
      <c r="N44" s="88"/>
      <c r="O44" s="88"/>
      <c r="P44" s="88"/>
      <c r="Q44" s="88"/>
      <c r="R44" s="88"/>
      <c r="S44" s="88"/>
      <c r="T44" s="88"/>
      <c r="U44" s="88"/>
      <c r="W44" s="88"/>
    </row>
    <row r="45" spans="3:23" x14ac:dyDescent="0.25">
      <c r="D45" s="82"/>
      <c r="F45" s="87"/>
      <c r="H45" s="88"/>
      <c r="I45" s="88"/>
      <c r="J45" s="88"/>
      <c r="K45" s="88"/>
      <c r="L45" s="88"/>
      <c r="M45" s="88"/>
      <c r="N45" s="88"/>
      <c r="O45" s="88"/>
      <c r="P45" s="88"/>
      <c r="Q45" s="88"/>
      <c r="R45" s="88"/>
      <c r="S45" s="88"/>
      <c r="T45" s="88"/>
      <c r="U45" s="88"/>
      <c r="W45" s="88"/>
    </row>
    <row r="46" spans="3:23" x14ac:dyDescent="0.25">
      <c r="D46" s="86"/>
      <c r="E46" s="14" t="s">
        <v>538</v>
      </c>
      <c r="G46" s="14" t="s">
        <v>94</v>
      </c>
      <c r="H46" s="88"/>
      <c r="I46" s="88"/>
      <c r="J46" s="405"/>
      <c r="K46" s="405"/>
      <c r="L46" s="405"/>
      <c r="M46" s="405"/>
      <c r="N46" s="405"/>
      <c r="O46" s="405"/>
      <c r="P46" s="404">
        <f>'Inputs by network level'!P20</f>
        <v>0</v>
      </c>
      <c r="Q46" s="405"/>
      <c r="R46" s="405"/>
      <c r="S46" s="405"/>
      <c r="T46" s="405"/>
      <c r="U46" s="405"/>
      <c r="W46" s="88"/>
    </row>
    <row r="47" spans="3:23" x14ac:dyDescent="0.25">
      <c r="E47" s="14" t="s">
        <v>104</v>
      </c>
      <c r="G47" s="14" t="s">
        <v>94</v>
      </c>
      <c r="H47" s="88"/>
      <c r="I47" s="88"/>
      <c r="J47" s="405"/>
      <c r="K47" s="405"/>
      <c r="L47" s="405"/>
      <c r="M47" s="401">
        <f>IF(M46 = "", 1 - $P$46, M46)</f>
        <v>1</v>
      </c>
      <c r="N47" s="401">
        <f>IF(N46 = "", 1 - $P$46, N46)</f>
        <v>1</v>
      </c>
      <c r="O47" s="401">
        <f>IF(O46 = "", 1 - $P$46, O46)</f>
        <v>1</v>
      </c>
      <c r="P47" s="401">
        <f>IF(P46 = "", 1 - $P$46, P46)</f>
        <v>0</v>
      </c>
      <c r="Q47" s="405"/>
      <c r="R47" s="405"/>
      <c r="S47" s="405"/>
      <c r="T47" s="405"/>
      <c r="U47" s="405"/>
      <c r="W47" s="88"/>
    </row>
    <row r="48" spans="3:23" x14ac:dyDescent="0.25">
      <c r="E48" s="14" t="s">
        <v>105</v>
      </c>
      <c r="G48" s="14" t="s">
        <v>102</v>
      </c>
      <c r="H48" s="88"/>
      <c r="I48" s="88"/>
      <c r="J48" s="279"/>
      <c r="K48" s="275">
        <f t="shared" ref="K48:S48" si="1">IF(K47 = "", K40, K47 * K40)</f>
        <v>476.41761764866931</v>
      </c>
      <c r="L48" s="275">
        <f t="shared" si="1"/>
        <v>474.51953949070651</v>
      </c>
      <c r="M48" s="275">
        <f t="shared" si="1"/>
        <v>472.63652544510842</v>
      </c>
      <c r="N48" s="275">
        <f t="shared" si="1"/>
        <v>469.83985961407228</v>
      </c>
      <c r="O48" s="275">
        <f t="shared" si="1"/>
        <v>467.07609573398952</v>
      </c>
      <c r="P48" s="275">
        <f t="shared" si="1"/>
        <v>0</v>
      </c>
      <c r="Q48" s="275">
        <f t="shared" si="1"/>
        <v>462.99088206867771</v>
      </c>
      <c r="R48" s="275">
        <f t="shared" si="1"/>
        <v>456.3387142228633</v>
      </c>
      <c r="S48" s="275">
        <f t="shared" si="1"/>
        <v>437.88383975061515</v>
      </c>
      <c r="T48" s="279"/>
      <c r="U48" s="279"/>
      <c r="W48" s="88"/>
    </row>
    <row r="49" spans="2:23" x14ac:dyDescent="0.25">
      <c r="E49" s="14"/>
      <c r="G49" s="14"/>
      <c r="H49" s="88"/>
      <c r="I49" s="88"/>
      <c r="J49" s="88"/>
      <c r="K49" s="88"/>
      <c r="L49" s="88"/>
      <c r="M49" s="88"/>
      <c r="N49" s="88"/>
      <c r="O49" s="88"/>
      <c r="P49" s="88"/>
      <c r="Q49" s="88"/>
      <c r="R49" s="88"/>
      <c r="S49" s="88"/>
      <c r="T49" s="88"/>
      <c r="U49" s="88"/>
      <c r="V49" s="88"/>
      <c r="W49" s="88"/>
    </row>
    <row r="50" spans="2:23" x14ac:dyDescent="0.25">
      <c r="C50" s="7" t="str">
        <f ca="1">INDEX('Version control'!$H$35:$H$61,MATCH($A$1,'Version control'!$F$35:$F$61,0),1)&amp;"-E: Annuitised cost of assets"</f>
        <v>Section 511-E: Annuitised cost of assets</v>
      </c>
      <c r="D50" s="7"/>
      <c r="E50" s="7"/>
      <c r="F50" s="7"/>
      <c r="G50" s="7"/>
      <c r="H50" s="227"/>
      <c r="I50" s="227"/>
      <c r="J50" s="227"/>
      <c r="K50" s="227"/>
      <c r="L50" s="227"/>
      <c r="M50" s="227"/>
      <c r="N50" s="227"/>
      <c r="O50" s="227"/>
      <c r="P50" s="227"/>
      <c r="Q50" s="227"/>
      <c r="R50" s="227"/>
      <c r="S50" s="227"/>
      <c r="T50" s="227"/>
      <c r="U50" s="227"/>
      <c r="V50" s="7"/>
      <c r="W50" s="227"/>
    </row>
    <row r="51" spans="2:23" x14ac:dyDescent="0.25">
      <c r="E51" s="96"/>
      <c r="F51" s="87"/>
      <c r="H51" s="88"/>
      <c r="J51" s="88"/>
      <c r="K51" s="88"/>
      <c r="L51" s="4"/>
      <c r="M51" s="4"/>
      <c r="N51" s="4"/>
      <c r="O51" s="4"/>
      <c r="P51" s="4"/>
      <c r="Q51" s="4"/>
      <c r="R51" s="4"/>
      <c r="S51" s="4"/>
      <c r="T51" s="4"/>
      <c r="U51" s="407"/>
    </row>
    <row r="52" spans="2:23" x14ac:dyDescent="0.25">
      <c r="D52" s="82" t="s">
        <v>910</v>
      </c>
      <c r="F52" s="87"/>
      <c r="H52" s="88"/>
      <c r="I52" s="88"/>
      <c r="J52" s="88"/>
      <c r="K52" s="88"/>
      <c r="L52" s="4"/>
      <c r="M52" s="4"/>
      <c r="N52" s="4"/>
      <c r="O52" s="4"/>
      <c r="P52" s="4"/>
      <c r="Q52" s="4"/>
      <c r="R52" s="4"/>
      <c r="S52" s="4"/>
      <c r="T52" s="4"/>
      <c r="U52" s="407"/>
    </row>
    <row r="53" spans="2:23" x14ac:dyDescent="0.25">
      <c r="D53" s="82"/>
      <c r="F53" s="87"/>
      <c r="H53" s="88"/>
      <c r="I53" s="88"/>
      <c r="J53" s="88"/>
      <c r="K53" s="88"/>
      <c r="L53" s="4"/>
      <c r="M53" s="4"/>
      <c r="N53" s="4"/>
      <c r="O53" s="4"/>
      <c r="P53" s="4"/>
      <c r="Q53" s="4"/>
      <c r="R53" s="4"/>
      <c r="S53" s="4"/>
      <c r="T53" s="4"/>
      <c r="U53" s="407"/>
    </row>
    <row r="54" spans="2:23" x14ac:dyDescent="0.25">
      <c r="E54" s="293" t="s">
        <v>106</v>
      </c>
      <c r="F54" s="402"/>
      <c r="G54" s="14" t="s">
        <v>107</v>
      </c>
      <c r="H54" s="88"/>
      <c r="I54" s="88"/>
      <c r="J54" s="279"/>
      <c r="K54" s="279"/>
      <c r="L54" s="273">
        <f>'Inputs by network level'!L36</f>
        <v>106296948.70410222</v>
      </c>
      <c r="M54" s="273">
        <f>'Inputs by network level'!M36</f>
        <v>27504108.472574044</v>
      </c>
      <c r="N54" s="273">
        <f>'Inputs by network level'!N36</f>
        <v>75773309.614287958</v>
      </c>
      <c r="O54" s="273">
        <f>'Inputs by network level'!O36</f>
        <v>53609022.22269015</v>
      </c>
      <c r="P54" s="273">
        <f>'Inputs by network level'!P36</f>
        <v>0</v>
      </c>
      <c r="Q54" s="273">
        <f>'Inputs by network level'!Q36</f>
        <v>173497342.67406029</v>
      </c>
      <c r="R54" s="273">
        <f>'Inputs by network level'!R36</f>
        <v>65404989.463258825</v>
      </c>
      <c r="S54" s="273">
        <f>'Inputs by network level'!S36</f>
        <v>172162555.77410966</v>
      </c>
      <c r="T54" s="279"/>
      <c r="U54" s="279"/>
      <c r="W54" s="88"/>
    </row>
    <row r="55" spans="2:23" x14ac:dyDescent="0.25">
      <c r="E55" s="293" t="s">
        <v>125</v>
      </c>
      <c r="F55" s="402"/>
      <c r="G55" s="14" t="s">
        <v>911</v>
      </c>
      <c r="H55" s="88"/>
      <c r="I55" s="88"/>
      <c r="J55" s="279"/>
      <c r="K55" s="279"/>
      <c r="L55" s="275">
        <f t="shared" ref="L55:S55" si="2">IF(L48 = 0, 0, L54 / (L48 * thousand))</f>
        <v>224.00963471006665</v>
      </c>
      <c r="M55" s="275">
        <f t="shared" si="2"/>
        <v>58.192938953822662</v>
      </c>
      <c r="N55" s="275">
        <f t="shared" si="2"/>
        <v>161.27475790693526</v>
      </c>
      <c r="O55" s="275">
        <f t="shared" si="2"/>
        <v>114.77577789213541</v>
      </c>
      <c r="P55" s="275">
        <f t="shared" si="2"/>
        <v>0</v>
      </c>
      <c r="Q55" s="275">
        <f t="shared" si="2"/>
        <v>374.73166188254345</v>
      </c>
      <c r="R55" s="275">
        <f t="shared" si="2"/>
        <v>143.32553304104903</v>
      </c>
      <c r="S55" s="275">
        <f t="shared" si="2"/>
        <v>393.16946675209607</v>
      </c>
      <c r="T55" s="279"/>
      <c r="U55" s="279"/>
      <c r="W55" s="88"/>
    </row>
    <row r="56" spans="2:23" x14ac:dyDescent="0.25">
      <c r="E56" s="293" t="s">
        <v>126</v>
      </c>
      <c r="F56" s="402"/>
      <c r="G56" s="14" t="s">
        <v>108</v>
      </c>
      <c r="H56" s="88"/>
      <c r="I56" s="88" t="s">
        <v>359</v>
      </c>
      <c r="J56" s="279"/>
      <c r="K56" s="279"/>
      <c r="L56" s="275">
        <f t="shared" ref="L56:S56" si="3">L55 * $H$25</f>
        <v>10.883631559807021</v>
      </c>
      <c r="M56" s="275">
        <f t="shared" si="3"/>
        <v>2.8273360106831418</v>
      </c>
      <c r="N56" s="275">
        <f t="shared" si="3"/>
        <v>7.8356229955375181</v>
      </c>
      <c r="O56" s="275">
        <f t="shared" si="3"/>
        <v>5.576444424745584</v>
      </c>
      <c r="P56" s="275">
        <f t="shared" si="3"/>
        <v>0</v>
      </c>
      <c r="Q56" s="275">
        <f t="shared" si="3"/>
        <v>18.206544316732039</v>
      </c>
      <c r="R56" s="275">
        <f t="shared" si="3"/>
        <v>6.9635500131531867</v>
      </c>
      <c r="S56" s="275">
        <f t="shared" si="3"/>
        <v>19.102355227863391</v>
      </c>
      <c r="T56" s="279"/>
      <c r="U56" s="279"/>
      <c r="W56" s="88" t="s">
        <v>720</v>
      </c>
    </row>
    <row r="57" spans="2:23" x14ac:dyDescent="0.25">
      <c r="H57" s="88"/>
      <c r="I57" s="88"/>
      <c r="J57" s="276"/>
      <c r="K57" s="276"/>
      <c r="L57" s="276"/>
      <c r="M57" s="276"/>
      <c r="N57" s="276"/>
      <c r="O57" s="276"/>
      <c r="P57" s="276"/>
      <c r="Q57" s="276"/>
      <c r="R57" s="276"/>
      <c r="S57" s="276"/>
      <c r="T57" s="276"/>
      <c r="U57" s="276"/>
      <c r="W57" s="88"/>
    </row>
    <row r="58" spans="2:23" x14ac:dyDescent="0.25">
      <c r="B58" s="95" t="s">
        <v>144</v>
      </c>
      <c r="C58" s="95"/>
      <c r="D58" s="95"/>
      <c r="E58" s="95"/>
      <c r="F58" s="95"/>
      <c r="G58" s="95"/>
      <c r="H58" s="95"/>
      <c r="I58" s="95"/>
      <c r="J58" s="281"/>
      <c r="K58" s="281"/>
      <c r="L58" s="281"/>
      <c r="M58" s="281"/>
      <c r="N58" s="281"/>
      <c r="O58" s="281"/>
      <c r="P58" s="281"/>
      <c r="Q58" s="281"/>
      <c r="R58" s="281"/>
      <c r="S58" s="281"/>
      <c r="T58" s="281"/>
      <c r="U58" s="281"/>
      <c r="V58" s="95"/>
      <c r="W58" s="95"/>
    </row>
    <row r="59" spans="2:23" x14ac:dyDescent="0.25">
      <c r="J59" s="252"/>
      <c r="K59" s="252"/>
      <c r="L59" s="252"/>
      <c r="M59" s="252"/>
      <c r="N59" s="252"/>
      <c r="O59" s="252"/>
      <c r="P59" s="252"/>
      <c r="Q59" s="252"/>
      <c r="R59" s="252"/>
      <c r="S59" s="252"/>
      <c r="T59" s="252"/>
      <c r="U59" s="252"/>
    </row>
    <row r="60" spans="2:23" x14ac:dyDescent="0.25">
      <c r="C60" s="82" t="s">
        <v>189</v>
      </c>
      <c r="J60" s="252"/>
      <c r="K60" s="252"/>
      <c r="L60" s="252"/>
      <c r="M60" s="252"/>
      <c r="N60" s="252"/>
      <c r="O60" s="252"/>
      <c r="P60" s="252"/>
      <c r="Q60" s="252"/>
      <c r="R60" s="252"/>
      <c r="S60" s="252"/>
      <c r="T60" s="252"/>
      <c r="U60" s="252"/>
    </row>
    <row r="61" spans="2:23" x14ac:dyDescent="0.25">
      <c r="J61" s="252"/>
      <c r="K61" s="252"/>
      <c r="L61" s="252"/>
      <c r="M61" s="252"/>
      <c r="N61" s="252"/>
      <c r="O61" s="252"/>
      <c r="P61" s="252"/>
      <c r="Q61" s="252"/>
      <c r="R61" s="252"/>
      <c r="S61" s="252"/>
      <c r="T61" s="252"/>
      <c r="U61" s="252"/>
    </row>
    <row r="62" spans="2:23" x14ac:dyDescent="0.25">
      <c r="C62" s="7" t="str">
        <f ca="1">INDEX('Version control'!$H$35:$H$61,MATCH($A$1,'Version control'!$F$35:$F$61,0),1)&amp;"-F: System simultaneous peak load based on charegable units"</f>
        <v>Section 511-F: System simultaneous peak load based on charegable units</v>
      </c>
      <c r="D62" s="7"/>
      <c r="E62" s="7"/>
      <c r="F62" s="7"/>
      <c r="G62" s="7"/>
      <c r="H62" s="227"/>
      <c r="I62" s="227"/>
      <c r="J62" s="282"/>
      <c r="K62" s="282"/>
      <c r="L62" s="282"/>
      <c r="M62" s="282"/>
      <c r="N62" s="282"/>
      <c r="O62" s="282"/>
      <c r="P62" s="282"/>
      <c r="Q62" s="282"/>
      <c r="R62" s="282"/>
      <c r="S62" s="282"/>
      <c r="T62" s="282"/>
      <c r="U62" s="282"/>
      <c r="V62" s="7"/>
      <c r="W62" s="227"/>
    </row>
    <row r="63" spans="2:23" x14ac:dyDescent="0.25">
      <c r="D63" s="96"/>
      <c r="J63" s="252"/>
      <c r="K63" s="252"/>
      <c r="L63" s="252"/>
      <c r="M63" s="252"/>
      <c r="N63" s="252"/>
      <c r="O63" s="252"/>
      <c r="P63" s="252"/>
      <c r="Q63" s="252"/>
      <c r="R63" s="252"/>
      <c r="S63" s="252"/>
      <c r="T63" s="252"/>
      <c r="U63" s="252"/>
    </row>
    <row r="64" spans="2:23" x14ac:dyDescent="0.25">
      <c r="E64" s="293" t="s">
        <v>112</v>
      </c>
      <c r="G64" s="293" t="s">
        <v>102</v>
      </c>
      <c r="J64" s="279"/>
      <c r="K64" s="273">
        <f t="array" ref="K64:S64">TRANSPOSE('System peak demand'!H269:H277)</f>
        <v>4999.1506167567431</v>
      </c>
      <c r="L64" s="273">
        <v>4901.2499241924806</v>
      </c>
      <c r="M64" s="273">
        <v>4881.8005197313987</v>
      </c>
      <c r="N64" s="273">
        <v>4988.4530706225378</v>
      </c>
      <c r="O64" s="273">
        <v>5852.7398269375299</v>
      </c>
      <c r="P64" s="273">
        <v>0</v>
      </c>
      <c r="Q64" s="273">
        <v>5619.3281596848001</v>
      </c>
      <c r="R64" s="273">
        <v>5417.0750433190242</v>
      </c>
      <c r="S64" s="273">
        <v>3851.0717241341736</v>
      </c>
      <c r="T64" s="279"/>
      <c r="U64" s="279"/>
    </row>
    <row r="65" spans="3:24" x14ac:dyDescent="0.25">
      <c r="E65" s="14" t="s">
        <v>543</v>
      </c>
      <c r="F65" s="14"/>
      <c r="G65" s="14" t="s">
        <v>102</v>
      </c>
      <c r="H65" s="382"/>
      <c r="J65" s="275">
        <f>K64</f>
        <v>4999.1506167567431</v>
      </c>
      <c r="K65" s="279"/>
      <c r="L65" s="279"/>
      <c r="M65" s="279"/>
      <c r="N65" s="279"/>
      <c r="O65" s="279"/>
      <c r="P65" s="279"/>
      <c r="Q65" s="279"/>
      <c r="R65" s="279"/>
      <c r="S65" s="279"/>
      <c r="T65" s="279"/>
      <c r="U65" s="279"/>
      <c r="W65" s="90"/>
      <c r="X65" s="90"/>
    </row>
    <row r="66" spans="3:24" x14ac:dyDescent="0.25">
      <c r="J66" s="252"/>
      <c r="K66" s="252"/>
      <c r="L66" s="252"/>
      <c r="M66" s="252"/>
      <c r="N66" s="252"/>
      <c r="O66" s="252"/>
      <c r="P66" s="252"/>
      <c r="Q66" s="252"/>
      <c r="R66" s="252"/>
      <c r="S66" s="252"/>
      <c r="T66" s="252"/>
      <c r="U66" s="252"/>
      <c r="X66" s="90"/>
    </row>
    <row r="67" spans="3:24" x14ac:dyDescent="0.25">
      <c r="E67" s="14" t="s">
        <v>112</v>
      </c>
      <c r="F67" s="14"/>
      <c r="G67" s="14" t="s">
        <v>113</v>
      </c>
      <c r="H67" s="382"/>
      <c r="J67" s="275">
        <f t="shared" ref="J67:S67" si="4">SUM(J64:J65) * thousand</f>
        <v>4999150.6167567428</v>
      </c>
      <c r="K67" s="275">
        <f t="shared" si="4"/>
        <v>4999150.6167567428</v>
      </c>
      <c r="L67" s="275">
        <f t="shared" si="4"/>
        <v>4901249.9241924807</v>
      </c>
      <c r="M67" s="275">
        <f t="shared" si="4"/>
        <v>4881800.5197313987</v>
      </c>
      <c r="N67" s="275">
        <f t="shared" si="4"/>
        <v>4988453.0706225382</v>
      </c>
      <c r="O67" s="275">
        <f t="shared" si="4"/>
        <v>5852739.8269375302</v>
      </c>
      <c r="P67" s="275">
        <f t="shared" si="4"/>
        <v>0</v>
      </c>
      <c r="Q67" s="275">
        <f t="shared" si="4"/>
        <v>5619328.1596848005</v>
      </c>
      <c r="R67" s="275">
        <f t="shared" si="4"/>
        <v>5417075.0433190241</v>
      </c>
      <c r="S67" s="275">
        <f t="shared" si="4"/>
        <v>3851071.7241341737</v>
      </c>
      <c r="T67" s="279"/>
      <c r="U67" s="279"/>
      <c r="W67" s="90"/>
      <c r="X67" s="90"/>
    </row>
    <row r="68" spans="3:24" x14ac:dyDescent="0.25">
      <c r="J68" s="252"/>
      <c r="K68" s="252"/>
      <c r="L68" s="252"/>
      <c r="M68" s="252"/>
      <c r="N68" s="252"/>
      <c r="O68" s="252"/>
      <c r="P68" s="252"/>
      <c r="Q68" s="252"/>
      <c r="R68" s="252"/>
      <c r="S68" s="252"/>
      <c r="T68" s="252"/>
      <c r="U68" s="252"/>
    </row>
    <row r="69" spans="3:24" x14ac:dyDescent="0.25">
      <c r="C69" s="7" t="str">
        <f ca="1">INDEX('Version control'!$H$35:$H$61,MATCH($A$1,'Version control'!$F$35:$F$61,0),1)&amp;"-G: Notional asset values, by network level"</f>
        <v>Section 511-G: Notional asset values, by network level</v>
      </c>
      <c r="D69" s="7"/>
      <c r="E69" s="7"/>
      <c r="F69" s="7"/>
      <c r="G69" s="7"/>
      <c r="H69" s="227"/>
      <c r="I69" s="227"/>
      <c r="J69" s="282"/>
      <c r="K69" s="282"/>
      <c r="L69" s="282"/>
      <c r="M69" s="282"/>
      <c r="N69" s="282"/>
      <c r="O69" s="282"/>
      <c r="P69" s="282"/>
      <c r="Q69" s="282"/>
      <c r="R69" s="282"/>
      <c r="S69" s="282"/>
      <c r="T69" s="282"/>
      <c r="U69" s="282"/>
      <c r="V69" s="7"/>
      <c r="W69" s="227"/>
    </row>
    <row r="70" spans="3:24" x14ac:dyDescent="0.25">
      <c r="E70" s="96"/>
      <c r="J70" s="252"/>
      <c r="K70" s="252"/>
      <c r="L70" s="252"/>
      <c r="M70" s="252"/>
      <c r="N70" s="252"/>
      <c r="O70" s="252"/>
      <c r="P70" s="252"/>
      <c r="Q70" s="252"/>
      <c r="R70" s="252"/>
      <c r="S70" s="252"/>
      <c r="T70" s="252"/>
      <c r="U70" s="252"/>
      <c r="X70" s="90"/>
    </row>
    <row r="71" spans="3:24" x14ac:dyDescent="0.25">
      <c r="D71" s="82" t="s">
        <v>799</v>
      </c>
      <c r="J71" s="252"/>
      <c r="K71" s="252"/>
      <c r="L71" s="252"/>
      <c r="M71" s="252"/>
      <c r="N71" s="252"/>
      <c r="O71" s="252"/>
      <c r="P71" s="252"/>
      <c r="Q71" s="252"/>
      <c r="R71" s="252"/>
      <c r="S71" s="252"/>
      <c r="T71" s="252"/>
      <c r="U71" s="252"/>
      <c r="X71" s="90"/>
    </row>
    <row r="72" spans="3:24" x14ac:dyDescent="0.25">
      <c r="D72" s="82"/>
      <c r="J72" s="252"/>
      <c r="K72" s="252"/>
      <c r="L72" s="252"/>
      <c r="M72" s="252"/>
      <c r="N72" s="252"/>
      <c r="O72" s="252"/>
      <c r="P72" s="252"/>
      <c r="Q72" s="252"/>
      <c r="R72" s="252"/>
      <c r="S72" s="252"/>
      <c r="T72" s="252"/>
      <c r="U72" s="252"/>
      <c r="X72" s="90"/>
    </row>
    <row r="73" spans="3:24" x14ac:dyDescent="0.25">
      <c r="E73" s="14" t="s">
        <v>114</v>
      </c>
      <c r="F73" s="14"/>
      <c r="G73" s="14" t="s">
        <v>107</v>
      </c>
      <c r="J73" s="279"/>
      <c r="K73" s="279"/>
      <c r="L73" s="275">
        <f t="shared" ref="L73:S73" si="5">L67 * L55</f>
        <v>1097927205.1410995</v>
      </c>
      <c r="M73" s="275">
        <f t="shared" si="5"/>
        <v>284086319.62946904</v>
      </c>
      <c r="N73" s="275">
        <f t="shared" si="5"/>
        <v>804511561.29475772</v>
      </c>
      <c r="O73" s="275">
        <f t="shared" si="5"/>
        <v>671752766.43703699</v>
      </c>
      <c r="P73" s="275">
        <f t="shared" si="5"/>
        <v>0</v>
      </c>
      <c r="Q73" s="275">
        <f t="shared" si="5"/>
        <v>2105740179.9420598</v>
      </c>
      <c r="R73" s="275">
        <f t="shared" si="5"/>
        <v>776405168.10706294</v>
      </c>
      <c r="S73" s="275">
        <f t="shared" si="5"/>
        <v>1514123816.2019083</v>
      </c>
      <c r="T73" s="279"/>
      <c r="U73" s="279"/>
      <c r="X73" s="90"/>
    </row>
    <row r="74" spans="3:24" x14ac:dyDescent="0.25">
      <c r="E74" s="14" t="s">
        <v>122</v>
      </c>
      <c r="F74" s="14"/>
      <c r="G74" s="14" t="s">
        <v>107</v>
      </c>
      <c r="J74" s="279"/>
      <c r="K74" s="279"/>
      <c r="L74" s="279"/>
      <c r="M74" s="279"/>
      <c r="N74" s="279"/>
      <c r="O74" s="279"/>
      <c r="P74" s="279"/>
      <c r="Q74" s="279"/>
      <c r="R74" s="279"/>
      <c r="S74" s="279"/>
      <c r="T74" s="273">
        <f>'Service model assets'!H33</f>
        <v>1525299643.3744535</v>
      </c>
      <c r="U74" s="273">
        <f>'Service model assets'!H34</f>
        <v>53911464.960231386</v>
      </c>
      <c r="X74" s="90"/>
    </row>
    <row r="75" spans="3:24" x14ac:dyDescent="0.25">
      <c r="J75" s="252"/>
      <c r="K75" s="252"/>
      <c r="L75" s="252"/>
      <c r="M75" s="252"/>
      <c r="N75" s="252"/>
      <c r="O75" s="252"/>
      <c r="P75" s="252"/>
      <c r="Q75" s="252"/>
      <c r="R75" s="252"/>
      <c r="S75" s="252"/>
      <c r="T75" s="252"/>
      <c r="U75" s="252"/>
      <c r="X75" s="90"/>
    </row>
    <row r="76" spans="3:24" x14ac:dyDescent="0.25">
      <c r="E76" s="14" t="s">
        <v>115</v>
      </c>
      <c r="F76" s="14"/>
      <c r="G76" s="14" t="s">
        <v>107</v>
      </c>
      <c r="I76" s="293" t="s">
        <v>359</v>
      </c>
      <c r="J76" s="279"/>
      <c r="K76" s="275">
        <f t="shared" ref="K76:U76" si="6">K73 + K74</f>
        <v>0</v>
      </c>
      <c r="L76" s="275">
        <f t="shared" si="6"/>
        <v>1097927205.1410995</v>
      </c>
      <c r="M76" s="275">
        <f t="shared" si="6"/>
        <v>284086319.62946904</v>
      </c>
      <c r="N76" s="275">
        <f t="shared" si="6"/>
        <v>804511561.29475772</v>
      </c>
      <c r="O76" s="275">
        <f t="shared" si="6"/>
        <v>671752766.43703699</v>
      </c>
      <c r="P76" s="275">
        <f t="shared" si="6"/>
        <v>0</v>
      </c>
      <c r="Q76" s="275">
        <f t="shared" si="6"/>
        <v>2105740179.9420598</v>
      </c>
      <c r="R76" s="275">
        <f t="shared" si="6"/>
        <v>776405168.10706294</v>
      </c>
      <c r="S76" s="275">
        <f t="shared" si="6"/>
        <v>1514123816.2019083</v>
      </c>
      <c r="T76" s="275">
        <f t="shared" si="6"/>
        <v>1525299643.3744535</v>
      </c>
      <c r="U76" s="275">
        <f t="shared" si="6"/>
        <v>53911464.960231386</v>
      </c>
      <c r="W76" s="88" t="s">
        <v>721</v>
      </c>
      <c r="X76" s="90"/>
    </row>
    <row r="77" spans="3:24" x14ac:dyDescent="0.25">
      <c r="L77" s="90"/>
      <c r="M77" s="90"/>
      <c r="N77" s="90"/>
      <c r="O77" s="90"/>
      <c r="P77" s="90"/>
      <c r="Q77" s="90"/>
      <c r="R77" s="90"/>
      <c r="S77" s="90"/>
      <c r="T77" s="90"/>
      <c r="U77" s="90"/>
      <c r="X77" s="90"/>
    </row>
    <row r="78" spans="3:24" x14ac:dyDescent="0.25">
      <c r="E78" s="14" t="s">
        <v>118</v>
      </c>
      <c r="F78" s="14"/>
      <c r="G78" s="14" t="s">
        <v>94</v>
      </c>
      <c r="J78" s="405"/>
      <c r="K78" s="391">
        <f t="shared" ref="K78:U78" si="7">K76 / SUM($K$76:$U$76)</f>
        <v>0</v>
      </c>
      <c r="L78" s="391">
        <f t="shared" si="7"/>
        <v>0.12428766891669363</v>
      </c>
      <c r="M78" s="391">
        <f t="shared" si="7"/>
        <v>3.2159168907133336E-2</v>
      </c>
      <c r="N78" s="391">
        <f t="shared" si="7"/>
        <v>9.1072400885635077E-2</v>
      </c>
      <c r="O78" s="391">
        <f t="shared" si="7"/>
        <v>7.6043826073213777E-2</v>
      </c>
      <c r="P78" s="391">
        <f t="shared" si="7"/>
        <v>0</v>
      </c>
      <c r="Q78" s="391">
        <f t="shared" si="7"/>
        <v>0.23837421741961765</v>
      </c>
      <c r="R78" s="391">
        <f t="shared" si="7"/>
        <v>8.7890698059985825E-2</v>
      </c>
      <c r="S78" s="391">
        <f t="shared" si="7"/>
        <v>0.17140200068437025</v>
      </c>
      <c r="T78" s="391">
        <f t="shared" si="7"/>
        <v>0.17266712782666835</v>
      </c>
      <c r="U78" s="391">
        <f t="shared" si="7"/>
        <v>6.1028912266820577E-3</v>
      </c>
      <c r="X78" s="90"/>
    </row>
    <row r="79" spans="3:24" x14ac:dyDescent="0.25">
      <c r="E79" s="96"/>
      <c r="L79" s="90"/>
      <c r="M79" s="90"/>
      <c r="N79" s="90"/>
      <c r="O79" s="90"/>
      <c r="P79" s="90"/>
      <c r="Q79" s="90"/>
      <c r="R79" s="90"/>
      <c r="S79" s="90"/>
      <c r="T79" s="90"/>
      <c r="U79" s="90"/>
    </row>
    <row r="80" spans="3:24" x14ac:dyDescent="0.25">
      <c r="C80" s="7" t="str">
        <f ca="1">INDEX('Version control'!$H$35:$H$61,MATCH($A$1,'Version control'!$F$35:$F$61,0),1)&amp;"-H: Other operating costs"</f>
        <v>Section 511-H: Other operating costs</v>
      </c>
      <c r="D80" s="7"/>
      <c r="E80" s="7"/>
      <c r="F80" s="7"/>
      <c r="G80" s="7"/>
      <c r="H80" s="227"/>
      <c r="I80" s="227"/>
      <c r="J80" s="227"/>
      <c r="K80" s="227"/>
      <c r="L80" s="227"/>
      <c r="M80" s="227"/>
      <c r="N80" s="227"/>
      <c r="O80" s="227"/>
      <c r="P80" s="227"/>
      <c r="Q80" s="227"/>
      <c r="R80" s="227"/>
      <c r="S80" s="227"/>
      <c r="T80" s="227"/>
      <c r="U80" s="227"/>
      <c r="V80" s="7"/>
      <c r="W80" s="227"/>
    </row>
    <row r="81" spans="3:23" x14ac:dyDescent="0.25">
      <c r="E81" s="96"/>
      <c r="L81" s="90"/>
      <c r="M81" s="90"/>
      <c r="N81" s="90"/>
      <c r="O81" s="90"/>
      <c r="P81" s="90"/>
      <c r="Q81" s="90"/>
      <c r="R81" s="90"/>
      <c r="S81" s="90"/>
      <c r="T81" s="90"/>
      <c r="U81" s="90"/>
    </row>
    <row r="82" spans="3:23" x14ac:dyDescent="0.25">
      <c r="D82" s="82" t="s">
        <v>361</v>
      </c>
      <c r="L82" s="90"/>
      <c r="M82" s="90"/>
      <c r="N82" s="90"/>
      <c r="O82" s="90"/>
      <c r="P82" s="90"/>
      <c r="Q82" s="90"/>
      <c r="R82" s="90"/>
      <c r="S82" s="90"/>
      <c r="T82" s="90"/>
      <c r="U82" s="90"/>
    </row>
    <row r="83" spans="3:23" x14ac:dyDescent="0.25">
      <c r="D83" s="82"/>
      <c r="L83" s="90"/>
      <c r="M83" s="90"/>
      <c r="N83" s="90"/>
      <c r="O83" s="90"/>
      <c r="P83" s="90"/>
      <c r="Q83" s="90"/>
      <c r="R83" s="90"/>
      <c r="S83" s="90"/>
      <c r="T83" s="90"/>
      <c r="U83" s="90"/>
    </row>
    <row r="84" spans="3:23" x14ac:dyDescent="0.25">
      <c r="E84" s="14" t="s">
        <v>78</v>
      </c>
      <c r="F84" s="14"/>
      <c r="G84" s="14" t="s">
        <v>94</v>
      </c>
      <c r="H84" s="143">
        <f>'Fixed inputs'!H39</f>
        <v>0.6</v>
      </c>
      <c r="L84" s="90"/>
      <c r="M84" s="90"/>
      <c r="N84" s="90"/>
      <c r="O84" s="90"/>
      <c r="P84" s="90"/>
      <c r="Q84" s="90"/>
      <c r="R84" s="90"/>
      <c r="S84" s="90"/>
      <c r="T84" s="90"/>
      <c r="U84" s="90"/>
    </row>
    <row r="85" spans="3:23" x14ac:dyDescent="0.25">
      <c r="F85" s="14"/>
      <c r="G85" s="14"/>
      <c r="H85" s="143"/>
      <c r="L85" s="90"/>
      <c r="M85" s="90"/>
      <c r="N85" s="90"/>
      <c r="O85" s="90"/>
      <c r="P85" s="90"/>
      <c r="Q85" s="90"/>
      <c r="R85" s="90"/>
      <c r="S85" s="90"/>
      <c r="T85" s="90"/>
      <c r="U85" s="90"/>
    </row>
    <row r="86" spans="3:23" x14ac:dyDescent="0.25">
      <c r="E86" s="14" t="s">
        <v>128</v>
      </c>
      <c r="F86" s="14"/>
      <c r="G86" s="14" t="s">
        <v>505</v>
      </c>
      <c r="H86" s="273">
        <f>'General inputs'!H106</f>
        <v>96623088.80325973</v>
      </c>
      <c r="L86" s="90"/>
      <c r="M86" s="90"/>
      <c r="N86" s="90"/>
      <c r="O86" s="90"/>
      <c r="P86" s="90"/>
      <c r="Q86" s="90"/>
      <c r="R86" s="90"/>
      <c r="S86" s="90"/>
      <c r="T86" s="90"/>
      <c r="U86" s="90"/>
    </row>
    <row r="87" spans="3:23" x14ac:dyDescent="0.25">
      <c r="E87" s="14" t="s">
        <v>129</v>
      </c>
      <c r="F87" s="14"/>
      <c r="G87" s="14" t="s">
        <v>505</v>
      </c>
      <c r="H87" s="273">
        <f>'General inputs'!H107</f>
        <v>165654132.61041</v>
      </c>
      <c r="L87" s="90"/>
      <c r="M87" s="90"/>
      <c r="N87" s="90"/>
      <c r="O87" s="90"/>
      <c r="P87" s="90"/>
      <c r="Q87" s="90"/>
      <c r="R87" s="90"/>
      <c r="S87" s="90"/>
      <c r="T87" s="90"/>
      <c r="U87" s="90"/>
    </row>
    <row r="88" spans="3:23" x14ac:dyDescent="0.25">
      <c r="E88" s="14" t="s">
        <v>130</v>
      </c>
      <c r="F88" s="14"/>
      <c r="G88" s="14" t="s">
        <v>505</v>
      </c>
      <c r="H88" s="273">
        <f>'General inputs'!H108</f>
        <v>45337571.603443354</v>
      </c>
      <c r="J88" s="90"/>
      <c r="L88" s="90"/>
      <c r="M88" s="90"/>
      <c r="N88" s="90"/>
      <c r="O88" s="90"/>
      <c r="P88" s="90"/>
      <c r="Q88" s="90"/>
      <c r="R88" s="90"/>
      <c r="S88" s="90"/>
      <c r="T88" s="90"/>
      <c r="U88" s="90"/>
    </row>
    <row r="89" spans="3:23" x14ac:dyDescent="0.25">
      <c r="E89" s="14"/>
      <c r="F89" s="14"/>
      <c r="G89" s="14"/>
      <c r="H89" s="273"/>
      <c r="J89" s="90"/>
      <c r="L89" s="90"/>
      <c r="M89" s="90"/>
      <c r="N89" s="90"/>
      <c r="O89" s="90"/>
      <c r="P89" s="90"/>
      <c r="Q89" s="90"/>
      <c r="R89" s="90"/>
      <c r="S89" s="90"/>
      <c r="T89" s="90"/>
      <c r="U89" s="90"/>
    </row>
    <row r="90" spans="3:23" x14ac:dyDescent="0.25">
      <c r="E90" s="14" t="s">
        <v>131</v>
      </c>
      <c r="F90" s="14"/>
      <c r="G90" s="14" t="s">
        <v>505</v>
      </c>
      <c r="H90" s="275">
        <f>H86 + H87 * H84 + H88</f>
        <v>241353139.97294909</v>
      </c>
      <c r="L90" s="90"/>
      <c r="M90" s="90"/>
      <c r="N90" s="90"/>
      <c r="O90" s="90"/>
      <c r="P90" s="90"/>
      <c r="Q90" s="90"/>
      <c r="R90" s="90"/>
      <c r="S90" s="90"/>
      <c r="T90" s="90"/>
      <c r="U90" s="90"/>
    </row>
    <row r="91" spans="3:23" x14ac:dyDescent="0.25">
      <c r="E91" s="96"/>
      <c r="L91" s="90"/>
      <c r="M91" s="90"/>
      <c r="N91" s="90"/>
      <c r="O91" s="90"/>
      <c r="P91" s="90"/>
      <c r="Q91" s="90"/>
      <c r="R91" s="90"/>
      <c r="S91" s="90"/>
      <c r="T91" s="90"/>
      <c r="U91" s="90"/>
    </row>
    <row r="92" spans="3:23" x14ac:dyDescent="0.25">
      <c r="C92" s="7" t="str">
        <f ca="1">INDEX('Version control'!$H$35:$H$61,MATCH($A$1,'Version control'!$F$35:$F$61,0),1)&amp;"-I: Other operating costs by network level"</f>
        <v>Section 511-I: Other operating costs by network level</v>
      </c>
      <c r="D92" s="7"/>
      <c r="E92" s="7"/>
      <c r="F92" s="7"/>
      <c r="G92" s="7"/>
      <c r="H92" s="227"/>
      <c r="I92" s="227"/>
      <c r="J92" s="227"/>
      <c r="K92" s="227"/>
      <c r="L92" s="227"/>
      <c r="M92" s="227"/>
      <c r="N92" s="227"/>
      <c r="O92" s="227"/>
      <c r="P92" s="227"/>
      <c r="Q92" s="227"/>
      <c r="R92" s="227"/>
      <c r="S92" s="227"/>
      <c r="T92" s="227"/>
      <c r="U92" s="227"/>
      <c r="V92" s="7"/>
      <c r="W92" s="227"/>
    </row>
    <row r="93" spans="3:23" x14ac:dyDescent="0.25">
      <c r="E93" s="96"/>
      <c r="H93" s="90"/>
      <c r="L93" s="90"/>
      <c r="M93" s="90"/>
      <c r="N93" s="90"/>
      <c r="O93" s="90"/>
      <c r="P93" s="90"/>
      <c r="Q93" s="90"/>
      <c r="R93" s="90"/>
      <c r="S93" s="90"/>
      <c r="T93" s="90"/>
      <c r="U93" s="90"/>
    </row>
    <row r="94" spans="3:23" x14ac:dyDescent="0.25">
      <c r="D94" s="82" t="s">
        <v>362</v>
      </c>
      <c r="H94" s="90"/>
      <c r="L94" s="90"/>
      <c r="M94" s="90"/>
      <c r="N94" s="90"/>
      <c r="O94" s="90"/>
      <c r="P94" s="90"/>
      <c r="Q94" s="90"/>
      <c r="R94" s="90"/>
      <c r="S94" s="90"/>
      <c r="T94" s="90"/>
      <c r="U94" s="90"/>
    </row>
    <row r="95" spans="3:23" x14ac:dyDescent="0.25">
      <c r="D95" s="82" t="s">
        <v>363</v>
      </c>
      <c r="H95" s="90"/>
      <c r="L95" s="90"/>
      <c r="M95" s="90"/>
      <c r="N95" s="90"/>
      <c r="O95" s="90"/>
      <c r="P95" s="90"/>
      <c r="Q95" s="90"/>
      <c r="R95" s="90"/>
      <c r="S95" s="90"/>
      <c r="T95" s="90"/>
      <c r="U95" s="90"/>
    </row>
    <row r="96" spans="3:23" x14ac:dyDescent="0.25">
      <c r="D96" s="82"/>
      <c r="H96" s="90"/>
      <c r="L96" s="90"/>
      <c r="M96" s="90"/>
      <c r="N96" s="90"/>
      <c r="O96" s="90"/>
      <c r="P96" s="90"/>
      <c r="Q96" s="90"/>
      <c r="R96" s="90"/>
      <c r="S96" s="90"/>
      <c r="T96" s="90"/>
      <c r="U96" s="90"/>
    </row>
    <row r="97" spans="2:23" x14ac:dyDescent="0.25">
      <c r="E97" s="14" t="s">
        <v>119</v>
      </c>
      <c r="F97" s="14"/>
      <c r="G97" s="14" t="s">
        <v>505</v>
      </c>
      <c r="I97" s="293" t="s">
        <v>359</v>
      </c>
      <c r="J97" s="279"/>
      <c r="K97" s="275">
        <f t="shared" ref="K97:U97" si="8">K78 * $H$90</f>
        <v>0</v>
      </c>
      <c r="L97" s="275">
        <f t="shared" si="8"/>
        <v>29997219.152962312</v>
      </c>
      <c r="M97" s="275">
        <f t="shared" si="8"/>
        <v>7761716.3946570642</v>
      </c>
      <c r="N97" s="275">
        <f t="shared" si="8"/>
        <v>21980609.918623216</v>
      </c>
      <c r="O97" s="275">
        <f t="shared" si="8"/>
        <v>18353416.19832696</v>
      </c>
      <c r="P97" s="275">
        <f t="shared" si="8"/>
        <v>0</v>
      </c>
      <c r="Q97" s="275">
        <f t="shared" si="8"/>
        <v>57532365.86281918</v>
      </c>
      <c r="R97" s="275">
        <f t="shared" si="8"/>
        <v>21212695.951191965</v>
      </c>
      <c r="S97" s="275">
        <f t="shared" si="8"/>
        <v>41368411.062818326</v>
      </c>
      <c r="T97" s="275">
        <f t="shared" si="8"/>
        <v>41673753.47107698</v>
      </c>
      <c r="U97" s="275">
        <f t="shared" si="8"/>
        <v>1472951.9604730776</v>
      </c>
      <c r="W97" s="88" t="s">
        <v>722</v>
      </c>
    </row>
    <row r="98" spans="2:23" x14ac:dyDescent="0.25">
      <c r="E98" s="14" t="s">
        <v>117</v>
      </c>
      <c r="F98" s="14"/>
      <c r="G98" s="14" t="s">
        <v>505</v>
      </c>
      <c r="H98" s="90"/>
      <c r="I98" s="90"/>
      <c r="J98" s="273">
        <f>'General inputs'!$H$101</f>
        <v>13771912.358777869</v>
      </c>
      <c r="K98" s="279"/>
      <c r="L98" s="279"/>
      <c r="M98" s="279"/>
      <c r="N98" s="279"/>
      <c r="O98" s="279"/>
      <c r="P98" s="279"/>
      <c r="Q98" s="279"/>
      <c r="R98" s="279"/>
      <c r="S98" s="279"/>
      <c r="T98" s="279"/>
      <c r="U98" s="279"/>
    </row>
    <row r="99" spans="2:23" x14ac:dyDescent="0.25">
      <c r="J99" s="252"/>
      <c r="K99" s="252"/>
      <c r="L99" s="252"/>
      <c r="M99" s="252"/>
      <c r="N99" s="252"/>
      <c r="O99" s="252"/>
      <c r="P99" s="252"/>
      <c r="Q99" s="252"/>
      <c r="R99" s="252"/>
      <c r="S99" s="252"/>
      <c r="T99" s="252"/>
      <c r="U99" s="252"/>
    </row>
    <row r="100" spans="2:23" x14ac:dyDescent="0.25">
      <c r="E100" s="14" t="s">
        <v>127</v>
      </c>
      <c r="F100" s="14"/>
      <c r="G100" s="14" t="s">
        <v>912</v>
      </c>
      <c r="I100" s="293" t="s">
        <v>359</v>
      </c>
      <c r="J100" s="275">
        <f t="shared" ref="J100:S100" si="9">IF(J$67 = 0, 0, SUM(J97:J98) / J$67)</f>
        <v>2.7548504565186631</v>
      </c>
      <c r="K100" s="275">
        <f t="shared" si="9"/>
        <v>0</v>
      </c>
      <c r="L100" s="275">
        <f t="shared" si="9"/>
        <v>6.1203202482894374</v>
      </c>
      <c r="M100" s="275">
        <f t="shared" si="9"/>
        <v>1.5899290360770664</v>
      </c>
      <c r="N100" s="275">
        <f t="shared" si="9"/>
        <v>4.4062978256864964</v>
      </c>
      <c r="O100" s="275">
        <f t="shared" si="9"/>
        <v>3.1358674297897946</v>
      </c>
      <c r="P100" s="275">
        <f t="shared" si="9"/>
        <v>0</v>
      </c>
      <c r="Q100" s="275">
        <f t="shared" si="9"/>
        <v>10.238299709132184</v>
      </c>
      <c r="R100" s="275">
        <f t="shared" si="9"/>
        <v>3.9158947922189049</v>
      </c>
      <c r="S100" s="275">
        <f t="shared" si="9"/>
        <v>10.742051570623261</v>
      </c>
      <c r="T100" s="279"/>
      <c r="U100" s="279"/>
      <c r="W100" s="88" t="s">
        <v>723</v>
      </c>
    </row>
    <row r="101" spans="2:23" x14ac:dyDescent="0.25">
      <c r="J101" s="252"/>
      <c r="K101" s="252"/>
      <c r="L101" s="252"/>
      <c r="M101" s="252"/>
      <c r="N101" s="252"/>
      <c r="O101" s="252"/>
      <c r="P101" s="252"/>
      <c r="Q101" s="252"/>
      <c r="R101" s="252"/>
      <c r="S101" s="252"/>
      <c r="T101" s="252"/>
      <c r="U101" s="252"/>
    </row>
    <row r="102" spans="2:23" x14ac:dyDescent="0.25">
      <c r="B102" s="95" t="s">
        <v>293</v>
      </c>
      <c r="C102" s="95"/>
      <c r="D102" s="95"/>
      <c r="E102" s="95"/>
      <c r="F102" s="95"/>
      <c r="G102" s="95"/>
      <c r="H102" s="95"/>
      <c r="I102" s="95"/>
      <c r="J102" s="281"/>
      <c r="K102" s="281"/>
      <c r="L102" s="281"/>
      <c r="M102" s="281"/>
      <c r="N102" s="281"/>
      <c r="O102" s="281"/>
      <c r="P102" s="281"/>
      <c r="Q102" s="281"/>
      <c r="R102" s="281"/>
      <c r="S102" s="281"/>
      <c r="T102" s="281"/>
      <c r="U102" s="281"/>
      <c r="V102" s="95"/>
      <c r="W102" s="95"/>
    </row>
    <row r="103" spans="2:23" x14ac:dyDescent="0.25">
      <c r="B103" s="82"/>
      <c r="J103" s="252"/>
      <c r="K103" s="252"/>
      <c r="L103" s="252"/>
      <c r="M103" s="252"/>
      <c r="N103" s="252"/>
      <c r="O103" s="252"/>
      <c r="P103" s="252"/>
      <c r="Q103" s="252"/>
      <c r="R103" s="252"/>
      <c r="S103" s="252"/>
      <c r="T103" s="252"/>
      <c r="U103" s="252"/>
    </row>
    <row r="104" spans="2:23" x14ac:dyDescent="0.25">
      <c r="C104" s="7" t="str">
        <f ca="1">INDEX('Version control'!$H$35:$H$61,MATCH($A$1,'Version control'!$F$35:$F$61,0),1)&amp;"-J: Notional asset values by network level"</f>
        <v>Section 511-J: Notional asset values by network level</v>
      </c>
      <c r="D104" s="7"/>
      <c r="E104" s="7"/>
      <c r="F104" s="7"/>
      <c r="G104" s="7"/>
      <c r="H104" s="227"/>
      <c r="I104" s="227"/>
      <c r="J104" s="282"/>
      <c r="K104" s="282"/>
      <c r="L104" s="282"/>
      <c r="M104" s="282"/>
      <c r="N104" s="282"/>
      <c r="O104" s="282"/>
      <c r="P104" s="282"/>
      <c r="Q104" s="282"/>
      <c r="R104" s="282"/>
      <c r="S104" s="282"/>
      <c r="T104" s="282"/>
      <c r="U104" s="282"/>
      <c r="V104" s="7"/>
      <c r="W104" s="227"/>
    </row>
    <row r="105" spans="2:23" x14ac:dyDescent="0.25">
      <c r="B105" s="82"/>
      <c r="J105" s="252"/>
      <c r="K105" s="252"/>
      <c r="L105" s="252"/>
      <c r="M105" s="252"/>
      <c r="N105" s="252"/>
      <c r="O105" s="252"/>
      <c r="P105" s="252"/>
      <c r="Q105" s="252"/>
      <c r="R105" s="252"/>
      <c r="S105" s="252"/>
      <c r="T105" s="252"/>
      <c r="U105" s="252"/>
    </row>
    <row r="106" spans="2:23" x14ac:dyDescent="0.25">
      <c r="B106" s="82"/>
      <c r="D106" s="82" t="s">
        <v>316</v>
      </c>
      <c r="J106" s="252"/>
      <c r="K106" s="252"/>
      <c r="L106" s="252"/>
      <c r="M106" s="252"/>
      <c r="N106" s="252"/>
      <c r="O106" s="252"/>
      <c r="P106" s="252"/>
      <c r="Q106" s="252"/>
      <c r="R106" s="252"/>
      <c r="S106" s="252"/>
      <c r="T106" s="252"/>
      <c r="U106" s="252"/>
    </row>
    <row r="107" spans="2:23" x14ac:dyDescent="0.25">
      <c r="B107" s="82"/>
      <c r="D107" s="82"/>
      <c r="J107" s="252"/>
      <c r="K107" s="252"/>
      <c r="L107" s="252"/>
      <c r="M107" s="252"/>
      <c r="N107" s="252"/>
      <c r="O107" s="252"/>
      <c r="P107" s="252"/>
      <c r="Q107" s="252"/>
      <c r="R107" s="252"/>
      <c r="S107" s="252"/>
      <c r="T107" s="252"/>
      <c r="U107" s="252"/>
    </row>
    <row r="108" spans="2:23" x14ac:dyDescent="0.25">
      <c r="B108" s="82"/>
      <c r="E108" s="14" t="s">
        <v>115</v>
      </c>
      <c r="F108" s="14"/>
      <c r="G108" s="14" t="s">
        <v>107</v>
      </c>
      <c r="J108" s="279"/>
      <c r="K108" s="256">
        <f t="shared" ref="K108:U108" si="10">K76</f>
        <v>0</v>
      </c>
      <c r="L108" s="256">
        <f t="shared" si="10"/>
        <v>1097927205.1410995</v>
      </c>
      <c r="M108" s="256">
        <f t="shared" si="10"/>
        <v>284086319.62946904</v>
      </c>
      <c r="N108" s="256">
        <f t="shared" si="10"/>
        <v>804511561.29475772</v>
      </c>
      <c r="O108" s="256">
        <f t="shared" si="10"/>
        <v>671752766.43703699</v>
      </c>
      <c r="P108" s="256">
        <f t="shared" si="10"/>
        <v>0</v>
      </c>
      <c r="Q108" s="256">
        <f t="shared" si="10"/>
        <v>2105740179.9420598</v>
      </c>
      <c r="R108" s="256">
        <f t="shared" si="10"/>
        <v>776405168.10706294</v>
      </c>
      <c r="S108" s="256">
        <f t="shared" si="10"/>
        <v>1514123816.2019083</v>
      </c>
      <c r="T108" s="256">
        <f t="shared" si="10"/>
        <v>1525299643.3744535</v>
      </c>
      <c r="U108" s="256">
        <f t="shared" si="10"/>
        <v>53911464.960231386</v>
      </c>
    </row>
    <row r="109" spans="2:23" x14ac:dyDescent="0.25">
      <c r="B109" s="82"/>
    </row>
    <row r="110" spans="2:23" x14ac:dyDescent="0.25">
      <c r="C110" s="7" t="str">
        <f ca="1">INDEX('Version control'!$H$35:$H$61,MATCH($A$1,'Version control'!$F$35:$F$61,0),1)&amp;"-K: Unit costs"</f>
        <v>Section 511-K: Unit costs</v>
      </c>
      <c r="D110" s="7"/>
      <c r="E110" s="7"/>
      <c r="F110" s="7"/>
      <c r="G110" s="7"/>
      <c r="H110" s="227"/>
      <c r="I110" s="227"/>
      <c r="J110" s="227"/>
      <c r="K110" s="227"/>
      <c r="L110" s="227"/>
      <c r="M110" s="227"/>
      <c r="N110" s="227"/>
      <c r="O110" s="227"/>
      <c r="P110" s="227"/>
      <c r="Q110" s="227"/>
      <c r="R110" s="227"/>
      <c r="S110" s="227"/>
      <c r="T110" s="227"/>
      <c r="U110" s="227"/>
      <c r="V110" s="7"/>
      <c r="W110" s="227"/>
    </row>
    <row r="111" spans="2:23" x14ac:dyDescent="0.25">
      <c r="B111" s="82"/>
    </row>
    <row r="112" spans="2:23" x14ac:dyDescent="0.25">
      <c r="B112" s="82"/>
      <c r="D112" s="82" t="s">
        <v>295</v>
      </c>
    </row>
    <row r="113" spans="2:24" x14ac:dyDescent="0.25">
      <c r="B113" s="82"/>
      <c r="D113" s="82"/>
    </row>
    <row r="114" spans="2:24" x14ac:dyDescent="0.25">
      <c r="E114" s="293" t="s">
        <v>126</v>
      </c>
      <c r="F114" s="402"/>
      <c r="G114" s="14" t="s">
        <v>912</v>
      </c>
      <c r="H114" s="88"/>
      <c r="I114" s="88"/>
      <c r="J114" s="279"/>
      <c r="K114" s="279"/>
      <c r="L114" s="256">
        <f t="shared" ref="L114:S114" si="11">L56</f>
        <v>10.883631559807021</v>
      </c>
      <c r="M114" s="256">
        <f t="shared" si="11"/>
        <v>2.8273360106831418</v>
      </c>
      <c r="N114" s="256">
        <f t="shared" si="11"/>
        <v>7.8356229955375181</v>
      </c>
      <c r="O114" s="256">
        <f t="shared" si="11"/>
        <v>5.576444424745584</v>
      </c>
      <c r="P114" s="256">
        <f t="shared" si="11"/>
        <v>0</v>
      </c>
      <c r="Q114" s="256">
        <f t="shared" si="11"/>
        <v>18.206544316732039</v>
      </c>
      <c r="R114" s="256">
        <f t="shared" si="11"/>
        <v>6.9635500131531867</v>
      </c>
      <c r="S114" s="256">
        <f t="shared" si="11"/>
        <v>19.102355227863391</v>
      </c>
      <c r="T114" s="279"/>
      <c r="U114" s="279"/>
    </row>
    <row r="115" spans="2:24" x14ac:dyDescent="0.25">
      <c r="B115" s="82"/>
      <c r="E115" s="293" t="s">
        <v>127</v>
      </c>
      <c r="F115" s="14"/>
      <c r="G115" s="14" t="s">
        <v>912</v>
      </c>
      <c r="J115" s="256">
        <f t="shared" ref="J115:S115" si="12">J100</f>
        <v>2.7548504565186631</v>
      </c>
      <c r="K115" s="256">
        <f t="shared" si="12"/>
        <v>0</v>
      </c>
      <c r="L115" s="256">
        <f t="shared" si="12"/>
        <v>6.1203202482894374</v>
      </c>
      <c r="M115" s="256">
        <f t="shared" si="12"/>
        <v>1.5899290360770664</v>
      </c>
      <c r="N115" s="256">
        <f t="shared" si="12"/>
        <v>4.4062978256864964</v>
      </c>
      <c r="O115" s="256">
        <f t="shared" si="12"/>
        <v>3.1358674297897946</v>
      </c>
      <c r="P115" s="256">
        <f t="shared" si="12"/>
        <v>0</v>
      </c>
      <c r="Q115" s="256">
        <f t="shared" si="12"/>
        <v>10.238299709132184</v>
      </c>
      <c r="R115" s="256">
        <f t="shared" si="12"/>
        <v>3.9158947922189049</v>
      </c>
      <c r="S115" s="256">
        <f t="shared" si="12"/>
        <v>10.742051570623261</v>
      </c>
      <c r="T115" s="279"/>
      <c r="U115" s="279"/>
    </row>
    <row r="116" spans="2:24" x14ac:dyDescent="0.25">
      <c r="B116" s="82"/>
    </row>
    <row r="117" spans="2:24" x14ac:dyDescent="0.25">
      <c r="C117" s="7" t="str">
        <f ca="1">INDEX('Version control'!$H$35:$H$61,MATCH($A$1,'Version control'!$F$35:$F$61,0),1)&amp;"-L: Values used for allocating costs to service models"</f>
        <v>Section 511-L: Values used for allocating costs to service models</v>
      </c>
      <c r="D117" s="7"/>
      <c r="E117" s="7"/>
      <c r="F117" s="7"/>
      <c r="G117" s="7"/>
      <c r="H117" s="227"/>
      <c r="I117" s="227"/>
      <c r="J117" s="227"/>
      <c r="K117" s="227"/>
      <c r="L117" s="227"/>
      <c r="M117" s="227"/>
      <c r="N117" s="227"/>
      <c r="O117" s="227"/>
      <c r="P117" s="227"/>
      <c r="Q117" s="227"/>
      <c r="R117" s="227"/>
      <c r="S117" s="227"/>
      <c r="T117" s="227"/>
      <c r="U117" s="227"/>
      <c r="V117" s="7"/>
      <c r="W117" s="227"/>
    </row>
    <row r="118" spans="2:24" x14ac:dyDescent="0.25">
      <c r="B118" s="82"/>
    </row>
    <row r="119" spans="2:24" x14ac:dyDescent="0.25">
      <c r="B119" s="82"/>
      <c r="D119" s="82" t="s">
        <v>589</v>
      </c>
    </row>
    <row r="120" spans="2:24" x14ac:dyDescent="0.25">
      <c r="B120" s="82"/>
      <c r="D120" s="82"/>
    </row>
    <row r="121" spans="2:24" x14ac:dyDescent="0.25">
      <c r="B121" s="82"/>
      <c r="C121" s="96"/>
      <c r="E121" s="293" t="s">
        <v>97</v>
      </c>
      <c r="F121" s="14"/>
      <c r="G121" s="14" t="s">
        <v>94</v>
      </c>
      <c r="H121" s="110">
        <f>H25</f>
        <v>4.8585551125484371E-2</v>
      </c>
    </row>
    <row r="122" spans="2:24" x14ac:dyDescent="0.25">
      <c r="B122" s="82"/>
      <c r="C122" s="96"/>
      <c r="E122" s="293" t="s">
        <v>131</v>
      </c>
      <c r="F122" s="14"/>
      <c r="G122" s="14" t="s">
        <v>505</v>
      </c>
      <c r="H122" s="256">
        <f>H90</f>
        <v>241353139.97294909</v>
      </c>
    </row>
    <row r="123" spans="2:24" x14ac:dyDescent="0.25">
      <c r="E123" s="293" t="s">
        <v>115</v>
      </c>
      <c r="F123" s="14"/>
      <c r="G123" s="14" t="s">
        <v>107</v>
      </c>
      <c r="H123" s="256">
        <f>SUM(K76:U76)</f>
        <v>8833758125.0880795</v>
      </c>
      <c r="X123" s="90"/>
    </row>
    <row r="124" spans="2:24" x14ac:dyDescent="0.25">
      <c r="B124" s="82"/>
      <c r="C124" s="96"/>
    </row>
    <row r="125" spans="2:24" x14ac:dyDescent="0.25">
      <c r="B125" s="95" t="s">
        <v>109</v>
      </c>
      <c r="C125" s="95"/>
      <c r="D125" s="95"/>
      <c r="E125" s="95"/>
      <c r="F125" s="95"/>
      <c r="G125" s="95"/>
      <c r="H125" s="95"/>
      <c r="I125" s="95"/>
      <c r="J125" s="95"/>
      <c r="K125" s="95"/>
      <c r="L125" s="95"/>
      <c r="M125" s="95"/>
      <c r="N125" s="95"/>
      <c r="O125" s="95"/>
      <c r="P125" s="95"/>
      <c r="Q125" s="95"/>
      <c r="R125" s="95"/>
      <c r="S125" s="95"/>
      <c r="T125" s="95"/>
      <c r="U125" s="95"/>
      <c r="V125" s="95"/>
      <c r="W125" s="95"/>
    </row>
    <row r="127" spans="2:24" x14ac:dyDescent="0.25">
      <c r="E127" s="293" t="s">
        <v>415</v>
      </c>
      <c r="G127" s="122" t="s">
        <v>588</v>
      </c>
      <c r="H127" s="408">
        <f t="array" ref="H127">SUM(IF(ISERROR(H23:U123), 1))</f>
        <v>0</v>
      </c>
    </row>
    <row r="129" spans="2:23" x14ac:dyDescent="0.25">
      <c r="E129" s="293" t="s">
        <v>542</v>
      </c>
      <c r="G129" s="122" t="s">
        <v>588</v>
      </c>
      <c r="H129" s="408">
        <f>SUM(J129:U129)</f>
        <v>0</v>
      </c>
      <c r="J129" s="409"/>
      <c r="K129" s="409"/>
      <c r="L129" s="409"/>
      <c r="M129" s="409"/>
      <c r="N129" s="408">
        <f t="shared" ref="N129:U129" si="13">IFERROR(IF(OR(AND(N54&gt;0, N48=0), AND(N48&gt;0, N54=0)), 1, 0),1)</f>
        <v>0</v>
      </c>
      <c r="O129" s="408">
        <f t="shared" si="13"/>
        <v>0</v>
      </c>
      <c r="P129" s="408">
        <f t="shared" si="13"/>
        <v>0</v>
      </c>
      <c r="Q129" s="408">
        <f t="shared" si="13"/>
        <v>0</v>
      </c>
      <c r="R129" s="408">
        <f t="shared" si="13"/>
        <v>0</v>
      </c>
      <c r="S129" s="408">
        <f t="shared" si="13"/>
        <v>0</v>
      </c>
      <c r="T129" s="408">
        <f t="shared" si="13"/>
        <v>0</v>
      </c>
      <c r="U129" s="408">
        <f t="shared" si="13"/>
        <v>0</v>
      </c>
    </row>
    <row r="131" spans="2:23" x14ac:dyDescent="0.25">
      <c r="E131" s="293" t="s">
        <v>374</v>
      </c>
      <c r="G131" s="122" t="s">
        <v>588</v>
      </c>
      <c r="H131" s="310">
        <f>H127 + H129</f>
        <v>0</v>
      </c>
    </row>
    <row r="133" spans="2:23" x14ac:dyDescent="0.25">
      <c r="B133" s="95" t="s">
        <v>110</v>
      </c>
      <c r="C133" s="95"/>
      <c r="D133" s="95"/>
      <c r="E133" s="95"/>
      <c r="F133" s="95"/>
      <c r="G133" s="95"/>
      <c r="H133" s="95"/>
      <c r="I133" s="95"/>
      <c r="J133" s="95"/>
      <c r="K133" s="95"/>
      <c r="L133" s="95"/>
      <c r="M133" s="95"/>
      <c r="N133" s="95"/>
      <c r="O133" s="95"/>
      <c r="P133" s="95"/>
      <c r="Q133" s="95"/>
      <c r="R133" s="95"/>
      <c r="S133" s="95"/>
      <c r="T133" s="95"/>
      <c r="U133" s="95"/>
      <c r="V133" s="95"/>
      <c r="W133" s="95"/>
    </row>
  </sheetData>
  <sheetProtection sheet="1" objects="1" formatCells="0" formatColumns="0" formatRows="0" sort="0" autoFilter="0"/>
  <conditionalFormatting sqref="H127">
    <cfRule type="cellIs" dxfId="125" priority="6" operator="greaterThan">
      <formula>0</formula>
    </cfRule>
  </conditionalFormatting>
  <conditionalFormatting sqref="H129">
    <cfRule type="cellIs" dxfId="124" priority="5" operator="greaterThan">
      <formula>0</formula>
    </cfRule>
  </conditionalFormatting>
  <conditionalFormatting sqref="J129:U129">
    <cfRule type="cellIs" dxfId="123" priority="4" operator="greaterThan">
      <formula>0</formula>
    </cfRule>
  </conditionalFormatting>
  <conditionalFormatting sqref="H132">
    <cfRule type="cellIs" dxfId="122" priority="3" operator="greaterThan">
      <formula>0</formula>
    </cfRule>
  </conditionalFormatting>
  <conditionalFormatting sqref="A4:XFD4">
    <cfRule type="expression" dxfId="121" priority="2">
      <formula>LEFT($A$4,1) &lt;&gt; "0"</formula>
    </cfRule>
  </conditionalFormatting>
  <conditionalFormatting sqref="H131">
    <cfRule type="cellIs" dxfId="120" priority="1" operator="greaterThan">
      <formula>0</formula>
    </cfRule>
  </conditionalFormatting>
  <hyperlinks>
    <hyperlink ref="B5:F5" location="'Model map'!A1" display="Click here to return to model map" xr:uid="{B6EDCA37-1784-4097-A203-C824CF599D7E}"/>
  </hyperlinks>
  <pageMargins left="0.7" right="0.7" top="0.75" bottom="0.75" header="0.3" footer="0.3"/>
  <pageSetup paperSize="9" fitToHeight="0" orientation="portrait" r:id="rId1"/>
  <headerFooter>
    <oddHeader>&amp;L&amp;A&amp;C&amp;R&amp;P of &amp;N</oddHeader>
    <oddFooter>&amp;F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F2FC4D-16A1-4EBA-9FFE-5DC3BC5DEB5E}">
  <sheetPr codeName="Sheet45">
    <tabColor theme="4" tint="0.59999389629810485"/>
    <pageSetUpPr fitToPage="1"/>
  </sheetPr>
  <dimension ref="A1:JX243"/>
  <sheetViews>
    <sheetView showGridLines="0" zoomScale="80" zoomScaleNormal="80" workbookViewId="0">
      <pane xSplit="9" ySplit="5" topLeftCell="J6" activePane="bottomRight" state="frozen"/>
      <selection pane="topRight"/>
      <selection pane="bottomLeft"/>
      <selection pane="bottomRight"/>
    </sheetView>
  </sheetViews>
  <sheetFormatPr defaultColWidth="0" defaultRowHeight="15" x14ac:dyDescent="0.25"/>
  <cols>
    <col min="1" max="5" width="2.5703125" style="293" customWidth="1"/>
    <col min="6" max="6" width="59.5703125" style="293" customWidth="1"/>
    <col min="7" max="8" width="20.5703125" style="293" customWidth="1"/>
    <col min="9" max="9" width="2.42578125" style="293" customWidth="1"/>
    <col min="10" max="25" width="17" style="293" customWidth="1"/>
    <col min="26" max="26" width="2.42578125" style="293" customWidth="1"/>
    <col min="27" max="27" width="50.5703125" style="293" customWidth="1"/>
    <col min="28" max="28" width="2.42578125" style="293" customWidth="1"/>
    <col min="29" max="284" width="24.5703125" style="293" hidden="1" customWidth="1"/>
    <col min="285" max="16384" width="8.5703125" style="293" hidden="1"/>
  </cols>
  <sheetData>
    <row r="1" spans="1:27" s="10" customFormat="1" x14ac:dyDescent="0.25">
      <c r="A1" s="10" t="str">
        <f ca="1">MID(CELL("filename",A1),FIND("]",CELL("filename",A1))+1,255)</f>
        <v>Initial unit rates</v>
      </c>
    </row>
    <row r="2" spans="1:27" s="10" customFormat="1" x14ac:dyDescent="0.25">
      <c r="A2" s="10" t="str">
        <f>Cover!D21&amp;" - "&amp;Cover!D23</f>
        <v>Southern Electric Power Distribution plc - Final</v>
      </c>
    </row>
    <row r="3" spans="1:27" s="46" customFormat="1" x14ac:dyDescent="0.25">
      <c r="A3" s="46" t="str">
        <f>Cover!D2&amp;" - "&amp;Cover!D8&amp;" v"&amp;Cover!D10&amp;" - "&amp;Cover!D19</f>
        <v>ARP model - Release for charge setting v7 - 2023/24</v>
      </c>
    </row>
    <row r="4" spans="1:27" x14ac:dyDescent="0.25">
      <c r="A4" s="366" t="str">
        <f>H241 &amp; IF(H241 = 1, " issue", " issues") &amp;" identified in checks on this sheet"</f>
        <v>0 issues identified in checks on this sheet</v>
      </c>
      <c r="B4" s="108"/>
      <c r="C4" s="108"/>
      <c r="D4" s="108"/>
      <c r="E4" s="108"/>
      <c r="F4" s="108"/>
      <c r="G4" s="108"/>
      <c r="H4" s="111"/>
      <c r="I4" s="111"/>
    </row>
    <row r="5" spans="1:27" ht="60" x14ac:dyDescent="0.25">
      <c r="B5" s="367" t="s">
        <v>451</v>
      </c>
      <c r="C5" s="368"/>
      <c r="D5" s="368"/>
      <c r="E5" s="368"/>
      <c r="F5" s="368"/>
      <c r="G5" s="1" t="s">
        <v>91</v>
      </c>
      <c r="H5" s="2" t="s">
        <v>92</v>
      </c>
      <c r="I5" s="111"/>
      <c r="J5" s="2" t="s">
        <v>926</v>
      </c>
      <c r="K5" s="2" t="s">
        <v>927</v>
      </c>
      <c r="L5" s="2" t="s">
        <v>928</v>
      </c>
      <c r="M5" s="2" t="s">
        <v>929</v>
      </c>
      <c r="N5" s="2" t="s">
        <v>930</v>
      </c>
      <c r="O5" s="2" t="s">
        <v>931</v>
      </c>
      <c r="P5" s="2" t="s">
        <v>932</v>
      </c>
      <c r="Q5" s="2" t="s">
        <v>933</v>
      </c>
      <c r="R5" s="2" t="s">
        <v>934</v>
      </c>
      <c r="S5" s="2" t="s">
        <v>935</v>
      </c>
      <c r="T5" s="2" t="s">
        <v>936</v>
      </c>
      <c r="U5" s="2" t="s">
        <v>937</v>
      </c>
      <c r="V5" s="2" t="s">
        <v>938</v>
      </c>
      <c r="W5" s="2" t="s">
        <v>939</v>
      </c>
      <c r="X5" s="2" t="s">
        <v>940</v>
      </c>
      <c r="Y5" s="2" t="s">
        <v>941</v>
      </c>
      <c r="AA5" s="1" t="s">
        <v>93</v>
      </c>
    </row>
    <row r="6" spans="1:27" x14ac:dyDescent="0.25">
      <c r="H6" s="88"/>
      <c r="I6" s="88"/>
      <c r="J6" s="88"/>
      <c r="K6" s="88"/>
      <c r="L6" s="88"/>
      <c r="M6" s="88"/>
      <c r="N6" s="88"/>
      <c r="P6" s="88"/>
    </row>
    <row r="7" spans="1:27" x14ac:dyDescent="0.25">
      <c r="B7" s="95" t="s">
        <v>90</v>
      </c>
      <c r="C7" s="95"/>
      <c r="D7" s="95"/>
      <c r="E7" s="95"/>
      <c r="F7" s="95"/>
      <c r="G7" s="95"/>
      <c r="H7" s="95"/>
      <c r="I7" s="95"/>
      <c r="J7" s="95"/>
      <c r="K7" s="95"/>
      <c r="L7" s="95"/>
      <c r="M7" s="95"/>
      <c r="N7" s="95"/>
      <c r="O7" s="95"/>
      <c r="P7" s="95"/>
      <c r="Q7" s="95"/>
      <c r="R7" s="95"/>
      <c r="S7" s="95"/>
      <c r="T7" s="95"/>
      <c r="U7" s="95"/>
      <c r="V7" s="95"/>
      <c r="W7" s="95"/>
      <c r="X7" s="95"/>
      <c r="Y7" s="95"/>
      <c r="Z7" s="95"/>
      <c r="AA7" s="95"/>
    </row>
    <row r="9" spans="1:27" x14ac:dyDescent="0.25">
      <c r="C9" s="82" t="s">
        <v>515</v>
      </c>
      <c r="E9" s="14"/>
    </row>
    <row r="11" spans="1:27" x14ac:dyDescent="0.25">
      <c r="B11" s="95" t="s">
        <v>664</v>
      </c>
      <c r="C11" s="95"/>
      <c r="D11" s="95"/>
      <c r="E11" s="95"/>
      <c r="F11" s="95"/>
      <c r="G11" s="95"/>
      <c r="H11" s="95"/>
      <c r="I11" s="95"/>
      <c r="J11" s="95"/>
      <c r="K11" s="95"/>
      <c r="L11" s="95"/>
      <c r="M11" s="95"/>
      <c r="N11" s="95"/>
      <c r="O11" s="95"/>
      <c r="P11" s="95"/>
      <c r="Q11" s="95"/>
      <c r="R11" s="95"/>
      <c r="S11" s="95"/>
      <c r="T11" s="95"/>
      <c r="U11" s="95"/>
      <c r="V11" s="95"/>
      <c r="W11" s="95"/>
      <c r="X11" s="95"/>
      <c r="Y11" s="95"/>
      <c r="Z11" s="95"/>
      <c r="AA11" s="95"/>
    </row>
    <row r="13" spans="1:27" x14ac:dyDescent="0.25">
      <c r="C13" s="7" t="str">
        <f ca="1">INDEX('Version control'!$H$35:$H$61,MATCH($A$1,'Version control'!$F$35:$F$61,0),1)&amp;"-A: Inputs for yardstick and unit rate calculations"</f>
        <v>Section 512-A: Inputs for yardstick and unit rate calculations</v>
      </c>
      <c r="D13" s="7"/>
      <c r="E13" s="7"/>
      <c r="F13" s="7"/>
      <c r="G13" s="7"/>
      <c r="H13" s="7"/>
      <c r="I13" s="7"/>
      <c r="J13" s="171"/>
      <c r="K13" s="171"/>
      <c r="L13" s="171"/>
      <c r="M13" s="171"/>
      <c r="N13" s="171"/>
      <c r="O13" s="171"/>
      <c r="P13" s="171"/>
      <c r="Q13" s="171"/>
      <c r="R13" s="171"/>
      <c r="S13" s="171"/>
      <c r="T13" s="171"/>
      <c r="U13" s="171"/>
      <c r="V13" s="171"/>
      <c r="W13" s="171"/>
      <c r="X13" s="171"/>
      <c r="Y13" s="171"/>
      <c r="Z13" s="7"/>
      <c r="AA13" s="7"/>
    </row>
    <row r="14" spans="1:27" x14ac:dyDescent="0.25">
      <c r="C14" s="96"/>
      <c r="D14" s="96"/>
      <c r="E14" s="96"/>
      <c r="J14" s="90"/>
      <c r="L14" s="90"/>
    </row>
    <row r="15" spans="1:27" x14ac:dyDescent="0.25">
      <c r="D15" s="82" t="s">
        <v>377</v>
      </c>
    </row>
    <row r="17" spans="5:27" x14ac:dyDescent="0.25">
      <c r="E17" s="96" t="s">
        <v>530</v>
      </c>
      <c r="G17" s="14"/>
      <c r="H17" s="88"/>
      <c r="I17" s="88" t="s">
        <v>359</v>
      </c>
      <c r="AA17" s="293" t="s">
        <v>724</v>
      </c>
    </row>
    <row r="18" spans="5:27" x14ac:dyDescent="0.25">
      <c r="F18" s="410" t="s">
        <v>267</v>
      </c>
      <c r="G18" s="16" t="s">
        <v>108</v>
      </c>
      <c r="H18" s="238"/>
    </row>
    <row r="19" spans="5:27" x14ac:dyDescent="0.25">
      <c r="F19" s="411" t="s">
        <v>43</v>
      </c>
      <c r="G19" s="14" t="s">
        <v>108</v>
      </c>
      <c r="H19" s="279"/>
    </row>
    <row r="20" spans="5:27" x14ac:dyDescent="0.25">
      <c r="F20" s="411" t="s">
        <v>44</v>
      </c>
      <c r="G20" s="14" t="s">
        <v>108</v>
      </c>
      <c r="H20" s="412">
        <f t="array" ref="H20:H27">TRANSPOSE('Unit costs'!L114:S114)</f>
        <v>10.883631559807021</v>
      </c>
    </row>
    <row r="21" spans="5:27" x14ac:dyDescent="0.25">
      <c r="F21" s="411" t="s">
        <v>45</v>
      </c>
      <c r="G21" s="14" t="s">
        <v>108</v>
      </c>
      <c r="H21" s="412">
        <v>2.8273360106831418</v>
      </c>
    </row>
    <row r="22" spans="5:27" x14ac:dyDescent="0.25">
      <c r="F22" s="411" t="s">
        <v>46</v>
      </c>
      <c r="G22" s="14" t="s">
        <v>108</v>
      </c>
      <c r="H22" s="412">
        <v>7.8356229955375181</v>
      </c>
    </row>
    <row r="23" spans="5:27" x14ac:dyDescent="0.25">
      <c r="F23" s="411" t="s">
        <v>47</v>
      </c>
      <c r="G23" s="14" t="s">
        <v>108</v>
      </c>
      <c r="H23" s="412">
        <v>5.576444424745584</v>
      </c>
    </row>
    <row r="24" spans="5:27" x14ac:dyDescent="0.25">
      <c r="F24" s="411" t="s">
        <v>51</v>
      </c>
      <c r="G24" s="14" t="s">
        <v>108</v>
      </c>
      <c r="H24" s="412">
        <v>0</v>
      </c>
    </row>
    <row r="25" spans="5:27" x14ac:dyDescent="0.25">
      <c r="F25" s="411" t="s">
        <v>48</v>
      </c>
      <c r="G25" s="14" t="s">
        <v>108</v>
      </c>
      <c r="H25" s="412">
        <v>18.206544316732039</v>
      </c>
    </row>
    <row r="26" spans="5:27" x14ac:dyDescent="0.25">
      <c r="F26" s="411" t="s">
        <v>49</v>
      </c>
      <c r="G26" s="14" t="s">
        <v>108</v>
      </c>
      <c r="H26" s="412">
        <v>6.9635500131531867</v>
      </c>
    </row>
    <row r="27" spans="5:27" x14ac:dyDescent="0.25">
      <c r="F27" s="413" t="s">
        <v>50</v>
      </c>
      <c r="G27" s="15" t="s">
        <v>108</v>
      </c>
      <c r="H27" s="284">
        <v>19.102355227863391</v>
      </c>
    </row>
    <row r="28" spans="5:27" x14ac:dyDescent="0.25">
      <c r="F28" s="411"/>
      <c r="G28" s="14"/>
      <c r="H28" s="273"/>
    </row>
    <row r="29" spans="5:27" x14ac:dyDescent="0.25">
      <c r="E29" s="96" t="s">
        <v>531</v>
      </c>
      <c r="G29" s="14"/>
      <c r="H29" s="252"/>
    </row>
    <row r="30" spans="5:27" x14ac:dyDescent="0.25">
      <c r="F30" s="410" t="s">
        <v>267</v>
      </c>
      <c r="G30" s="16" t="s">
        <v>912</v>
      </c>
      <c r="H30" s="283">
        <f t="array" ref="H30:H39">TRANSPOSE('Unit costs'!J115:S115)</f>
        <v>2.7548504565186631</v>
      </c>
    </row>
    <row r="31" spans="5:27" x14ac:dyDescent="0.25">
      <c r="F31" s="411" t="s">
        <v>43</v>
      </c>
      <c r="G31" s="14" t="s">
        <v>912</v>
      </c>
      <c r="H31" s="412">
        <v>0</v>
      </c>
    </row>
    <row r="32" spans="5:27" x14ac:dyDescent="0.25">
      <c r="F32" s="411" t="s">
        <v>44</v>
      </c>
      <c r="G32" s="14" t="s">
        <v>912</v>
      </c>
      <c r="H32" s="412">
        <v>6.1203202482894374</v>
      </c>
    </row>
    <row r="33" spans="5:16" x14ac:dyDescent="0.25">
      <c r="F33" s="411" t="s">
        <v>45</v>
      </c>
      <c r="G33" s="14" t="s">
        <v>912</v>
      </c>
      <c r="H33" s="412">
        <v>1.5899290360770664</v>
      </c>
      <c r="J33" s="90"/>
      <c r="K33" s="90"/>
      <c r="L33" s="90"/>
      <c r="M33" s="90"/>
      <c r="N33" s="90"/>
    </row>
    <row r="34" spans="5:16" x14ac:dyDescent="0.25">
      <c r="F34" s="411" t="s">
        <v>46</v>
      </c>
      <c r="G34" s="14" t="s">
        <v>912</v>
      </c>
      <c r="H34" s="412">
        <v>4.4062978256864964</v>
      </c>
      <c r="J34" s="90"/>
      <c r="K34" s="90"/>
      <c r="L34" s="90"/>
      <c r="M34" s="90"/>
      <c r="N34" s="90"/>
    </row>
    <row r="35" spans="5:16" x14ac:dyDescent="0.25">
      <c r="F35" s="411" t="s">
        <v>47</v>
      </c>
      <c r="G35" s="14" t="s">
        <v>912</v>
      </c>
      <c r="H35" s="412">
        <v>3.1358674297897946</v>
      </c>
      <c r="J35" s="90"/>
      <c r="K35" s="90"/>
      <c r="L35" s="90"/>
      <c r="M35" s="90"/>
      <c r="N35" s="90"/>
    </row>
    <row r="36" spans="5:16" x14ac:dyDescent="0.25">
      <c r="F36" s="411" t="s">
        <v>51</v>
      </c>
      <c r="G36" s="14" t="s">
        <v>912</v>
      </c>
      <c r="H36" s="412">
        <v>0</v>
      </c>
      <c r="J36" s="90"/>
      <c r="K36" s="90"/>
      <c r="L36" s="90"/>
      <c r="M36" s="90"/>
      <c r="N36" s="90"/>
    </row>
    <row r="37" spans="5:16" x14ac:dyDescent="0.25">
      <c r="F37" s="411" t="s">
        <v>48</v>
      </c>
      <c r="G37" s="14" t="s">
        <v>912</v>
      </c>
      <c r="H37" s="412">
        <v>10.238299709132184</v>
      </c>
      <c r="J37" s="90"/>
      <c r="K37" s="90"/>
      <c r="L37" s="90"/>
      <c r="M37" s="90"/>
      <c r="N37" s="90"/>
      <c r="O37" s="90"/>
    </row>
    <row r="38" spans="5:16" x14ac:dyDescent="0.25">
      <c r="F38" s="411" t="s">
        <v>49</v>
      </c>
      <c r="G38" s="14" t="s">
        <v>912</v>
      </c>
      <c r="H38" s="412">
        <v>3.9158947922189049</v>
      </c>
      <c r="J38" s="90"/>
      <c r="K38" s="90"/>
      <c r="L38" s="90"/>
      <c r="M38" s="90"/>
      <c r="N38" s="90"/>
      <c r="O38" s="90"/>
    </row>
    <row r="39" spans="5:16" x14ac:dyDescent="0.25">
      <c r="F39" s="413" t="s">
        <v>50</v>
      </c>
      <c r="G39" s="15" t="s">
        <v>912</v>
      </c>
      <c r="H39" s="284">
        <v>10.742051570623261</v>
      </c>
      <c r="J39" s="90"/>
      <c r="K39" s="90"/>
      <c r="L39" s="90"/>
      <c r="M39" s="90"/>
      <c r="N39" s="90"/>
      <c r="O39" s="90"/>
    </row>
    <row r="40" spans="5:16" x14ac:dyDescent="0.25">
      <c r="G40" s="14"/>
      <c r="H40" s="252"/>
      <c r="J40" s="90"/>
      <c r="K40" s="90"/>
      <c r="L40" s="90"/>
      <c r="M40" s="90"/>
      <c r="N40" s="90"/>
      <c r="O40" s="90"/>
    </row>
    <row r="41" spans="5:16" x14ac:dyDescent="0.25">
      <c r="E41" s="96" t="s">
        <v>527</v>
      </c>
      <c r="F41" s="96"/>
      <c r="H41" s="276"/>
      <c r="I41" s="88"/>
      <c r="J41" s="90"/>
      <c r="K41" s="90"/>
      <c r="L41" s="90"/>
      <c r="M41" s="90"/>
      <c r="N41" s="90"/>
      <c r="O41" s="90"/>
      <c r="P41" s="88"/>
    </row>
    <row r="42" spans="5:16" x14ac:dyDescent="0.25">
      <c r="E42" s="82" t="s">
        <v>186</v>
      </c>
      <c r="F42" s="82"/>
      <c r="H42" s="276"/>
      <c r="I42" s="88"/>
      <c r="J42" s="90"/>
      <c r="K42" s="90"/>
      <c r="L42" s="90"/>
      <c r="M42" s="90"/>
      <c r="N42" s="90"/>
      <c r="O42" s="90"/>
      <c r="P42" s="88"/>
    </row>
    <row r="43" spans="5:16" x14ac:dyDescent="0.25">
      <c r="F43" s="91" t="s">
        <v>267</v>
      </c>
      <c r="G43" s="91" t="s">
        <v>427</v>
      </c>
      <c r="H43" s="272">
        <f t="array" ref="H43:H52">TRANSPOSE('Load &amp; loss characteristics'!J29:S29)</f>
        <v>1</v>
      </c>
      <c r="I43" s="88"/>
      <c r="J43" s="90"/>
      <c r="K43" s="90"/>
      <c r="L43" s="90"/>
      <c r="M43" s="90"/>
      <c r="N43" s="90"/>
      <c r="O43" s="90"/>
    </row>
    <row r="44" spans="5:16" x14ac:dyDescent="0.25">
      <c r="F44" s="293" t="s">
        <v>43</v>
      </c>
      <c r="G44" s="293" t="s">
        <v>427</v>
      </c>
      <c r="H44" s="273">
        <v>1</v>
      </c>
      <c r="I44" s="88"/>
      <c r="J44" s="90"/>
      <c r="K44" s="90"/>
      <c r="L44" s="90"/>
      <c r="M44" s="90"/>
      <c r="N44" s="90"/>
      <c r="O44" s="90"/>
    </row>
    <row r="45" spans="5:16" x14ac:dyDescent="0.25">
      <c r="F45" s="293" t="s">
        <v>44</v>
      </c>
      <c r="G45" s="293" t="s">
        <v>427</v>
      </c>
      <c r="H45" s="273">
        <v>1.004</v>
      </c>
      <c r="I45" s="88"/>
      <c r="J45" s="90"/>
      <c r="K45" s="90"/>
      <c r="L45" s="90"/>
      <c r="M45" s="90"/>
      <c r="N45" s="90"/>
      <c r="O45" s="90"/>
    </row>
    <row r="46" spans="5:16" x14ac:dyDescent="0.25">
      <c r="F46" s="293" t="s">
        <v>45</v>
      </c>
      <c r="G46" s="293" t="s">
        <v>427</v>
      </c>
      <c r="H46" s="273">
        <v>1.008</v>
      </c>
      <c r="J46" s="90"/>
      <c r="K46" s="90"/>
      <c r="L46" s="90"/>
      <c r="M46" s="90"/>
      <c r="N46" s="90"/>
      <c r="O46" s="90"/>
    </row>
    <row r="47" spans="5:16" x14ac:dyDescent="0.25">
      <c r="F47" s="293" t="s">
        <v>46</v>
      </c>
      <c r="G47" s="293" t="s">
        <v>427</v>
      </c>
      <c r="H47" s="273">
        <v>1.014</v>
      </c>
      <c r="I47" s="88"/>
      <c r="J47" s="90"/>
      <c r="K47" s="90"/>
      <c r="L47" s="90"/>
      <c r="M47" s="90"/>
      <c r="N47" s="90"/>
      <c r="O47" s="90"/>
    </row>
    <row r="48" spans="5:16" x14ac:dyDescent="0.25">
      <c r="F48" s="293" t="s">
        <v>47</v>
      </c>
      <c r="G48" s="293" t="s">
        <v>427</v>
      </c>
      <c r="H48" s="273">
        <v>1.02</v>
      </c>
      <c r="I48" s="88"/>
      <c r="J48" s="90"/>
      <c r="K48" s="90"/>
      <c r="L48" s="90"/>
      <c r="M48" s="90"/>
      <c r="N48" s="90"/>
      <c r="O48" s="90"/>
    </row>
    <row r="49" spans="4:25" x14ac:dyDescent="0.25">
      <c r="F49" s="293" t="s">
        <v>51</v>
      </c>
      <c r="G49" s="293" t="s">
        <v>427</v>
      </c>
      <c r="H49" s="273">
        <v>1.02</v>
      </c>
      <c r="I49" s="88"/>
      <c r="J49" s="90"/>
      <c r="K49" s="90"/>
      <c r="L49" s="90"/>
      <c r="M49" s="90"/>
      <c r="N49" s="90"/>
      <c r="O49" s="90"/>
    </row>
    <row r="50" spans="4:25" x14ac:dyDescent="0.25">
      <c r="F50" s="293" t="s">
        <v>48</v>
      </c>
      <c r="G50" s="293" t="s">
        <v>427</v>
      </c>
      <c r="H50" s="273">
        <v>1.0289999999999999</v>
      </c>
      <c r="J50" s="90"/>
      <c r="K50" s="90"/>
      <c r="L50" s="90"/>
      <c r="M50" s="90"/>
      <c r="N50" s="90"/>
      <c r="O50" s="90"/>
    </row>
    <row r="51" spans="4:25" x14ac:dyDescent="0.25">
      <c r="F51" s="293" t="s">
        <v>49</v>
      </c>
      <c r="G51" s="293" t="s">
        <v>427</v>
      </c>
      <c r="H51" s="273">
        <v>1.044</v>
      </c>
      <c r="I51" s="88"/>
      <c r="J51" s="90"/>
      <c r="K51" s="90"/>
      <c r="L51" s="90"/>
      <c r="M51" s="90"/>
      <c r="N51" s="90"/>
      <c r="O51" s="90"/>
    </row>
    <row r="52" spans="4:25" x14ac:dyDescent="0.25">
      <c r="F52" s="93" t="s">
        <v>50</v>
      </c>
      <c r="G52" s="93" t="s">
        <v>427</v>
      </c>
      <c r="H52" s="274">
        <v>1.0880000000000001</v>
      </c>
      <c r="I52" s="88"/>
      <c r="J52" s="90"/>
      <c r="K52" s="90"/>
      <c r="L52" s="90"/>
      <c r="M52" s="90"/>
      <c r="N52" s="90"/>
      <c r="O52" s="90"/>
    </row>
    <row r="53" spans="4:25" x14ac:dyDescent="0.25">
      <c r="G53" s="14"/>
      <c r="H53" s="88"/>
      <c r="I53" s="88"/>
      <c r="J53" s="90"/>
      <c r="K53" s="90"/>
      <c r="L53" s="90"/>
      <c r="M53" s="90"/>
      <c r="N53" s="90"/>
      <c r="O53" s="90"/>
    </row>
    <row r="54" spans="4:25" x14ac:dyDescent="0.25">
      <c r="E54" s="96" t="s">
        <v>334</v>
      </c>
      <c r="F54" s="96"/>
      <c r="J54" s="90"/>
      <c r="L54" s="90"/>
    </row>
    <row r="55" spans="4:25" x14ac:dyDescent="0.25">
      <c r="D55" s="96"/>
      <c r="E55" s="96"/>
      <c r="F55" s="410" t="s">
        <v>267</v>
      </c>
      <c r="G55" s="91" t="s">
        <v>427</v>
      </c>
      <c r="H55" s="91"/>
      <c r="I55" s="91"/>
      <c r="J55" s="283">
        <f t="array" ref="J55:Y64">TRANSPOSE('Load &amp; loss characteristics'!J145:S160)</f>
        <v>1.0880000000000001</v>
      </c>
      <c r="K55" s="283">
        <v>1.0880000000000001</v>
      </c>
      <c r="L55" s="283">
        <v>1.0880000000000001</v>
      </c>
      <c r="M55" s="283">
        <v>1.0880000000000001</v>
      </c>
      <c r="N55" s="283">
        <v>1.0880000000000001</v>
      </c>
      <c r="O55" s="283">
        <v>1.044</v>
      </c>
      <c r="P55" s="283">
        <v>1.0289999999999999</v>
      </c>
      <c r="Q55" s="283">
        <v>1.0880000000000001</v>
      </c>
      <c r="R55" s="283">
        <v>-1.0880000000000001</v>
      </c>
      <c r="S55" s="283">
        <v>-1.044</v>
      </c>
      <c r="T55" s="283">
        <v>-1.0880000000000001</v>
      </c>
      <c r="U55" s="283">
        <v>-1.0880000000000001</v>
      </c>
      <c r="V55" s="283">
        <v>-1.044</v>
      </c>
      <c r="W55" s="283">
        <v>-1.044</v>
      </c>
      <c r="X55" s="283">
        <v>-1.0289999999999999</v>
      </c>
      <c r="Y55" s="283">
        <v>-1.0289999999999999</v>
      </c>
    </row>
    <row r="56" spans="4:25" x14ac:dyDescent="0.25">
      <c r="D56" s="96"/>
      <c r="E56" s="96"/>
      <c r="F56" s="411" t="s">
        <v>43</v>
      </c>
      <c r="G56" s="293" t="s">
        <v>427</v>
      </c>
      <c r="J56" s="412">
        <v>1.0880000000000001</v>
      </c>
      <c r="K56" s="412">
        <v>1.0880000000000001</v>
      </c>
      <c r="L56" s="412">
        <v>1.0880000000000001</v>
      </c>
      <c r="M56" s="412">
        <v>1.0880000000000001</v>
      </c>
      <c r="N56" s="412">
        <v>1.0880000000000001</v>
      </c>
      <c r="O56" s="412">
        <v>1.044</v>
      </c>
      <c r="P56" s="412">
        <v>1.0289999999999999</v>
      </c>
      <c r="Q56" s="412">
        <v>1.0880000000000001</v>
      </c>
      <c r="R56" s="412">
        <v>-1.0880000000000001</v>
      </c>
      <c r="S56" s="412">
        <v>-1.044</v>
      </c>
      <c r="T56" s="412">
        <v>-1.0880000000000001</v>
      </c>
      <c r="U56" s="412">
        <v>-1.0880000000000001</v>
      </c>
      <c r="V56" s="412">
        <v>-1.044</v>
      </c>
      <c r="W56" s="412">
        <v>-1.044</v>
      </c>
      <c r="X56" s="412">
        <v>-1.0289999999999999</v>
      </c>
      <c r="Y56" s="412">
        <v>-1.0289999999999999</v>
      </c>
    </row>
    <row r="57" spans="4:25" x14ac:dyDescent="0.25">
      <c r="D57" s="96"/>
      <c r="E57" s="96"/>
      <c r="F57" s="411" t="s">
        <v>44</v>
      </c>
      <c r="G57" s="293" t="s">
        <v>427</v>
      </c>
      <c r="J57" s="412">
        <v>1.0880000000000001</v>
      </c>
      <c r="K57" s="412">
        <v>1.0880000000000001</v>
      </c>
      <c r="L57" s="412">
        <v>1.0880000000000001</v>
      </c>
      <c r="M57" s="412">
        <v>1.0880000000000001</v>
      </c>
      <c r="N57" s="412">
        <v>1.0880000000000001</v>
      </c>
      <c r="O57" s="412">
        <v>1.044</v>
      </c>
      <c r="P57" s="412">
        <v>1.0289999999999999</v>
      </c>
      <c r="Q57" s="412">
        <v>1.0880000000000001</v>
      </c>
      <c r="R57" s="412">
        <v>-1.0880000000000001</v>
      </c>
      <c r="S57" s="412">
        <v>-1.044</v>
      </c>
      <c r="T57" s="412">
        <v>-1.0880000000000001</v>
      </c>
      <c r="U57" s="412">
        <v>-1.0880000000000001</v>
      </c>
      <c r="V57" s="412">
        <v>-1.044</v>
      </c>
      <c r="W57" s="412">
        <v>-1.044</v>
      </c>
      <c r="X57" s="412">
        <v>-1.0289999999999999</v>
      </c>
      <c r="Y57" s="412">
        <v>-1.0289999999999999</v>
      </c>
    </row>
    <row r="58" spans="4:25" x14ac:dyDescent="0.25">
      <c r="D58" s="96"/>
      <c r="E58" s="96"/>
      <c r="F58" s="411" t="s">
        <v>45</v>
      </c>
      <c r="G58" s="293" t="s">
        <v>427</v>
      </c>
      <c r="J58" s="412">
        <v>1.0880000000000001</v>
      </c>
      <c r="K58" s="412">
        <v>1.0880000000000001</v>
      </c>
      <c r="L58" s="412">
        <v>1.0880000000000001</v>
      </c>
      <c r="M58" s="412">
        <v>1.0880000000000001</v>
      </c>
      <c r="N58" s="412">
        <v>1.0880000000000001</v>
      </c>
      <c r="O58" s="412">
        <v>1.044</v>
      </c>
      <c r="P58" s="412">
        <v>1.0289999999999999</v>
      </c>
      <c r="Q58" s="412">
        <v>1.0880000000000001</v>
      </c>
      <c r="R58" s="412">
        <v>-1.0880000000000001</v>
      </c>
      <c r="S58" s="412">
        <v>-1.044</v>
      </c>
      <c r="T58" s="412">
        <v>-1.0880000000000001</v>
      </c>
      <c r="U58" s="412">
        <v>-1.0880000000000001</v>
      </c>
      <c r="V58" s="412">
        <v>-1.044</v>
      </c>
      <c r="W58" s="412">
        <v>-1.044</v>
      </c>
      <c r="X58" s="412">
        <v>-1.0289999999999999</v>
      </c>
      <c r="Y58" s="412">
        <v>-1.0289999999999999</v>
      </c>
    </row>
    <row r="59" spans="4:25" x14ac:dyDescent="0.25">
      <c r="D59" s="96"/>
      <c r="E59" s="96"/>
      <c r="F59" s="411" t="s">
        <v>46</v>
      </c>
      <c r="G59" s="293" t="s">
        <v>427</v>
      </c>
      <c r="J59" s="412">
        <v>1.0880000000000001</v>
      </c>
      <c r="K59" s="412">
        <v>1.0880000000000001</v>
      </c>
      <c r="L59" s="412">
        <v>1.0880000000000001</v>
      </c>
      <c r="M59" s="412">
        <v>1.0880000000000001</v>
      </c>
      <c r="N59" s="412">
        <v>1.0880000000000001</v>
      </c>
      <c r="O59" s="412">
        <v>1.044</v>
      </c>
      <c r="P59" s="412">
        <v>1.0289999999999999</v>
      </c>
      <c r="Q59" s="412">
        <v>1.0880000000000001</v>
      </c>
      <c r="R59" s="412">
        <v>-1.0880000000000001</v>
      </c>
      <c r="S59" s="412">
        <v>-1.044</v>
      </c>
      <c r="T59" s="412">
        <v>-1.0880000000000001</v>
      </c>
      <c r="U59" s="412">
        <v>-1.0880000000000001</v>
      </c>
      <c r="V59" s="412">
        <v>-1.044</v>
      </c>
      <c r="W59" s="412">
        <v>-1.044</v>
      </c>
      <c r="X59" s="412">
        <v>-1.0289999999999999</v>
      </c>
      <c r="Y59" s="412">
        <v>-1.0289999999999999</v>
      </c>
    </row>
    <row r="60" spans="4:25" x14ac:dyDescent="0.25">
      <c r="D60" s="96"/>
      <c r="E60" s="96"/>
      <c r="F60" s="411" t="s">
        <v>47</v>
      </c>
      <c r="G60" s="293" t="s">
        <v>427</v>
      </c>
      <c r="J60" s="412">
        <v>1.0880000000000001</v>
      </c>
      <c r="K60" s="412">
        <v>1.0880000000000001</v>
      </c>
      <c r="L60" s="412">
        <v>1.0880000000000001</v>
      </c>
      <c r="M60" s="412">
        <v>1.0880000000000001</v>
      </c>
      <c r="N60" s="412">
        <v>1.0880000000000001</v>
      </c>
      <c r="O60" s="412">
        <v>1.044</v>
      </c>
      <c r="P60" s="412">
        <v>1.0289999999999999</v>
      </c>
      <c r="Q60" s="412">
        <v>1.0880000000000001</v>
      </c>
      <c r="R60" s="412">
        <v>-1.0880000000000001</v>
      </c>
      <c r="S60" s="412">
        <v>-1.044</v>
      </c>
      <c r="T60" s="412">
        <v>-1.0880000000000001</v>
      </c>
      <c r="U60" s="412">
        <v>-1.0880000000000001</v>
      </c>
      <c r="V60" s="412">
        <v>-1.044</v>
      </c>
      <c r="W60" s="412">
        <v>-1.044</v>
      </c>
      <c r="X60" s="412">
        <v>-1.0289999999999999</v>
      </c>
      <c r="Y60" s="412">
        <v>-1.0289999999999999</v>
      </c>
    </row>
    <row r="61" spans="4:25" x14ac:dyDescent="0.25">
      <c r="D61" s="96"/>
      <c r="E61" s="96"/>
      <c r="F61" s="411" t="s">
        <v>51</v>
      </c>
      <c r="G61" s="293" t="s">
        <v>427</v>
      </c>
      <c r="J61" s="412">
        <v>0</v>
      </c>
      <c r="K61" s="412">
        <v>0</v>
      </c>
      <c r="L61" s="412">
        <v>0</v>
      </c>
      <c r="M61" s="412">
        <v>0</v>
      </c>
      <c r="N61" s="412">
        <v>0</v>
      </c>
      <c r="O61" s="412">
        <v>0</v>
      </c>
      <c r="P61" s="412">
        <v>0</v>
      </c>
      <c r="Q61" s="412">
        <v>0</v>
      </c>
      <c r="R61" s="412">
        <v>0</v>
      </c>
      <c r="S61" s="412">
        <v>0</v>
      </c>
      <c r="T61" s="412">
        <v>0</v>
      </c>
      <c r="U61" s="412">
        <v>0</v>
      </c>
      <c r="V61" s="412">
        <v>0</v>
      </c>
      <c r="W61" s="412">
        <v>0</v>
      </c>
      <c r="X61" s="412">
        <v>0</v>
      </c>
      <c r="Y61" s="412">
        <v>0</v>
      </c>
    </row>
    <row r="62" spans="4:25" x14ac:dyDescent="0.25">
      <c r="D62" s="96"/>
      <c r="E62" s="96"/>
      <c r="F62" s="411" t="s">
        <v>48</v>
      </c>
      <c r="G62" s="293" t="s">
        <v>427</v>
      </c>
      <c r="J62" s="412">
        <v>1.0880000000000001</v>
      </c>
      <c r="K62" s="412">
        <v>1.0880000000000001</v>
      </c>
      <c r="L62" s="412">
        <v>1.0880000000000001</v>
      </c>
      <c r="M62" s="412">
        <v>1.0880000000000001</v>
      </c>
      <c r="N62" s="412">
        <v>1.0880000000000001</v>
      </c>
      <c r="O62" s="412">
        <v>1.044</v>
      </c>
      <c r="P62" s="412">
        <v>1.0289999999999999</v>
      </c>
      <c r="Q62" s="412">
        <v>1.0880000000000001</v>
      </c>
      <c r="R62" s="412">
        <v>-1.0880000000000001</v>
      </c>
      <c r="S62" s="412">
        <v>-1.044</v>
      </c>
      <c r="T62" s="412">
        <v>-1.0880000000000001</v>
      </c>
      <c r="U62" s="412">
        <v>-1.0880000000000001</v>
      </c>
      <c r="V62" s="412">
        <v>-1.044</v>
      </c>
      <c r="W62" s="412">
        <v>-1.044</v>
      </c>
      <c r="X62" s="412">
        <v>0</v>
      </c>
      <c r="Y62" s="412">
        <v>0</v>
      </c>
    </row>
    <row r="63" spans="4:25" x14ac:dyDescent="0.25">
      <c r="D63" s="96"/>
      <c r="E63" s="96"/>
      <c r="F63" s="411" t="s">
        <v>49</v>
      </c>
      <c r="G63" s="293" t="s">
        <v>427</v>
      </c>
      <c r="J63" s="412">
        <v>1.0880000000000001</v>
      </c>
      <c r="K63" s="412">
        <v>1.0880000000000001</v>
      </c>
      <c r="L63" s="412">
        <v>1.0880000000000001</v>
      </c>
      <c r="M63" s="412">
        <v>1.0880000000000001</v>
      </c>
      <c r="N63" s="412">
        <v>1.0880000000000001</v>
      </c>
      <c r="O63" s="412">
        <v>1.044</v>
      </c>
      <c r="P63" s="412">
        <v>0</v>
      </c>
      <c r="Q63" s="412">
        <v>1.0880000000000001</v>
      </c>
      <c r="R63" s="412">
        <v>-1.0880000000000001</v>
      </c>
      <c r="S63" s="412">
        <v>0</v>
      </c>
      <c r="T63" s="412">
        <v>-1.0880000000000001</v>
      </c>
      <c r="U63" s="412">
        <v>-1.0880000000000001</v>
      </c>
      <c r="V63" s="412">
        <v>0</v>
      </c>
      <c r="W63" s="412">
        <v>0</v>
      </c>
      <c r="X63" s="412">
        <v>0</v>
      </c>
      <c r="Y63" s="412">
        <v>0</v>
      </c>
    </row>
    <row r="64" spans="4:25" x14ac:dyDescent="0.25">
      <c r="D64" s="96"/>
      <c r="E64" s="96"/>
      <c r="F64" s="413" t="s">
        <v>50</v>
      </c>
      <c r="G64" s="93" t="s">
        <v>427</v>
      </c>
      <c r="H64" s="93"/>
      <c r="I64" s="93"/>
      <c r="J64" s="284">
        <v>1.0880000000000001</v>
      </c>
      <c r="K64" s="284">
        <v>1.0880000000000001</v>
      </c>
      <c r="L64" s="284">
        <v>1.0880000000000001</v>
      </c>
      <c r="M64" s="284">
        <v>1.0880000000000001</v>
      </c>
      <c r="N64" s="284">
        <v>1.0880000000000001</v>
      </c>
      <c r="O64" s="284">
        <v>0</v>
      </c>
      <c r="P64" s="284">
        <v>0</v>
      </c>
      <c r="Q64" s="284">
        <v>1.0880000000000001</v>
      </c>
      <c r="R64" s="284">
        <v>0</v>
      </c>
      <c r="S64" s="284">
        <v>0</v>
      </c>
      <c r="T64" s="284">
        <v>0</v>
      </c>
      <c r="U64" s="284">
        <v>0</v>
      </c>
      <c r="V64" s="284">
        <v>0</v>
      </c>
      <c r="W64" s="284">
        <v>0</v>
      </c>
      <c r="X64" s="284">
        <v>0</v>
      </c>
      <c r="Y64" s="284">
        <v>0</v>
      </c>
    </row>
    <row r="65" spans="3:25" x14ac:dyDescent="0.25">
      <c r="D65" s="96"/>
      <c r="E65" s="96"/>
      <c r="J65" s="237"/>
      <c r="K65" s="237"/>
      <c r="L65" s="237"/>
      <c r="M65" s="237"/>
      <c r="N65" s="237"/>
      <c r="O65" s="237"/>
      <c r="P65" s="237"/>
      <c r="Q65" s="237"/>
      <c r="R65" s="237"/>
      <c r="S65" s="237"/>
      <c r="T65" s="237"/>
      <c r="U65" s="237"/>
      <c r="V65" s="237"/>
      <c r="W65" s="237"/>
      <c r="X65" s="237"/>
      <c r="Y65" s="237"/>
    </row>
    <row r="66" spans="3:25" x14ac:dyDescent="0.25">
      <c r="E66" s="96" t="s">
        <v>521</v>
      </c>
      <c r="J66" s="237"/>
      <c r="K66" s="237"/>
      <c r="L66" s="237"/>
      <c r="M66" s="237"/>
      <c r="N66" s="237"/>
      <c r="O66" s="237"/>
      <c r="P66" s="237"/>
      <c r="Q66" s="237"/>
      <c r="R66" s="237"/>
      <c r="S66" s="237"/>
      <c r="T66" s="237"/>
      <c r="U66" s="237"/>
      <c r="V66" s="237"/>
      <c r="W66" s="237"/>
      <c r="X66" s="237"/>
      <c r="Y66" s="237"/>
    </row>
    <row r="67" spans="3:25" x14ac:dyDescent="0.25">
      <c r="D67" s="96"/>
      <c r="E67" s="96"/>
      <c r="F67" s="410" t="s">
        <v>267</v>
      </c>
      <c r="G67" s="16" t="s">
        <v>94</v>
      </c>
      <c r="H67" s="91"/>
      <c r="I67" s="91"/>
      <c r="J67" s="244"/>
      <c r="K67" s="244"/>
      <c r="L67" s="244"/>
      <c r="M67" s="244"/>
      <c r="N67" s="244"/>
      <c r="O67" s="244"/>
      <c r="P67" s="244"/>
      <c r="Q67" s="244"/>
      <c r="R67" s="244"/>
      <c r="S67" s="244"/>
      <c r="T67" s="244"/>
      <c r="U67" s="244"/>
      <c r="V67" s="244"/>
      <c r="W67" s="244"/>
      <c r="X67" s="244"/>
      <c r="Y67" s="244"/>
    </row>
    <row r="68" spans="3:25" x14ac:dyDescent="0.25">
      <c r="D68" s="96"/>
      <c r="E68" s="96"/>
      <c r="F68" s="411" t="s">
        <v>43</v>
      </c>
      <c r="G68" s="14" t="s">
        <v>94</v>
      </c>
      <c r="J68" s="414"/>
      <c r="K68" s="414"/>
      <c r="L68" s="414"/>
      <c r="M68" s="414"/>
      <c r="N68" s="414"/>
      <c r="O68" s="414"/>
      <c r="P68" s="414"/>
      <c r="Q68" s="414"/>
      <c r="R68" s="414"/>
      <c r="S68" s="414"/>
      <c r="T68" s="414"/>
      <c r="U68" s="414"/>
      <c r="V68" s="414"/>
      <c r="W68" s="414"/>
      <c r="X68" s="414"/>
      <c r="Y68" s="414"/>
    </row>
    <row r="69" spans="3:25" x14ac:dyDescent="0.25">
      <c r="D69" s="96"/>
      <c r="E69" s="96"/>
      <c r="F69" s="411" t="s">
        <v>44</v>
      </c>
      <c r="G69" s="14" t="s">
        <v>94</v>
      </c>
      <c r="J69" s="412">
        <f t="array" ref="J69:Y76">TRANSPOSE('Customer contributions'!L51:S66)</f>
        <v>0</v>
      </c>
      <c r="K69" s="412">
        <v>0</v>
      </c>
      <c r="L69" s="412">
        <v>0</v>
      </c>
      <c r="M69" s="412">
        <v>0</v>
      </c>
      <c r="N69" s="412">
        <v>0</v>
      </c>
      <c r="O69" s="412">
        <v>0</v>
      </c>
      <c r="P69" s="412">
        <v>0</v>
      </c>
      <c r="Q69" s="412">
        <v>0</v>
      </c>
      <c r="R69" s="412">
        <v>0</v>
      </c>
      <c r="S69" s="412">
        <v>0</v>
      </c>
      <c r="T69" s="412">
        <v>0</v>
      </c>
      <c r="U69" s="412">
        <v>0</v>
      </c>
      <c r="V69" s="412">
        <v>0</v>
      </c>
      <c r="W69" s="412">
        <v>0</v>
      </c>
      <c r="X69" s="412">
        <v>0</v>
      </c>
      <c r="Y69" s="412">
        <v>0</v>
      </c>
    </row>
    <row r="70" spans="3:25" x14ac:dyDescent="0.25">
      <c r="D70" s="96"/>
      <c r="E70" s="96"/>
      <c r="F70" s="411" t="s">
        <v>45</v>
      </c>
      <c r="G70" s="14" t="s">
        <v>94</v>
      </c>
      <c r="J70" s="412">
        <v>0</v>
      </c>
      <c r="K70" s="412">
        <v>0</v>
      </c>
      <c r="L70" s="412">
        <v>0</v>
      </c>
      <c r="M70" s="412">
        <v>0</v>
      </c>
      <c r="N70" s="412">
        <v>0</v>
      </c>
      <c r="O70" s="412">
        <v>0</v>
      </c>
      <c r="P70" s="412">
        <v>0</v>
      </c>
      <c r="Q70" s="412">
        <v>0</v>
      </c>
      <c r="R70" s="412">
        <v>0</v>
      </c>
      <c r="S70" s="412">
        <v>0</v>
      </c>
      <c r="T70" s="412">
        <v>0</v>
      </c>
      <c r="U70" s="412">
        <v>0</v>
      </c>
      <c r="V70" s="412">
        <v>0</v>
      </c>
      <c r="W70" s="412">
        <v>0</v>
      </c>
      <c r="X70" s="412">
        <v>0</v>
      </c>
      <c r="Y70" s="412">
        <v>0</v>
      </c>
    </row>
    <row r="71" spans="3:25" x14ac:dyDescent="0.25">
      <c r="D71" s="96"/>
      <c r="E71" s="96"/>
      <c r="F71" s="411" t="s">
        <v>46</v>
      </c>
      <c r="G71" s="14" t="s">
        <v>94</v>
      </c>
      <c r="J71" s="412">
        <v>1.2370413198693E-2</v>
      </c>
      <c r="K71" s="412">
        <v>1.2370413198693E-2</v>
      </c>
      <c r="L71" s="412">
        <v>1.2370413198693E-2</v>
      </c>
      <c r="M71" s="412">
        <v>1.2370413198693E-2</v>
      </c>
      <c r="N71" s="412">
        <v>1.2370413198693E-2</v>
      </c>
      <c r="O71" s="412">
        <v>1.2370413198693E-2</v>
      </c>
      <c r="P71" s="412">
        <v>3.4530744799792602E-2</v>
      </c>
      <c r="Q71" s="412">
        <v>1.2370413198693E-2</v>
      </c>
      <c r="R71" s="412">
        <v>1.2370413198693E-2</v>
      </c>
      <c r="S71" s="412">
        <v>1.2370413198693E-2</v>
      </c>
      <c r="T71" s="412">
        <v>1.2370413198693E-2</v>
      </c>
      <c r="U71" s="412">
        <v>1.2370413198693E-2</v>
      </c>
      <c r="V71" s="412">
        <v>1.2370413198693E-2</v>
      </c>
      <c r="W71" s="412">
        <v>1.2370413198693E-2</v>
      </c>
      <c r="X71" s="412">
        <v>3.4530744799792602E-2</v>
      </c>
      <c r="Y71" s="412">
        <v>3.4530744799792602E-2</v>
      </c>
    </row>
    <row r="72" spans="3:25" x14ac:dyDescent="0.25">
      <c r="D72" s="96"/>
      <c r="E72" s="96"/>
      <c r="F72" s="411" t="s">
        <v>47</v>
      </c>
      <c r="G72" s="14" t="s">
        <v>94</v>
      </c>
      <c r="J72" s="412">
        <v>2.4400925983857801E-2</v>
      </c>
      <c r="K72" s="412">
        <v>2.4400925983857801E-2</v>
      </c>
      <c r="L72" s="412">
        <v>2.4400925983857801E-2</v>
      </c>
      <c r="M72" s="412">
        <v>2.4400925983857801E-2</v>
      </c>
      <c r="N72" s="412">
        <v>2.4400925983857801E-2</v>
      </c>
      <c r="O72" s="412">
        <v>2.4400925983857801E-2</v>
      </c>
      <c r="P72" s="412">
        <v>6.6381013698021907E-2</v>
      </c>
      <c r="Q72" s="412">
        <v>2.4400925983857801E-2</v>
      </c>
      <c r="R72" s="412">
        <v>2.4400925983857801E-2</v>
      </c>
      <c r="S72" s="412">
        <v>2.4400925983857801E-2</v>
      </c>
      <c r="T72" s="412">
        <v>2.4400925983857801E-2</v>
      </c>
      <c r="U72" s="412">
        <v>2.4400925983857801E-2</v>
      </c>
      <c r="V72" s="412">
        <v>2.4400925983857801E-2</v>
      </c>
      <c r="W72" s="412">
        <v>2.4400925983857801E-2</v>
      </c>
      <c r="X72" s="412">
        <v>6.6381013698021907E-2</v>
      </c>
      <c r="Y72" s="412">
        <v>6.6381013698021907E-2</v>
      </c>
    </row>
    <row r="73" spans="3:25" x14ac:dyDescent="0.25">
      <c r="D73" s="96"/>
      <c r="E73" s="96"/>
      <c r="F73" s="411" t="s">
        <v>51</v>
      </c>
      <c r="G73" s="14" t="s">
        <v>94</v>
      </c>
      <c r="J73" s="412">
        <v>0</v>
      </c>
      <c r="K73" s="412">
        <v>0</v>
      </c>
      <c r="L73" s="412">
        <v>0</v>
      </c>
      <c r="M73" s="412">
        <v>0</v>
      </c>
      <c r="N73" s="412">
        <v>0</v>
      </c>
      <c r="O73" s="412">
        <v>0</v>
      </c>
      <c r="P73" s="412">
        <v>0</v>
      </c>
      <c r="Q73" s="412">
        <v>0</v>
      </c>
      <c r="R73" s="412">
        <v>0</v>
      </c>
      <c r="S73" s="412">
        <v>0</v>
      </c>
      <c r="T73" s="412">
        <v>0</v>
      </c>
      <c r="U73" s="412">
        <v>0</v>
      </c>
      <c r="V73" s="412">
        <v>0</v>
      </c>
      <c r="W73" s="412">
        <v>0</v>
      </c>
      <c r="X73" s="412">
        <v>0</v>
      </c>
      <c r="Y73" s="412">
        <v>0</v>
      </c>
    </row>
    <row r="74" spans="3:25" x14ac:dyDescent="0.25">
      <c r="D74" s="96"/>
      <c r="E74" s="96"/>
      <c r="F74" s="411" t="s">
        <v>48</v>
      </c>
      <c r="G74" s="14" t="s">
        <v>94</v>
      </c>
      <c r="J74" s="412">
        <v>0.34379931777325301</v>
      </c>
      <c r="K74" s="412">
        <v>0.34379931777325301</v>
      </c>
      <c r="L74" s="412">
        <v>0.34379931777325301</v>
      </c>
      <c r="M74" s="412">
        <v>0.34379931777325301</v>
      </c>
      <c r="N74" s="412">
        <v>0.34379931777325301</v>
      </c>
      <c r="O74" s="412">
        <v>0.34379931777325301</v>
      </c>
      <c r="P74" s="412">
        <v>0.38323267678152101</v>
      </c>
      <c r="Q74" s="412">
        <v>0.34379931777325301</v>
      </c>
      <c r="R74" s="412">
        <v>0.34379931777325301</v>
      </c>
      <c r="S74" s="412">
        <v>0.34379931777325301</v>
      </c>
      <c r="T74" s="412">
        <v>0.34379931777325301</v>
      </c>
      <c r="U74" s="412">
        <v>0.34379931777325301</v>
      </c>
      <c r="V74" s="412">
        <v>0.34379931777325301</v>
      </c>
      <c r="W74" s="412">
        <v>0.34379931777325301</v>
      </c>
      <c r="X74" s="412">
        <v>0.38323267678152101</v>
      </c>
      <c r="Y74" s="412">
        <v>0.38323267678152101</v>
      </c>
    </row>
    <row r="75" spans="3:25" x14ac:dyDescent="0.25">
      <c r="D75" s="96"/>
      <c r="E75" s="96"/>
      <c r="F75" s="411" t="s">
        <v>49</v>
      </c>
      <c r="G75" s="14" t="s">
        <v>94</v>
      </c>
      <c r="J75" s="412">
        <v>0.42351973684210498</v>
      </c>
      <c r="K75" s="412">
        <v>0.42351973684210498</v>
      </c>
      <c r="L75" s="412">
        <v>0.42351973684210498</v>
      </c>
      <c r="M75" s="412">
        <v>0.42351973684210498</v>
      </c>
      <c r="N75" s="412">
        <v>0.42351973684210498</v>
      </c>
      <c r="O75" s="412">
        <v>0.42351973684210498</v>
      </c>
      <c r="P75" s="412">
        <v>0</v>
      </c>
      <c r="Q75" s="412">
        <v>0.42351973684210498</v>
      </c>
      <c r="R75" s="412">
        <v>0.42351973684210498</v>
      </c>
      <c r="S75" s="412">
        <v>0.42351973684210498</v>
      </c>
      <c r="T75" s="412">
        <v>0.42351973684210498</v>
      </c>
      <c r="U75" s="412">
        <v>0.42351973684210498</v>
      </c>
      <c r="V75" s="412">
        <v>0.42351973684210498</v>
      </c>
      <c r="W75" s="412">
        <v>0.42351973684210498</v>
      </c>
      <c r="X75" s="412">
        <v>0</v>
      </c>
      <c r="Y75" s="412">
        <v>0</v>
      </c>
    </row>
    <row r="76" spans="3:25" x14ac:dyDescent="0.25">
      <c r="D76" s="96"/>
      <c r="E76" s="96"/>
      <c r="F76" s="413" t="s">
        <v>50</v>
      </c>
      <c r="G76" s="15" t="s">
        <v>94</v>
      </c>
      <c r="H76" s="93"/>
      <c r="I76" s="93"/>
      <c r="J76" s="284">
        <v>0.95595667870036105</v>
      </c>
      <c r="K76" s="284">
        <v>0.95595667870036105</v>
      </c>
      <c r="L76" s="284">
        <v>0.95595667870036105</v>
      </c>
      <c r="M76" s="284">
        <v>0.95595667870036105</v>
      </c>
      <c r="N76" s="284">
        <v>0.95595667870036105</v>
      </c>
      <c r="O76" s="284">
        <v>0</v>
      </c>
      <c r="P76" s="284">
        <v>0</v>
      </c>
      <c r="Q76" s="284">
        <v>0.95595667870036105</v>
      </c>
      <c r="R76" s="284">
        <v>0.95595667870036105</v>
      </c>
      <c r="S76" s="284">
        <v>0</v>
      </c>
      <c r="T76" s="284">
        <v>0.95595667870036105</v>
      </c>
      <c r="U76" s="284">
        <v>0.95595667870036105</v>
      </c>
      <c r="V76" s="284">
        <v>0</v>
      </c>
      <c r="W76" s="284">
        <v>0</v>
      </c>
      <c r="X76" s="284">
        <v>0</v>
      </c>
      <c r="Y76" s="284">
        <v>0</v>
      </c>
    </row>
    <row r="77" spans="3:25" x14ac:dyDescent="0.25">
      <c r="C77" s="96"/>
      <c r="D77" s="96"/>
      <c r="J77" s="237"/>
      <c r="K77" s="237"/>
      <c r="L77" s="237"/>
      <c r="M77" s="237"/>
      <c r="N77" s="237"/>
      <c r="O77" s="237"/>
      <c r="P77" s="237"/>
      <c r="Q77" s="237"/>
      <c r="R77" s="237"/>
      <c r="S77" s="237"/>
      <c r="T77" s="237"/>
      <c r="U77" s="237"/>
      <c r="V77" s="237"/>
      <c r="W77" s="237"/>
      <c r="X77" s="237"/>
      <c r="Y77" s="237"/>
    </row>
    <row r="78" spans="3:25" x14ac:dyDescent="0.25">
      <c r="E78" s="14" t="s">
        <v>143</v>
      </c>
      <c r="F78" s="14"/>
      <c r="G78" s="14" t="s">
        <v>427</v>
      </c>
      <c r="J78" s="412">
        <f>'Pseudo-load coefficients'!J267</f>
        <v>2.0901539554412625</v>
      </c>
      <c r="K78" s="412">
        <f>'Pseudo-load coefficients'!K267</f>
        <v>2.0901539554412625</v>
      </c>
      <c r="L78" s="412">
        <f>'Pseudo-load coefficients'!L267</f>
        <v>1.4382225505906223</v>
      </c>
      <c r="M78" s="412">
        <f>'Pseudo-load coefficients'!M267</f>
        <v>1.4382225505906223</v>
      </c>
      <c r="N78" s="412">
        <f>'Pseudo-load coefficients'!N267</f>
        <v>1.321213653067566</v>
      </c>
      <c r="O78" s="412">
        <f>'Pseudo-load coefficients'!O267</f>
        <v>1.0640246522506869</v>
      </c>
      <c r="P78" s="412">
        <f>'Pseudo-load coefficients'!P267</f>
        <v>1.0864224960399176</v>
      </c>
      <c r="Q78" s="412">
        <f>'Pseudo-load coefficients'!Q267</f>
        <v>1.9422680087920212</v>
      </c>
      <c r="R78" s="412">
        <f>'Pseudo-load coefficients'!R267</f>
        <v>1</v>
      </c>
      <c r="S78" s="412">
        <f>'Pseudo-load coefficients'!S267</f>
        <v>1</v>
      </c>
      <c r="T78" s="412">
        <f>'Pseudo-load coefficients'!T267</f>
        <v>1</v>
      </c>
      <c r="U78" s="412">
        <f>'Pseudo-load coefficients'!U267</f>
        <v>1</v>
      </c>
      <c r="V78" s="412">
        <f>'Pseudo-load coefficients'!V267</f>
        <v>1</v>
      </c>
      <c r="W78" s="412">
        <f>'Pseudo-load coefficients'!W267</f>
        <v>1</v>
      </c>
      <c r="X78" s="412">
        <f>'Pseudo-load coefficients'!X267</f>
        <v>1</v>
      </c>
      <c r="Y78" s="412">
        <f>'Pseudo-load coefficients'!Y267</f>
        <v>1</v>
      </c>
    </row>
    <row r="79" spans="3:25" x14ac:dyDescent="0.25">
      <c r="D79" s="96"/>
      <c r="J79" s="237"/>
      <c r="K79" s="237"/>
      <c r="L79" s="237"/>
      <c r="M79" s="237"/>
      <c r="N79" s="237"/>
      <c r="O79" s="237"/>
      <c r="P79" s="237"/>
      <c r="Q79" s="237"/>
      <c r="R79" s="237"/>
      <c r="S79" s="237"/>
      <c r="T79" s="237"/>
      <c r="U79" s="237"/>
      <c r="V79" s="237"/>
      <c r="W79" s="237"/>
      <c r="X79" s="237"/>
      <c r="Y79" s="237"/>
    </row>
    <row r="80" spans="3:25" x14ac:dyDescent="0.25">
      <c r="E80" s="96" t="s">
        <v>248</v>
      </c>
      <c r="J80" s="237"/>
      <c r="K80" s="237"/>
      <c r="L80" s="237"/>
      <c r="M80" s="237"/>
      <c r="N80" s="237"/>
      <c r="O80" s="237"/>
      <c r="P80" s="237"/>
      <c r="Q80" s="237"/>
      <c r="R80" s="237"/>
      <c r="S80" s="237"/>
      <c r="T80" s="237"/>
      <c r="U80" s="237"/>
      <c r="V80" s="237"/>
      <c r="W80" s="237"/>
      <c r="X80" s="237"/>
      <c r="Y80" s="237"/>
    </row>
    <row r="81" spans="5:25" x14ac:dyDescent="0.25">
      <c r="E81" s="96"/>
      <c r="F81" s="410" t="s">
        <v>267</v>
      </c>
      <c r="G81" s="16" t="s">
        <v>427</v>
      </c>
      <c r="H81" s="91"/>
      <c r="I81" s="91"/>
      <c r="J81" s="529">
        <f>'Pseudo-load coefficients'!J272</f>
        <v>14.144860268155654</v>
      </c>
      <c r="K81" s="529">
        <f>'Pseudo-load coefficients'!K272</f>
        <v>14.144860268155654</v>
      </c>
      <c r="L81" s="529">
        <f>'Pseudo-load coefficients'!L272</f>
        <v>12.467031654274232</v>
      </c>
      <c r="M81" s="529">
        <f>'Pseudo-load coefficients'!M272</f>
        <v>12.467031654274232</v>
      </c>
      <c r="N81" s="529">
        <f>'Pseudo-load coefficients'!N272</f>
        <v>10.91970204405601</v>
      </c>
      <c r="O81" s="529">
        <f>'Pseudo-load coefficients'!O272</f>
        <v>9.1022229805313177</v>
      </c>
      <c r="P81" s="529">
        <f>'Pseudo-load coefficients'!P272</f>
        <v>9.6346822756543471</v>
      </c>
      <c r="Q81" s="529">
        <f>'Pseudo-load coefficients'!Q272</f>
        <v>22.060966846561783</v>
      </c>
      <c r="R81" s="529">
        <f>'Pseudo-load coefficients'!R272</f>
        <v>9.6000295963804945</v>
      </c>
      <c r="S81" s="529">
        <f>'Pseudo-load coefficients'!S272</f>
        <v>9.6000295963804945</v>
      </c>
      <c r="T81" s="529">
        <f>'Pseudo-load coefficients'!T272</f>
        <v>9.6000295963804945</v>
      </c>
      <c r="U81" s="529">
        <f>'Pseudo-load coefficients'!U272</f>
        <v>9.6000295963804945</v>
      </c>
      <c r="V81" s="529">
        <f>'Pseudo-load coefficients'!V272</f>
        <v>9.6000295963804945</v>
      </c>
      <c r="W81" s="529">
        <f>'Pseudo-load coefficients'!W272</f>
        <v>9.6000295963804945</v>
      </c>
      <c r="X81" s="529">
        <f>'Pseudo-load coefficients'!X272</f>
        <v>9.6000295963804945</v>
      </c>
      <c r="Y81" s="529">
        <f>'Pseudo-load coefficients'!Y272</f>
        <v>9.6000295963804945</v>
      </c>
    </row>
    <row r="82" spans="5:25" x14ac:dyDescent="0.25">
      <c r="E82" s="96"/>
      <c r="F82" s="411" t="s">
        <v>43</v>
      </c>
      <c r="G82" s="14" t="s">
        <v>427</v>
      </c>
      <c r="J82" s="412">
        <f>'Pseudo-load coefficients'!J272</f>
        <v>14.144860268155654</v>
      </c>
      <c r="K82" s="412">
        <f>'Pseudo-load coefficients'!K272</f>
        <v>14.144860268155654</v>
      </c>
      <c r="L82" s="412">
        <f>'Pseudo-load coefficients'!L272</f>
        <v>12.467031654274232</v>
      </c>
      <c r="M82" s="412">
        <f>'Pseudo-load coefficients'!M272</f>
        <v>12.467031654274232</v>
      </c>
      <c r="N82" s="412">
        <f>'Pseudo-load coefficients'!N272</f>
        <v>10.91970204405601</v>
      </c>
      <c r="O82" s="412">
        <f>'Pseudo-load coefficients'!O272</f>
        <v>9.1022229805313177</v>
      </c>
      <c r="P82" s="412">
        <f>'Pseudo-load coefficients'!P272</f>
        <v>9.6346822756543471</v>
      </c>
      <c r="Q82" s="412">
        <f>'Pseudo-load coefficients'!Q272</f>
        <v>22.060966846561783</v>
      </c>
      <c r="R82" s="412">
        <f>'Pseudo-load coefficients'!R272</f>
        <v>9.6000295963804945</v>
      </c>
      <c r="S82" s="412">
        <f>'Pseudo-load coefficients'!S272</f>
        <v>9.6000295963804945</v>
      </c>
      <c r="T82" s="412">
        <f>'Pseudo-load coefficients'!T272</f>
        <v>9.6000295963804945</v>
      </c>
      <c r="U82" s="412">
        <f>'Pseudo-load coefficients'!U272</f>
        <v>9.6000295963804945</v>
      </c>
      <c r="V82" s="412">
        <f>'Pseudo-load coefficients'!V272</f>
        <v>9.6000295963804945</v>
      </c>
      <c r="W82" s="412">
        <f>'Pseudo-load coefficients'!W272</f>
        <v>9.6000295963804945</v>
      </c>
      <c r="X82" s="412">
        <f>'Pseudo-load coefficients'!X272</f>
        <v>9.6000295963804945</v>
      </c>
      <c r="Y82" s="412">
        <f>'Pseudo-load coefficients'!Y272</f>
        <v>9.6000295963804945</v>
      </c>
    </row>
    <row r="83" spans="5:25" x14ac:dyDescent="0.25">
      <c r="E83" s="96"/>
      <c r="F83" s="411" t="s">
        <v>44</v>
      </c>
      <c r="G83" s="14" t="s">
        <v>427</v>
      </c>
      <c r="J83" s="412">
        <f>'Pseudo-load coefficients'!J273</f>
        <v>12.357295969740175</v>
      </c>
      <c r="K83" s="412">
        <f>'Pseudo-load coefficients'!K273</f>
        <v>12.357295969740175</v>
      </c>
      <c r="L83" s="412">
        <f>'Pseudo-load coefficients'!L273</f>
        <v>10.891503846299493</v>
      </c>
      <c r="M83" s="412">
        <f>'Pseudo-load coefficients'!M273</f>
        <v>10.891503846299493</v>
      </c>
      <c r="N83" s="412">
        <f>'Pseudo-load coefficients'!N273</f>
        <v>9.5397188449830796</v>
      </c>
      <c r="O83" s="412">
        <f>'Pseudo-load coefficients'!O273</f>
        <v>7.9519246723292065</v>
      </c>
      <c r="P83" s="412">
        <f>'Pseudo-load coefficients'!P273</f>
        <v>8.417094138618495</v>
      </c>
      <c r="Q83" s="412">
        <f>'Pseudo-load coefficients'!Q273</f>
        <v>22.681368691552095</v>
      </c>
      <c r="R83" s="412">
        <f>'Pseudo-load coefficients'!R273</f>
        <v>8.3868207102626471</v>
      </c>
      <c r="S83" s="412">
        <f>'Pseudo-load coefficients'!S273</f>
        <v>8.3868207102626471</v>
      </c>
      <c r="T83" s="412">
        <f>'Pseudo-load coefficients'!T273</f>
        <v>8.3868207102626471</v>
      </c>
      <c r="U83" s="412">
        <f>'Pseudo-load coefficients'!U273</f>
        <v>8.3868207102626471</v>
      </c>
      <c r="V83" s="412">
        <f>'Pseudo-load coefficients'!V273</f>
        <v>8.3868207102626471</v>
      </c>
      <c r="W83" s="412">
        <f>'Pseudo-load coefficients'!W273</f>
        <v>8.3868207102626471</v>
      </c>
      <c r="X83" s="412">
        <f>'Pseudo-load coefficients'!X273</f>
        <v>8.3868207102626471</v>
      </c>
      <c r="Y83" s="412">
        <f>'Pseudo-load coefficients'!Y273</f>
        <v>8.3868207102626471</v>
      </c>
    </row>
    <row r="84" spans="5:25" x14ac:dyDescent="0.25">
      <c r="E84" s="96"/>
      <c r="F84" s="411" t="s">
        <v>45</v>
      </c>
      <c r="G84" s="14" t="s">
        <v>427</v>
      </c>
      <c r="J84" s="412">
        <f>'Pseudo-load coefficients'!J274</f>
        <v>12.357295969740175</v>
      </c>
      <c r="K84" s="412">
        <f>'Pseudo-load coefficients'!K274</f>
        <v>12.357295969740175</v>
      </c>
      <c r="L84" s="412">
        <f>'Pseudo-load coefficients'!L274</f>
        <v>10.891503846299493</v>
      </c>
      <c r="M84" s="412">
        <f>'Pseudo-load coefficients'!M274</f>
        <v>10.891503846299493</v>
      </c>
      <c r="N84" s="412">
        <f>'Pseudo-load coefficients'!N274</f>
        <v>9.5397188449830796</v>
      </c>
      <c r="O84" s="412">
        <f>'Pseudo-load coefficients'!O274</f>
        <v>7.9519246723292065</v>
      </c>
      <c r="P84" s="412">
        <f>'Pseudo-load coefficients'!P274</f>
        <v>8.417094138618495</v>
      </c>
      <c r="Q84" s="412">
        <f>'Pseudo-load coefficients'!Q274</f>
        <v>22.681368691552095</v>
      </c>
      <c r="R84" s="412">
        <f>'Pseudo-load coefficients'!R274</f>
        <v>8.3868207102626471</v>
      </c>
      <c r="S84" s="412">
        <f>'Pseudo-load coefficients'!S274</f>
        <v>8.3868207102626471</v>
      </c>
      <c r="T84" s="412">
        <f>'Pseudo-load coefficients'!T274</f>
        <v>8.3868207102626471</v>
      </c>
      <c r="U84" s="412">
        <f>'Pseudo-load coefficients'!U274</f>
        <v>8.3868207102626471</v>
      </c>
      <c r="V84" s="412">
        <f>'Pseudo-load coefficients'!V274</f>
        <v>8.3868207102626471</v>
      </c>
      <c r="W84" s="412">
        <f>'Pseudo-load coefficients'!W274</f>
        <v>8.3868207102626471</v>
      </c>
      <c r="X84" s="412">
        <f>'Pseudo-load coefficients'!X274</f>
        <v>8.3868207102626471</v>
      </c>
      <c r="Y84" s="412">
        <f>'Pseudo-load coefficients'!Y274</f>
        <v>8.3868207102626471</v>
      </c>
    </row>
    <row r="85" spans="5:25" x14ac:dyDescent="0.25">
      <c r="E85" s="96"/>
      <c r="F85" s="411" t="s">
        <v>46</v>
      </c>
      <c r="G85" s="14" t="s">
        <v>427</v>
      </c>
      <c r="J85" s="412">
        <f>'Pseudo-load coefficients'!J275</f>
        <v>10.204432841171808</v>
      </c>
      <c r="K85" s="412">
        <f>'Pseudo-load coefficients'!K275</f>
        <v>10.204432841171808</v>
      </c>
      <c r="L85" s="412">
        <f>'Pseudo-load coefficients'!L275</f>
        <v>8.9940080589705644</v>
      </c>
      <c r="M85" s="412">
        <f>'Pseudo-load coefficients'!M275</f>
        <v>8.9940080589705644</v>
      </c>
      <c r="N85" s="412">
        <f>'Pseudo-load coefficients'!N275</f>
        <v>7.8777283084964216</v>
      </c>
      <c r="O85" s="412">
        <f>'Pseudo-load coefficients'!O275</f>
        <v>6.5665564275180728</v>
      </c>
      <c r="P85" s="412">
        <f>'Pseudo-load coefficients'!P275</f>
        <v>6.950685009542525</v>
      </c>
      <c r="Q85" s="412">
        <f>'Pseudo-load coefficients'!Q275</f>
        <v>18.789092721751611</v>
      </c>
      <c r="R85" s="412">
        <f>'Pseudo-load coefficients'!R275</f>
        <v>6.9256857566893322</v>
      </c>
      <c r="S85" s="412">
        <f>'Pseudo-load coefficients'!S275</f>
        <v>6.9256857566893322</v>
      </c>
      <c r="T85" s="412">
        <f>'Pseudo-load coefficients'!T275</f>
        <v>6.9256857566893322</v>
      </c>
      <c r="U85" s="412">
        <f>'Pseudo-load coefficients'!U275</f>
        <v>6.9256857566893322</v>
      </c>
      <c r="V85" s="412">
        <f>'Pseudo-load coefficients'!V275</f>
        <v>6.9256857566893322</v>
      </c>
      <c r="W85" s="412">
        <f>'Pseudo-load coefficients'!W275</f>
        <v>6.9256857566893322</v>
      </c>
      <c r="X85" s="412">
        <f>'Pseudo-load coefficients'!X275</f>
        <v>6.9256857566893322</v>
      </c>
      <c r="Y85" s="412">
        <f>'Pseudo-load coefficients'!Y275</f>
        <v>6.9256857566893322</v>
      </c>
    </row>
    <row r="86" spans="5:25" x14ac:dyDescent="0.25">
      <c r="E86" s="96"/>
      <c r="F86" s="411" t="s">
        <v>47</v>
      </c>
      <c r="G86" s="14" t="s">
        <v>427</v>
      </c>
      <c r="J86" s="412">
        <f>'Pseudo-load coefficients'!J276</f>
        <v>10.204432841171808</v>
      </c>
      <c r="K86" s="412">
        <f>'Pseudo-load coefficients'!K276</f>
        <v>10.204432841171808</v>
      </c>
      <c r="L86" s="412">
        <f>'Pseudo-load coefficients'!L276</f>
        <v>8.9940080589705644</v>
      </c>
      <c r="M86" s="412">
        <f>'Pseudo-load coefficients'!M276</f>
        <v>8.9940080589705644</v>
      </c>
      <c r="N86" s="412">
        <f>'Pseudo-load coefficients'!N276</f>
        <v>7.8777283084964216</v>
      </c>
      <c r="O86" s="412">
        <f>'Pseudo-load coefficients'!O276</f>
        <v>6.5665564275180728</v>
      </c>
      <c r="P86" s="412">
        <f>'Pseudo-load coefficients'!P276</f>
        <v>6.950685009542525</v>
      </c>
      <c r="Q86" s="412">
        <f>'Pseudo-load coefficients'!Q276</f>
        <v>18.789092721751611</v>
      </c>
      <c r="R86" s="412">
        <f>'Pseudo-load coefficients'!R276</f>
        <v>6.9256857566893322</v>
      </c>
      <c r="S86" s="412">
        <f>'Pseudo-load coefficients'!S276</f>
        <v>6.9256857566893322</v>
      </c>
      <c r="T86" s="412">
        <f>'Pseudo-load coefficients'!T276</f>
        <v>6.9256857566893322</v>
      </c>
      <c r="U86" s="412">
        <f>'Pseudo-load coefficients'!U276</f>
        <v>6.9256857566893322</v>
      </c>
      <c r="V86" s="412">
        <f>'Pseudo-load coefficients'!V276</f>
        <v>6.9256857566893322</v>
      </c>
      <c r="W86" s="412">
        <f>'Pseudo-load coefficients'!W276</f>
        <v>6.9256857566893322</v>
      </c>
      <c r="X86" s="412">
        <f>'Pseudo-load coefficients'!X276</f>
        <v>6.9256857566893322</v>
      </c>
      <c r="Y86" s="412">
        <f>'Pseudo-load coefficients'!Y276</f>
        <v>6.9256857566893322</v>
      </c>
    </row>
    <row r="87" spans="5:25" x14ac:dyDescent="0.25">
      <c r="E87" s="96"/>
      <c r="F87" s="411" t="s">
        <v>51</v>
      </c>
      <c r="G87" s="14" t="s">
        <v>427</v>
      </c>
      <c r="J87" s="412">
        <f>'Pseudo-load coefficients'!J277</f>
        <v>0</v>
      </c>
      <c r="K87" s="412">
        <f>'Pseudo-load coefficients'!K277</f>
        <v>0</v>
      </c>
      <c r="L87" s="412">
        <f>'Pseudo-load coefficients'!L277</f>
        <v>0</v>
      </c>
      <c r="M87" s="412">
        <f>'Pseudo-load coefficients'!M277</f>
        <v>0</v>
      </c>
      <c r="N87" s="412">
        <f>'Pseudo-load coefficients'!N277</f>
        <v>0</v>
      </c>
      <c r="O87" s="412">
        <f>'Pseudo-load coefficients'!O277</f>
        <v>0</v>
      </c>
      <c r="P87" s="412">
        <f>'Pseudo-load coefficients'!P277</f>
        <v>0</v>
      </c>
      <c r="Q87" s="412">
        <f>'Pseudo-load coefficients'!Q277</f>
        <v>0</v>
      </c>
      <c r="R87" s="412">
        <f>'Pseudo-load coefficients'!R277</f>
        <v>0</v>
      </c>
      <c r="S87" s="412">
        <f>'Pseudo-load coefficients'!S277</f>
        <v>0</v>
      </c>
      <c r="T87" s="412">
        <f>'Pseudo-load coefficients'!T277</f>
        <v>0</v>
      </c>
      <c r="U87" s="412">
        <f>'Pseudo-load coefficients'!U277</f>
        <v>0</v>
      </c>
      <c r="V87" s="412">
        <f>'Pseudo-load coefficients'!V277</f>
        <v>0</v>
      </c>
      <c r="W87" s="412">
        <f>'Pseudo-load coefficients'!W277</f>
        <v>0</v>
      </c>
      <c r="X87" s="412">
        <f>'Pseudo-load coefficients'!X277</f>
        <v>0</v>
      </c>
      <c r="Y87" s="412">
        <f>'Pseudo-load coefficients'!Y277</f>
        <v>0</v>
      </c>
    </row>
    <row r="88" spans="5:25" x14ac:dyDescent="0.25">
      <c r="E88" s="96"/>
      <c r="F88" s="411" t="s">
        <v>48</v>
      </c>
      <c r="G88" s="14" t="s">
        <v>427</v>
      </c>
      <c r="J88" s="412">
        <f>'Pseudo-load coefficients'!J278</f>
        <v>6.3043754713967681</v>
      </c>
      <c r="K88" s="412">
        <f>'Pseudo-load coefficients'!K278</f>
        <v>6.3043754713967681</v>
      </c>
      <c r="L88" s="412">
        <f>'Pseudo-load coefficients'!L278</f>
        <v>5.5565659237566853</v>
      </c>
      <c r="M88" s="412">
        <f>'Pseudo-load coefficients'!M278</f>
        <v>5.5565659237566853</v>
      </c>
      <c r="N88" s="412">
        <f>'Pseudo-load coefficients'!N278</f>
        <v>4.8669198858395051</v>
      </c>
      <c r="O88" s="412">
        <f>'Pseudo-load coefficients'!O278</f>
        <v>4.0568680217247488</v>
      </c>
      <c r="P88" s="412">
        <f>'Pseudo-load coefficients'!P278</f>
        <v>4.2941855530437447</v>
      </c>
      <c r="Q88" s="412">
        <f>'Pseudo-load coefficients'!Q278</f>
        <v>11.063552514375854</v>
      </c>
      <c r="R88" s="412">
        <f>'Pseudo-load coefficients'!R278</f>
        <v>4.2787408263309548</v>
      </c>
      <c r="S88" s="412">
        <f>'Pseudo-load coefficients'!S278</f>
        <v>4.2787408263309548</v>
      </c>
      <c r="T88" s="412">
        <f>'Pseudo-load coefficients'!T278</f>
        <v>4.2787408263309548</v>
      </c>
      <c r="U88" s="412">
        <f>'Pseudo-load coefficients'!U278</f>
        <v>4.2787408263309548</v>
      </c>
      <c r="V88" s="412">
        <f>'Pseudo-load coefficients'!V278</f>
        <v>4.2787408263309548</v>
      </c>
      <c r="W88" s="412">
        <f>'Pseudo-load coefficients'!W278</f>
        <v>4.2787408263309548</v>
      </c>
      <c r="X88" s="412">
        <f>'Pseudo-load coefficients'!X278</f>
        <v>4.2787408263309548</v>
      </c>
      <c r="Y88" s="412">
        <f>'Pseudo-load coefficients'!Y278</f>
        <v>4.2787408263309548</v>
      </c>
    </row>
    <row r="89" spans="5:25" x14ac:dyDescent="0.25">
      <c r="E89" s="96"/>
      <c r="F89" s="411" t="s">
        <v>49</v>
      </c>
      <c r="G89" s="14" t="s">
        <v>427</v>
      </c>
      <c r="J89" s="412">
        <f>'Pseudo-load coefficients'!J279</f>
        <v>6.3043754713967681</v>
      </c>
      <c r="K89" s="412">
        <f>'Pseudo-load coefficients'!K279</f>
        <v>6.3043754713967681</v>
      </c>
      <c r="L89" s="412">
        <f>'Pseudo-load coefficients'!L279</f>
        <v>5.5565659237566853</v>
      </c>
      <c r="M89" s="412">
        <f>'Pseudo-load coefficients'!M279</f>
        <v>5.5565659237566853</v>
      </c>
      <c r="N89" s="412">
        <f>'Pseudo-load coefficients'!N279</f>
        <v>4.8669198858395051</v>
      </c>
      <c r="O89" s="412">
        <f>'Pseudo-load coefficients'!O279</f>
        <v>4.0568680217247488</v>
      </c>
      <c r="P89" s="412">
        <f>'Pseudo-load coefficients'!P279</f>
        <v>4.2941855530437447</v>
      </c>
      <c r="Q89" s="412">
        <f>'Pseudo-load coefficients'!Q279</f>
        <v>11.063552514375854</v>
      </c>
      <c r="R89" s="412">
        <f>'Pseudo-load coefficients'!R279</f>
        <v>4.2787408263309548</v>
      </c>
      <c r="S89" s="412">
        <f>'Pseudo-load coefficients'!S279</f>
        <v>4.2787408263309548</v>
      </c>
      <c r="T89" s="412">
        <f>'Pseudo-load coefficients'!T279</f>
        <v>4.2787408263309548</v>
      </c>
      <c r="U89" s="412">
        <f>'Pseudo-load coefficients'!U279</f>
        <v>4.2787408263309548</v>
      </c>
      <c r="V89" s="412">
        <f>'Pseudo-load coefficients'!V279</f>
        <v>4.2787408263309548</v>
      </c>
      <c r="W89" s="412">
        <f>'Pseudo-load coefficients'!W279</f>
        <v>4.2787408263309548</v>
      </c>
      <c r="X89" s="412">
        <f>'Pseudo-load coefficients'!X279</f>
        <v>4.2787408263309548</v>
      </c>
      <c r="Y89" s="412">
        <f>'Pseudo-load coefficients'!Y279</f>
        <v>4.2787408263309548</v>
      </c>
    </row>
    <row r="90" spans="5:25" x14ac:dyDescent="0.25">
      <c r="E90" s="96"/>
      <c r="F90" s="413" t="s">
        <v>50</v>
      </c>
      <c r="G90" s="15" t="s">
        <v>427</v>
      </c>
      <c r="H90" s="93"/>
      <c r="I90" s="93"/>
      <c r="J90" s="284">
        <f>'Pseudo-load coefficients'!J280</f>
        <v>6.3043754713967681</v>
      </c>
      <c r="K90" s="284">
        <f>'Pseudo-load coefficients'!K280</f>
        <v>6.3043754713967681</v>
      </c>
      <c r="L90" s="284">
        <f>'Pseudo-load coefficients'!L280</f>
        <v>5.5565659237566853</v>
      </c>
      <c r="M90" s="284">
        <f>'Pseudo-load coefficients'!M280</f>
        <v>5.5565659237566853</v>
      </c>
      <c r="N90" s="284">
        <f>'Pseudo-load coefficients'!N280</f>
        <v>4.8669198858395051</v>
      </c>
      <c r="O90" s="284">
        <f>'Pseudo-load coefficients'!O280</f>
        <v>4.0568680217247488</v>
      </c>
      <c r="P90" s="284">
        <f>'Pseudo-load coefficients'!P280</f>
        <v>4.2941855530437447</v>
      </c>
      <c r="Q90" s="284">
        <f>'Pseudo-load coefficients'!Q280</f>
        <v>11.063552514375854</v>
      </c>
      <c r="R90" s="284">
        <f>'Pseudo-load coefficients'!R280</f>
        <v>4.2787408263309548</v>
      </c>
      <c r="S90" s="284">
        <f>'Pseudo-load coefficients'!S280</f>
        <v>4.2787408263309548</v>
      </c>
      <c r="T90" s="284">
        <f>'Pseudo-load coefficients'!T280</f>
        <v>4.2787408263309548</v>
      </c>
      <c r="U90" s="284">
        <f>'Pseudo-load coefficients'!U280</f>
        <v>4.2787408263309548</v>
      </c>
      <c r="V90" s="284">
        <f>'Pseudo-load coefficients'!V280</f>
        <v>4.2787408263309548</v>
      </c>
      <c r="W90" s="284">
        <f>'Pseudo-load coefficients'!W280</f>
        <v>4.2787408263309548</v>
      </c>
      <c r="X90" s="284">
        <f>'Pseudo-load coefficients'!X280</f>
        <v>4.2787408263309548</v>
      </c>
      <c r="Y90" s="284">
        <f>'Pseudo-load coefficients'!Y280</f>
        <v>4.2787408263309548</v>
      </c>
    </row>
    <row r="91" spans="5:25" x14ac:dyDescent="0.25">
      <c r="E91" s="96"/>
      <c r="J91" s="237"/>
      <c r="K91" s="237"/>
      <c r="L91" s="237"/>
      <c r="M91" s="237"/>
      <c r="N91" s="237"/>
      <c r="O91" s="237"/>
      <c r="P91" s="237"/>
      <c r="Q91" s="237"/>
      <c r="R91" s="237"/>
      <c r="S91" s="237"/>
      <c r="T91" s="237"/>
      <c r="U91" s="237"/>
      <c r="V91" s="237"/>
      <c r="W91" s="237"/>
      <c r="X91" s="237"/>
      <c r="Y91" s="237"/>
    </row>
    <row r="92" spans="5:25" x14ac:dyDescent="0.25">
      <c r="E92" s="96" t="s">
        <v>249</v>
      </c>
      <c r="J92" s="237"/>
      <c r="K92" s="237"/>
      <c r="L92" s="237"/>
      <c r="M92" s="237"/>
      <c r="N92" s="237"/>
      <c r="O92" s="237"/>
      <c r="P92" s="237"/>
      <c r="Q92" s="237"/>
      <c r="R92" s="237"/>
      <c r="S92" s="237"/>
      <c r="T92" s="237"/>
      <c r="U92" s="237"/>
      <c r="V92" s="237"/>
      <c r="W92" s="237"/>
      <c r="X92" s="237"/>
      <c r="Y92" s="237"/>
    </row>
    <row r="93" spans="5:25" x14ac:dyDescent="0.25">
      <c r="E93" s="96"/>
      <c r="F93" s="410" t="s">
        <v>267</v>
      </c>
      <c r="G93" s="16" t="s">
        <v>427</v>
      </c>
      <c r="H93" s="91"/>
      <c r="I93" s="91"/>
      <c r="J93" s="529">
        <f>'Pseudo-load coefficients'!J283</f>
        <v>0.43477145606027906</v>
      </c>
      <c r="K93" s="529">
        <f>'Pseudo-load coefficients'!K283</f>
        <v>0.43477145606027906</v>
      </c>
      <c r="L93" s="529">
        <f>'Pseudo-load coefficients'!L283</f>
        <v>0.3831999328604998</v>
      </c>
      <c r="M93" s="529">
        <f>'Pseudo-load coefficients'!M283</f>
        <v>0.3831999328604998</v>
      </c>
      <c r="N93" s="529">
        <f>'Pseudo-load coefficients'!N283</f>
        <v>0.33563956571044112</v>
      </c>
      <c r="O93" s="529">
        <f>'Pseudo-load coefficients'!O283</f>
        <v>0.27977559789262851</v>
      </c>
      <c r="P93" s="529">
        <f>'Pseudo-load coefficients'!P283</f>
        <v>0.29614183259871762</v>
      </c>
      <c r="Q93" s="529">
        <f>'Pseudo-load coefficients'!Q283</f>
        <v>0.56980591634435029</v>
      </c>
      <c r="R93" s="529">
        <f>'Pseudo-load coefficients'!R283</f>
        <v>0.29507671102532174</v>
      </c>
      <c r="S93" s="529">
        <f>'Pseudo-load coefficients'!S283</f>
        <v>0.29507671102532174</v>
      </c>
      <c r="T93" s="529">
        <f>'Pseudo-load coefficients'!T283</f>
        <v>0.29507671102532174</v>
      </c>
      <c r="U93" s="529">
        <f>'Pseudo-load coefficients'!U283</f>
        <v>0.29507671102532174</v>
      </c>
      <c r="V93" s="529">
        <f>'Pseudo-load coefficients'!V283</f>
        <v>0.29507671102532174</v>
      </c>
      <c r="W93" s="529">
        <f>'Pseudo-load coefficients'!W283</f>
        <v>0.29507671102532174</v>
      </c>
      <c r="X93" s="529">
        <f>'Pseudo-load coefficients'!X283</f>
        <v>0.29507671102532174</v>
      </c>
      <c r="Y93" s="529">
        <f>'Pseudo-load coefficients'!Y283</f>
        <v>0.29507671102532174</v>
      </c>
    </row>
    <row r="94" spans="5:25" x14ac:dyDescent="0.25">
      <c r="E94" s="96"/>
      <c r="F94" s="411" t="s">
        <v>43</v>
      </c>
      <c r="G94" s="14" t="s">
        <v>427</v>
      </c>
      <c r="J94" s="412">
        <f>'Pseudo-load coefficients'!J283</f>
        <v>0.43477145606027906</v>
      </c>
      <c r="K94" s="412">
        <f>'Pseudo-load coefficients'!K283</f>
        <v>0.43477145606027906</v>
      </c>
      <c r="L94" s="412">
        <f>'Pseudo-load coefficients'!L283</f>
        <v>0.3831999328604998</v>
      </c>
      <c r="M94" s="412">
        <f>'Pseudo-load coefficients'!M283</f>
        <v>0.3831999328604998</v>
      </c>
      <c r="N94" s="412">
        <f>'Pseudo-load coefficients'!N283</f>
        <v>0.33563956571044112</v>
      </c>
      <c r="O94" s="412">
        <f>'Pseudo-load coefficients'!O283</f>
        <v>0.27977559789262851</v>
      </c>
      <c r="P94" s="412">
        <f>'Pseudo-load coefficients'!P283</f>
        <v>0.29614183259871762</v>
      </c>
      <c r="Q94" s="412">
        <f>'Pseudo-load coefficients'!Q283</f>
        <v>0.56980591634435029</v>
      </c>
      <c r="R94" s="412">
        <f>'Pseudo-load coefficients'!R283</f>
        <v>0.29507671102532174</v>
      </c>
      <c r="S94" s="412">
        <f>'Pseudo-load coefficients'!S283</f>
        <v>0.29507671102532174</v>
      </c>
      <c r="T94" s="412">
        <f>'Pseudo-load coefficients'!T283</f>
        <v>0.29507671102532174</v>
      </c>
      <c r="U94" s="412">
        <f>'Pseudo-load coefficients'!U283</f>
        <v>0.29507671102532174</v>
      </c>
      <c r="V94" s="412">
        <f>'Pseudo-load coefficients'!V283</f>
        <v>0.29507671102532174</v>
      </c>
      <c r="W94" s="412">
        <f>'Pseudo-load coefficients'!W283</f>
        <v>0.29507671102532174</v>
      </c>
      <c r="X94" s="412">
        <f>'Pseudo-load coefficients'!X283</f>
        <v>0.29507671102532174</v>
      </c>
      <c r="Y94" s="412">
        <f>'Pseudo-load coefficients'!Y283</f>
        <v>0.29507671102532174</v>
      </c>
    </row>
    <row r="95" spans="5:25" x14ac:dyDescent="0.25">
      <c r="E95" s="96"/>
      <c r="F95" s="411" t="s">
        <v>44</v>
      </c>
      <c r="G95" s="14" t="s">
        <v>427</v>
      </c>
      <c r="J95" s="412">
        <f>'Pseudo-load coefficients'!J284</f>
        <v>0.72666991631636735</v>
      </c>
      <c r="K95" s="412">
        <f>'Pseudo-load coefficients'!K284</f>
        <v>0.72666991631636735</v>
      </c>
      <c r="L95" s="412">
        <f>'Pseudo-load coefficients'!L284</f>
        <v>0.64047411407240551</v>
      </c>
      <c r="M95" s="412">
        <f>'Pseudo-load coefficients'!M284</f>
        <v>0.64047411407240551</v>
      </c>
      <c r="N95" s="412">
        <f>'Pseudo-load coefficients'!N284</f>
        <v>0.56098249258905497</v>
      </c>
      <c r="O95" s="412">
        <f>'Pseudo-load coefficients'!O284</f>
        <v>0.46761236846195076</v>
      </c>
      <c r="P95" s="412">
        <f>'Pseudo-load coefficients'!P284</f>
        <v>0.49496662605755265</v>
      </c>
      <c r="Q95" s="412">
        <f>'Pseudo-load coefficients'!Q284</f>
        <v>0.52171916269370811</v>
      </c>
      <c r="R95" s="412">
        <f>'Pseudo-load coefficients'!R284</f>
        <v>0.49318639924225077</v>
      </c>
      <c r="S95" s="412">
        <f>'Pseudo-load coefficients'!S284</f>
        <v>0.49318639924225077</v>
      </c>
      <c r="T95" s="412">
        <f>'Pseudo-load coefficients'!T284</f>
        <v>0.49318639924225077</v>
      </c>
      <c r="U95" s="412">
        <f>'Pseudo-load coefficients'!U284</f>
        <v>0.49318639924225077</v>
      </c>
      <c r="V95" s="412">
        <f>'Pseudo-load coefficients'!V284</f>
        <v>0.49318639924225077</v>
      </c>
      <c r="W95" s="412">
        <f>'Pseudo-load coefficients'!W284</f>
        <v>0.49318639924225077</v>
      </c>
      <c r="X95" s="412">
        <f>'Pseudo-load coefficients'!X284</f>
        <v>0.49318639924225077</v>
      </c>
      <c r="Y95" s="412">
        <f>'Pseudo-load coefficients'!Y284</f>
        <v>0.49318639924225077</v>
      </c>
    </row>
    <row r="96" spans="5:25" x14ac:dyDescent="0.25">
      <c r="E96" s="96"/>
      <c r="F96" s="411" t="s">
        <v>45</v>
      </c>
      <c r="G96" s="14" t="s">
        <v>427</v>
      </c>
      <c r="J96" s="412">
        <f>'Pseudo-load coefficients'!J285</f>
        <v>0.72666991631636735</v>
      </c>
      <c r="K96" s="412">
        <f>'Pseudo-load coefficients'!K285</f>
        <v>0.72666991631636735</v>
      </c>
      <c r="L96" s="412">
        <f>'Pseudo-load coefficients'!L285</f>
        <v>0.64047411407240551</v>
      </c>
      <c r="M96" s="412">
        <f>'Pseudo-load coefficients'!M285</f>
        <v>0.64047411407240551</v>
      </c>
      <c r="N96" s="412">
        <f>'Pseudo-load coefficients'!N285</f>
        <v>0.56098249258905497</v>
      </c>
      <c r="O96" s="412">
        <f>'Pseudo-load coefficients'!O285</f>
        <v>0.46761236846195076</v>
      </c>
      <c r="P96" s="412">
        <f>'Pseudo-load coefficients'!P285</f>
        <v>0.49496662605755265</v>
      </c>
      <c r="Q96" s="412">
        <f>'Pseudo-load coefficients'!Q285</f>
        <v>0.52171916269370811</v>
      </c>
      <c r="R96" s="412">
        <f>'Pseudo-load coefficients'!R285</f>
        <v>0.49318639924225077</v>
      </c>
      <c r="S96" s="412">
        <f>'Pseudo-load coefficients'!S285</f>
        <v>0.49318639924225077</v>
      </c>
      <c r="T96" s="412">
        <f>'Pseudo-load coefficients'!T285</f>
        <v>0.49318639924225077</v>
      </c>
      <c r="U96" s="412">
        <f>'Pseudo-load coefficients'!U285</f>
        <v>0.49318639924225077</v>
      </c>
      <c r="V96" s="412">
        <f>'Pseudo-load coefficients'!V285</f>
        <v>0.49318639924225077</v>
      </c>
      <c r="W96" s="412">
        <f>'Pseudo-load coefficients'!W285</f>
        <v>0.49318639924225077</v>
      </c>
      <c r="X96" s="412">
        <f>'Pseudo-load coefficients'!X285</f>
        <v>0.49318639924225077</v>
      </c>
      <c r="Y96" s="412">
        <f>'Pseudo-load coefficients'!Y285</f>
        <v>0.49318639924225077</v>
      </c>
    </row>
    <row r="97" spans="3:25" x14ac:dyDescent="0.25">
      <c r="E97" s="96"/>
      <c r="F97" s="411" t="s">
        <v>46</v>
      </c>
      <c r="G97" s="14" t="s">
        <v>427</v>
      </c>
      <c r="J97" s="412">
        <f>'Pseudo-load coefficients'!J286</f>
        <v>1.0956395657295968</v>
      </c>
      <c r="K97" s="412">
        <f>'Pseudo-load coefficients'!K286</f>
        <v>1.0956395657295968</v>
      </c>
      <c r="L97" s="412">
        <f>'Pseudo-load coefficients'!L286</f>
        <v>0.96567748911436924</v>
      </c>
      <c r="M97" s="412">
        <f>'Pseudo-load coefficients'!M286</f>
        <v>0.96567748911436924</v>
      </c>
      <c r="N97" s="412">
        <f>'Pseudo-load coefficients'!N286</f>
        <v>0.84582366871313797</v>
      </c>
      <c r="O97" s="412">
        <f>'Pseudo-load coefficients'!O286</f>
        <v>0.70504447866586339</v>
      </c>
      <c r="P97" s="412">
        <f>'Pseudo-load coefficients'!P286</f>
        <v>0.74628797346309772</v>
      </c>
      <c r="Q97" s="412">
        <f>'Pseudo-load coefficients'!Q286</f>
        <v>0.72067364937650136</v>
      </c>
      <c r="R97" s="412">
        <f>'Pseudo-load coefficients'!R286</f>
        <v>0.74360382913426004</v>
      </c>
      <c r="S97" s="412">
        <f>'Pseudo-load coefficients'!S286</f>
        <v>0.74360382913426004</v>
      </c>
      <c r="T97" s="412">
        <f>'Pseudo-load coefficients'!T286</f>
        <v>0.74360382913426004</v>
      </c>
      <c r="U97" s="412">
        <f>'Pseudo-load coefficients'!U286</f>
        <v>0.74360382913426004</v>
      </c>
      <c r="V97" s="412">
        <f>'Pseudo-load coefficients'!V286</f>
        <v>0.74360382913426004</v>
      </c>
      <c r="W97" s="412">
        <f>'Pseudo-load coefficients'!W286</f>
        <v>0.74360382913426004</v>
      </c>
      <c r="X97" s="412">
        <f>'Pseudo-load coefficients'!X286</f>
        <v>0.74360382913426004</v>
      </c>
      <c r="Y97" s="412">
        <f>'Pseudo-load coefficients'!Y286</f>
        <v>0.74360382913426004</v>
      </c>
    </row>
    <row r="98" spans="3:25" x14ac:dyDescent="0.25">
      <c r="E98" s="96"/>
      <c r="F98" s="411" t="s">
        <v>47</v>
      </c>
      <c r="G98" s="14" t="s">
        <v>427</v>
      </c>
      <c r="J98" s="412">
        <f>'Pseudo-load coefficients'!J287</f>
        <v>1.0956395657295968</v>
      </c>
      <c r="K98" s="412">
        <f>'Pseudo-load coefficients'!K287</f>
        <v>1.0956395657295968</v>
      </c>
      <c r="L98" s="412">
        <f>'Pseudo-load coefficients'!L287</f>
        <v>0.96567748911436924</v>
      </c>
      <c r="M98" s="412">
        <f>'Pseudo-load coefficients'!M287</f>
        <v>0.96567748911436924</v>
      </c>
      <c r="N98" s="412">
        <f>'Pseudo-load coefficients'!N287</f>
        <v>0.84582366871313797</v>
      </c>
      <c r="O98" s="412">
        <f>'Pseudo-load coefficients'!O287</f>
        <v>0.70504447866586339</v>
      </c>
      <c r="P98" s="412">
        <f>'Pseudo-load coefficients'!P287</f>
        <v>0.74628797346309772</v>
      </c>
      <c r="Q98" s="412">
        <f>'Pseudo-load coefficients'!Q287</f>
        <v>0.72067364937650136</v>
      </c>
      <c r="R98" s="412">
        <f>'Pseudo-load coefficients'!R287</f>
        <v>0.74360382913426004</v>
      </c>
      <c r="S98" s="412">
        <f>'Pseudo-load coefficients'!S287</f>
        <v>0.74360382913426004</v>
      </c>
      <c r="T98" s="412">
        <f>'Pseudo-load coefficients'!T287</f>
        <v>0.74360382913426004</v>
      </c>
      <c r="U98" s="412">
        <f>'Pseudo-load coefficients'!U287</f>
        <v>0.74360382913426004</v>
      </c>
      <c r="V98" s="412">
        <f>'Pseudo-load coefficients'!V287</f>
        <v>0.74360382913426004</v>
      </c>
      <c r="W98" s="412">
        <f>'Pseudo-load coefficients'!W287</f>
        <v>0.74360382913426004</v>
      </c>
      <c r="X98" s="412">
        <f>'Pseudo-load coefficients'!X287</f>
        <v>0.74360382913426004</v>
      </c>
      <c r="Y98" s="412">
        <f>'Pseudo-load coefficients'!Y287</f>
        <v>0.74360382913426004</v>
      </c>
    </row>
    <row r="99" spans="3:25" x14ac:dyDescent="0.25">
      <c r="E99" s="96"/>
      <c r="F99" s="411" t="s">
        <v>51</v>
      </c>
      <c r="G99" s="14" t="s">
        <v>427</v>
      </c>
      <c r="J99" s="412">
        <f>'Pseudo-load coefficients'!J288</f>
        <v>0</v>
      </c>
      <c r="K99" s="412">
        <f>'Pseudo-load coefficients'!K288</f>
        <v>0</v>
      </c>
      <c r="L99" s="412">
        <f>'Pseudo-load coefficients'!L288</f>
        <v>0</v>
      </c>
      <c r="M99" s="412">
        <f>'Pseudo-load coefficients'!M288</f>
        <v>0</v>
      </c>
      <c r="N99" s="412">
        <f>'Pseudo-load coefficients'!N288</f>
        <v>0</v>
      </c>
      <c r="O99" s="412">
        <f>'Pseudo-load coefficients'!O288</f>
        <v>0</v>
      </c>
      <c r="P99" s="412">
        <f>'Pseudo-load coefficients'!P288</f>
        <v>0</v>
      </c>
      <c r="Q99" s="412">
        <f>'Pseudo-load coefficients'!Q288</f>
        <v>0</v>
      </c>
      <c r="R99" s="412">
        <f>'Pseudo-load coefficients'!R288</f>
        <v>0</v>
      </c>
      <c r="S99" s="412">
        <f>'Pseudo-load coefficients'!S288</f>
        <v>0</v>
      </c>
      <c r="T99" s="412">
        <f>'Pseudo-load coefficients'!T288</f>
        <v>0</v>
      </c>
      <c r="U99" s="412">
        <f>'Pseudo-load coefficients'!U288</f>
        <v>0</v>
      </c>
      <c r="V99" s="412">
        <f>'Pseudo-load coefficients'!V288</f>
        <v>0</v>
      </c>
      <c r="W99" s="412">
        <f>'Pseudo-load coefficients'!W288</f>
        <v>0</v>
      </c>
      <c r="X99" s="412">
        <f>'Pseudo-load coefficients'!X288</f>
        <v>0</v>
      </c>
      <c r="Y99" s="412">
        <f>'Pseudo-load coefficients'!Y288</f>
        <v>0</v>
      </c>
    </row>
    <row r="100" spans="3:25" x14ac:dyDescent="0.25">
      <c r="E100" s="96"/>
      <c r="F100" s="411" t="s">
        <v>48</v>
      </c>
      <c r="G100" s="14" t="s">
        <v>427</v>
      </c>
      <c r="J100" s="412">
        <f>'Pseudo-load coefficients'!J289</f>
        <v>1.7500652925392015</v>
      </c>
      <c r="K100" s="412">
        <f>'Pseudo-load coefficients'!K289</f>
        <v>1.7500652925392015</v>
      </c>
      <c r="L100" s="412">
        <f>'Pseudo-load coefficients'!L289</f>
        <v>1.5424768421539015</v>
      </c>
      <c r="M100" s="412">
        <f>'Pseudo-load coefficients'!M289</f>
        <v>1.5424768421539015</v>
      </c>
      <c r="N100" s="412">
        <f>'Pseudo-load coefficients'!N289</f>
        <v>1.351034311395398</v>
      </c>
      <c r="O100" s="412">
        <f>'Pseudo-load coefficients'!O289</f>
        <v>1.1261676836103258</v>
      </c>
      <c r="P100" s="412">
        <f>'Pseudo-load coefficients'!P289</f>
        <v>1.1920459259131184</v>
      </c>
      <c r="Q100" s="412">
        <f>'Pseudo-load coefficients'!Q289</f>
        <v>1.108665834993525</v>
      </c>
      <c r="R100" s="412">
        <f>'Pseudo-load coefficients'!R289</f>
        <v>1.1877585416519114</v>
      </c>
      <c r="S100" s="412">
        <f>'Pseudo-load coefficients'!S289</f>
        <v>1.1877585416519114</v>
      </c>
      <c r="T100" s="412">
        <f>'Pseudo-load coefficients'!T289</f>
        <v>1.1877585416519114</v>
      </c>
      <c r="U100" s="412">
        <f>'Pseudo-load coefficients'!U289</f>
        <v>1.1877585416519114</v>
      </c>
      <c r="V100" s="412">
        <f>'Pseudo-load coefficients'!V289</f>
        <v>1.1877585416519114</v>
      </c>
      <c r="W100" s="412">
        <f>'Pseudo-load coefficients'!W289</f>
        <v>1.1877585416519114</v>
      </c>
      <c r="X100" s="412">
        <f>'Pseudo-load coefficients'!X289</f>
        <v>1.1877585416519114</v>
      </c>
      <c r="Y100" s="412">
        <f>'Pseudo-load coefficients'!Y289</f>
        <v>1.1877585416519114</v>
      </c>
    </row>
    <row r="101" spans="3:25" x14ac:dyDescent="0.25">
      <c r="E101" s="96"/>
      <c r="F101" s="411" t="s">
        <v>49</v>
      </c>
      <c r="G101" s="14" t="s">
        <v>427</v>
      </c>
      <c r="J101" s="412">
        <f>'Pseudo-load coefficients'!J290</f>
        <v>1.7500652925392015</v>
      </c>
      <c r="K101" s="412">
        <f>'Pseudo-load coefficients'!K290</f>
        <v>1.7500652925392015</v>
      </c>
      <c r="L101" s="412">
        <f>'Pseudo-load coefficients'!L290</f>
        <v>1.5424768421539015</v>
      </c>
      <c r="M101" s="412">
        <f>'Pseudo-load coefficients'!M290</f>
        <v>1.5424768421539015</v>
      </c>
      <c r="N101" s="412">
        <f>'Pseudo-load coefficients'!N290</f>
        <v>1.351034311395398</v>
      </c>
      <c r="O101" s="412">
        <f>'Pseudo-load coefficients'!O290</f>
        <v>1.1261676836103258</v>
      </c>
      <c r="P101" s="412">
        <f>'Pseudo-load coefficients'!P290</f>
        <v>1.1920459259131184</v>
      </c>
      <c r="Q101" s="412">
        <f>'Pseudo-load coefficients'!Q290</f>
        <v>1.108665834993525</v>
      </c>
      <c r="R101" s="412">
        <f>'Pseudo-load coefficients'!R290</f>
        <v>1.1877585416519114</v>
      </c>
      <c r="S101" s="412">
        <f>'Pseudo-load coefficients'!S290</f>
        <v>1.1877585416519114</v>
      </c>
      <c r="T101" s="412">
        <f>'Pseudo-load coefficients'!T290</f>
        <v>1.1877585416519114</v>
      </c>
      <c r="U101" s="412">
        <f>'Pseudo-load coefficients'!U290</f>
        <v>1.1877585416519114</v>
      </c>
      <c r="V101" s="412">
        <f>'Pseudo-load coefficients'!V290</f>
        <v>1.1877585416519114</v>
      </c>
      <c r="W101" s="412">
        <f>'Pseudo-load coefficients'!W290</f>
        <v>1.1877585416519114</v>
      </c>
      <c r="X101" s="412">
        <f>'Pseudo-load coefficients'!X290</f>
        <v>1.1877585416519114</v>
      </c>
      <c r="Y101" s="412">
        <f>'Pseudo-load coefficients'!Y290</f>
        <v>1.1877585416519114</v>
      </c>
    </row>
    <row r="102" spans="3:25" x14ac:dyDescent="0.25">
      <c r="E102" s="96"/>
      <c r="F102" s="413" t="s">
        <v>50</v>
      </c>
      <c r="G102" s="15" t="s">
        <v>427</v>
      </c>
      <c r="H102" s="93"/>
      <c r="I102" s="93"/>
      <c r="J102" s="284">
        <f>'Pseudo-load coefficients'!J291</f>
        <v>1.7500652925392015</v>
      </c>
      <c r="K102" s="284">
        <f>'Pseudo-load coefficients'!K291</f>
        <v>1.7500652925392015</v>
      </c>
      <c r="L102" s="284">
        <f>'Pseudo-load coefficients'!L291</f>
        <v>1.5424768421539015</v>
      </c>
      <c r="M102" s="284">
        <f>'Pseudo-load coefficients'!M291</f>
        <v>1.5424768421539015</v>
      </c>
      <c r="N102" s="284">
        <f>'Pseudo-load coefficients'!N291</f>
        <v>1.351034311395398</v>
      </c>
      <c r="O102" s="284">
        <f>'Pseudo-load coefficients'!O291</f>
        <v>1.1261676836103258</v>
      </c>
      <c r="P102" s="284">
        <f>'Pseudo-load coefficients'!P291</f>
        <v>1.1920459259131184</v>
      </c>
      <c r="Q102" s="284">
        <f>'Pseudo-load coefficients'!Q291</f>
        <v>1.108665834993525</v>
      </c>
      <c r="R102" s="284">
        <f>'Pseudo-load coefficients'!R291</f>
        <v>1.1877585416519114</v>
      </c>
      <c r="S102" s="284">
        <f>'Pseudo-load coefficients'!S291</f>
        <v>1.1877585416519114</v>
      </c>
      <c r="T102" s="284">
        <f>'Pseudo-load coefficients'!T291</f>
        <v>1.1877585416519114</v>
      </c>
      <c r="U102" s="284">
        <f>'Pseudo-load coefficients'!U291</f>
        <v>1.1877585416519114</v>
      </c>
      <c r="V102" s="284">
        <f>'Pseudo-load coefficients'!V291</f>
        <v>1.1877585416519114</v>
      </c>
      <c r="W102" s="284">
        <f>'Pseudo-load coefficients'!W291</f>
        <v>1.1877585416519114</v>
      </c>
      <c r="X102" s="284">
        <f>'Pseudo-load coefficients'!X291</f>
        <v>1.1877585416519114</v>
      </c>
      <c r="Y102" s="284">
        <f>'Pseudo-load coefficients'!Y291</f>
        <v>1.1877585416519114</v>
      </c>
    </row>
    <row r="103" spans="3:25" x14ac:dyDescent="0.25">
      <c r="E103" s="96"/>
      <c r="J103" s="237"/>
      <c r="K103" s="237"/>
      <c r="L103" s="237"/>
      <c r="M103" s="237"/>
      <c r="N103" s="237"/>
      <c r="O103" s="237"/>
      <c r="P103" s="237"/>
      <c r="Q103" s="237"/>
      <c r="R103" s="237"/>
      <c r="S103" s="237"/>
      <c r="T103" s="237"/>
      <c r="U103" s="237"/>
      <c r="V103" s="237"/>
      <c r="W103" s="237"/>
      <c r="X103" s="237"/>
      <c r="Y103" s="237"/>
    </row>
    <row r="104" spans="3:25" x14ac:dyDescent="0.25">
      <c r="E104" s="96" t="s">
        <v>250</v>
      </c>
      <c r="J104" s="237"/>
      <c r="K104" s="237"/>
      <c r="L104" s="237"/>
      <c r="M104" s="237"/>
      <c r="N104" s="237"/>
      <c r="O104" s="237"/>
      <c r="P104" s="237"/>
      <c r="Q104" s="237"/>
      <c r="R104" s="237"/>
      <c r="S104" s="237"/>
      <c r="T104" s="237"/>
      <c r="U104" s="237"/>
      <c r="V104" s="237"/>
      <c r="W104" s="237"/>
      <c r="X104" s="237"/>
      <c r="Y104" s="237"/>
    </row>
    <row r="105" spans="3:25" x14ac:dyDescent="0.25">
      <c r="C105" s="96"/>
      <c r="E105" s="96"/>
      <c r="F105" s="410" t="s">
        <v>267</v>
      </c>
      <c r="G105" s="16" t="s">
        <v>427</v>
      </c>
      <c r="H105" s="91"/>
      <c r="I105" s="91"/>
      <c r="J105" s="529">
        <f>'Pseudo-load coefficients'!J294</f>
        <v>0</v>
      </c>
      <c r="K105" s="529">
        <f>'Pseudo-load coefficients'!K294</f>
        <v>0</v>
      </c>
      <c r="L105" s="529">
        <f>'Pseudo-load coefficients'!L294</f>
        <v>0</v>
      </c>
      <c r="M105" s="529">
        <f>'Pseudo-load coefficients'!M294</f>
        <v>0</v>
      </c>
      <c r="N105" s="529">
        <f>'Pseudo-load coefficients'!N294</f>
        <v>0</v>
      </c>
      <c r="O105" s="529">
        <f>'Pseudo-load coefficients'!O294</f>
        <v>0</v>
      </c>
      <c r="P105" s="529">
        <f>'Pseudo-load coefficients'!P294</f>
        <v>0</v>
      </c>
      <c r="Q105" s="529">
        <f>'Pseudo-load coefficients'!Q294</f>
        <v>0</v>
      </c>
      <c r="R105" s="529">
        <f>'Pseudo-load coefficients'!R294</f>
        <v>0</v>
      </c>
      <c r="S105" s="529">
        <f>'Pseudo-load coefficients'!S294</f>
        <v>0</v>
      </c>
      <c r="T105" s="529">
        <f>'Pseudo-load coefficients'!T294</f>
        <v>0</v>
      </c>
      <c r="U105" s="529">
        <f>'Pseudo-load coefficients'!U294</f>
        <v>0</v>
      </c>
      <c r="V105" s="529">
        <f>'Pseudo-load coefficients'!V294</f>
        <v>0</v>
      </c>
      <c r="W105" s="529">
        <f>'Pseudo-load coefficients'!W294</f>
        <v>0</v>
      </c>
      <c r="X105" s="529">
        <f>'Pseudo-load coefficients'!X294</f>
        <v>0</v>
      </c>
      <c r="Y105" s="529">
        <f>'Pseudo-load coefficients'!Y294</f>
        <v>0</v>
      </c>
    </row>
    <row r="106" spans="3:25" x14ac:dyDescent="0.25">
      <c r="C106" s="96"/>
      <c r="E106" s="96"/>
      <c r="F106" s="411" t="s">
        <v>43</v>
      </c>
      <c r="G106" s="14" t="s">
        <v>427</v>
      </c>
      <c r="J106" s="412">
        <f>'Pseudo-load coefficients'!J294</f>
        <v>0</v>
      </c>
      <c r="K106" s="412">
        <f>'Pseudo-load coefficients'!K294</f>
        <v>0</v>
      </c>
      <c r="L106" s="412">
        <f>'Pseudo-load coefficients'!L294</f>
        <v>0</v>
      </c>
      <c r="M106" s="412">
        <f>'Pseudo-load coefficients'!M294</f>
        <v>0</v>
      </c>
      <c r="N106" s="412">
        <f>'Pseudo-load coefficients'!N294</f>
        <v>0</v>
      </c>
      <c r="O106" s="412">
        <f>'Pseudo-load coefficients'!O294</f>
        <v>0</v>
      </c>
      <c r="P106" s="412">
        <f>'Pseudo-load coefficients'!P294</f>
        <v>0</v>
      </c>
      <c r="Q106" s="412">
        <f>'Pseudo-load coefficients'!Q294</f>
        <v>0</v>
      </c>
      <c r="R106" s="412">
        <f>'Pseudo-load coefficients'!R294</f>
        <v>0</v>
      </c>
      <c r="S106" s="412">
        <f>'Pseudo-load coefficients'!S294</f>
        <v>0</v>
      </c>
      <c r="T106" s="412">
        <f>'Pseudo-load coefficients'!T294</f>
        <v>0</v>
      </c>
      <c r="U106" s="412">
        <f>'Pseudo-load coefficients'!U294</f>
        <v>0</v>
      </c>
      <c r="V106" s="412">
        <f>'Pseudo-load coefficients'!V294</f>
        <v>0</v>
      </c>
      <c r="W106" s="412">
        <f>'Pseudo-load coefficients'!W294</f>
        <v>0</v>
      </c>
      <c r="X106" s="412">
        <f>'Pseudo-load coefficients'!X294</f>
        <v>0</v>
      </c>
      <c r="Y106" s="412">
        <f>'Pseudo-load coefficients'!Y294</f>
        <v>0</v>
      </c>
    </row>
    <row r="107" spans="3:25" x14ac:dyDescent="0.25">
      <c r="C107" s="96"/>
      <c r="E107" s="96"/>
      <c r="F107" s="411" t="s">
        <v>44</v>
      </c>
      <c r="G107" s="14" t="s">
        <v>427</v>
      </c>
      <c r="J107" s="412">
        <f>'Pseudo-load coefficients'!J295</f>
        <v>3.1085856954411718E-2</v>
      </c>
      <c r="K107" s="412">
        <f>'Pseudo-load coefficients'!K295</f>
        <v>3.1085856954411718E-2</v>
      </c>
      <c r="L107" s="412">
        <f>'Pseudo-load coefficients'!L295</f>
        <v>2.7398528886381432E-2</v>
      </c>
      <c r="M107" s="412">
        <f>'Pseudo-load coefficients'!M295</f>
        <v>2.7398528886381432E-2</v>
      </c>
      <c r="N107" s="412">
        <f>'Pseudo-load coefficients'!N295</f>
        <v>2.3997995688265855E-2</v>
      </c>
      <c r="O107" s="412">
        <f>'Pseudo-load coefficients'!O295</f>
        <v>2.0003760813174117E-2</v>
      </c>
      <c r="P107" s="412">
        <f>'Pseudo-load coefficients'!P295</f>
        <v>2.1173935220588014E-2</v>
      </c>
      <c r="Q107" s="412">
        <f>'Pseudo-load coefficients'!Q295</f>
        <v>2.0550710308923897E-2</v>
      </c>
      <c r="R107" s="412">
        <f>'Pseudo-load coefficients'!R295</f>
        <v>2.1097779768319658E-2</v>
      </c>
      <c r="S107" s="412">
        <f>'Pseudo-load coefficients'!S295</f>
        <v>2.1097779768319658E-2</v>
      </c>
      <c r="T107" s="412">
        <f>'Pseudo-load coefficients'!T295</f>
        <v>2.1097779768319658E-2</v>
      </c>
      <c r="U107" s="412">
        <f>'Pseudo-load coefficients'!U295</f>
        <v>2.1097779768319658E-2</v>
      </c>
      <c r="V107" s="412">
        <f>'Pseudo-load coefficients'!V295</f>
        <v>2.1097779768319658E-2</v>
      </c>
      <c r="W107" s="412">
        <f>'Pseudo-load coefficients'!W295</f>
        <v>2.1097779768319658E-2</v>
      </c>
      <c r="X107" s="412">
        <f>'Pseudo-load coefficients'!X295</f>
        <v>2.1097779768319658E-2</v>
      </c>
      <c r="Y107" s="412">
        <f>'Pseudo-load coefficients'!Y295</f>
        <v>2.1097779768319658E-2</v>
      </c>
    </row>
    <row r="108" spans="3:25" x14ac:dyDescent="0.25">
      <c r="C108" s="96"/>
      <c r="E108" s="96"/>
      <c r="F108" s="411" t="s">
        <v>45</v>
      </c>
      <c r="G108" s="14" t="s">
        <v>427</v>
      </c>
      <c r="J108" s="412">
        <f>'Pseudo-load coefficients'!J296</f>
        <v>3.1085856954411718E-2</v>
      </c>
      <c r="K108" s="412">
        <f>'Pseudo-load coefficients'!K296</f>
        <v>3.1085856954411718E-2</v>
      </c>
      <c r="L108" s="412">
        <f>'Pseudo-load coefficients'!L296</f>
        <v>2.7398528886381432E-2</v>
      </c>
      <c r="M108" s="412">
        <f>'Pseudo-load coefficients'!M296</f>
        <v>2.7398528886381432E-2</v>
      </c>
      <c r="N108" s="412">
        <f>'Pseudo-load coefficients'!N296</f>
        <v>2.3997995688265855E-2</v>
      </c>
      <c r="O108" s="412">
        <f>'Pseudo-load coefficients'!O296</f>
        <v>2.0003760813174117E-2</v>
      </c>
      <c r="P108" s="412">
        <f>'Pseudo-load coefficients'!P296</f>
        <v>2.1173935220588014E-2</v>
      </c>
      <c r="Q108" s="412">
        <f>'Pseudo-load coefficients'!Q296</f>
        <v>2.0550710308923897E-2</v>
      </c>
      <c r="R108" s="412">
        <f>'Pseudo-load coefficients'!R296</f>
        <v>2.1097779768319658E-2</v>
      </c>
      <c r="S108" s="412">
        <f>'Pseudo-load coefficients'!S296</f>
        <v>2.1097779768319658E-2</v>
      </c>
      <c r="T108" s="412">
        <f>'Pseudo-load coefficients'!T296</f>
        <v>2.1097779768319658E-2</v>
      </c>
      <c r="U108" s="412">
        <f>'Pseudo-load coefficients'!U296</f>
        <v>2.1097779768319658E-2</v>
      </c>
      <c r="V108" s="412">
        <f>'Pseudo-load coefficients'!V296</f>
        <v>2.1097779768319658E-2</v>
      </c>
      <c r="W108" s="412">
        <f>'Pseudo-load coefficients'!W296</f>
        <v>2.1097779768319658E-2</v>
      </c>
      <c r="X108" s="412">
        <f>'Pseudo-load coefficients'!X296</f>
        <v>2.1097779768319658E-2</v>
      </c>
      <c r="Y108" s="412">
        <f>'Pseudo-load coefficients'!Y296</f>
        <v>2.1097779768319658E-2</v>
      </c>
    </row>
    <row r="109" spans="3:25" x14ac:dyDescent="0.25">
      <c r="C109" s="96"/>
      <c r="E109" s="96"/>
      <c r="F109" s="411" t="s">
        <v>46</v>
      </c>
      <c r="G109" s="14" t="s">
        <v>427</v>
      </c>
      <c r="J109" s="412">
        <f>'Pseudo-load coefficients'!J297</f>
        <v>4.7342374136145601E-2</v>
      </c>
      <c r="K109" s="412">
        <f>'Pseudo-load coefficients'!K297</f>
        <v>4.7342374136145601E-2</v>
      </c>
      <c r="L109" s="412">
        <f>'Pseudo-load coefficients'!L297</f>
        <v>4.1726737893097589E-2</v>
      </c>
      <c r="M109" s="412">
        <f>'Pseudo-load coefficients'!M297</f>
        <v>4.1726737893097589E-2</v>
      </c>
      <c r="N109" s="412">
        <f>'Pseudo-load coefficients'!N297</f>
        <v>3.6547877449788373E-2</v>
      </c>
      <c r="O109" s="412">
        <f>'Pseudo-load coefficients'!O297</f>
        <v>3.0464835823445269E-2</v>
      </c>
      <c r="P109" s="412">
        <f>'Pseudo-load coefficients'!P297</f>
        <v>3.2246959272111173E-2</v>
      </c>
      <c r="Q109" s="412">
        <f>'Pseudo-load coefficients'!Q297</f>
        <v>3.1297815518981288E-2</v>
      </c>
      <c r="R109" s="412">
        <f>'Pseudo-load coefficients'!R297</f>
        <v>3.2130977913801401E-2</v>
      </c>
      <c r="S109" s="412">
        <f>'Pseudo-load coefficients'!S297</f>
        <v>3.2130977913801401E-2</v>
      </c>
      <c r="T109" s="412">
        <f>'Pseudo-load coefficients'!T297</f>
        <v>3.2130977913801401E-2</v>
      </c>
      <c r="U109" s="412">
        <f>'Pseudo-load coefficients'!U297</f>
        <v>3.2130977913801401E-2</v>
      </c>
      <c r="V109" s="412">
        <f>'Pseudo-load coefficients'!V297</f>
        <v>3.2130977913801401E-2</v>
      </c>
      <c r="W109" s="412">
        <f>'Pseudo-load coefficients'!W297</f>
        <v>3.2130977913801401E-2</v>
      </c>
      <c r="X109" s="412">
        <f>'Pseudo-load coefficients'!X297</f>
        <v>3.2130977913801401E-2</v>
      </c>
      <c r="Y109" s="412">
        <f>'Pseudo-load coefficients'!Y297</f>
        <v>3.2130977913801401E-2</v>
      </c>
    </row>
    <row r="110" spans="3:25" x14ac:dyDescent="0.25">
      <c r="C110" s="96"/>
      <c r="E110" s="96"/>
      <c r="F110" s="411" t="s">
        <v>47</v>
      </c>
      <c r="G110" s="14" t="s">
        <v>427</v>
      </c>
      <c r="J110" s="412">
        <f>'Pseudo-load coefficients'!J298</f>
        <v>4.7342374136145601E-2</v>
      </c>
      <c r="K110" s="412">
        <f>'Pseudo-load coefficients'!K298</f>
        <v>4.7342374136145601E-2</v>
      </c>
      <c r="L110" s="412">
        <f>'Pseudo-load coefficients'!L298</f>
        <v>4.1726737893097589E-2</v>
      </c>
      <c r="M110" s="412">
        <f>'Pseudo-load coefficients'!M298</f>
        <v>4.1726737893097589E-2</v>
      </c>
      <c r="N110" s="412">
        <f>'Pseudo-load coefficients'!N298</f>
        <v>3.6547877449788373E-2</v>
      </c>
      <c r="O110" s="412">
        <f>'Pseudo-load coefficients'!O298</f>
        <v>3.0464835823445269E-2</v>
      </c>
      <c r="P110" s="412">
        <f>'Pseudo-load coefficients'!P298</f>
        <v>3.2246959272111173E-2</v>
      </c>
      <c r="Q110" s="412">
        <f>'Pseudo-load coefficients'!Q298</f>
        <v>3.1297815518981288E-2</v>
      </c>
      <c r="R110" s="412">
        <f>'Pseudo-load coefficients'!R298</f>
        <v>3.2130977913801401E-2</v>
      </c>
      <c r="S110" s="412">
        <f>'Pseudo-load coefficients'!S298</f>
        <v>3.2130977913801401E-2</v>
      </c>
      <c r="T110" s="412">
        <f>'Pseudo-load coefficients'!T298</f>
        <v>3.2130977913801401E-2</v>
      </c>
      <c r="U110" s="412">
        <f>'Pseudo-load coefficients'!U298</f>
        <v>3.2130977913801401E-2</v>
      </c>
      <c r="V110" s="412">
        <f>'Pseudo-load coefficients'!V298</f>
        <v>3.2130977913801401E-2</v>
      </c>
      <c r="W110" s="412">
        <f>'Pseudo-load coefficients'!W298</f>
        <v>3.2130977913801401E-2</v>
      </c>
      <c r="X110" s="412">
        <f>'Pseudo-load coefficients'!X298</f>
        <v>3.2130977913801401E-2</v>
      </c>
      <c r="Y110" s="412">
        <f>'Pseudo-load coefficients'!Y298</f>
        <v>3.2130977913801401E-2</v>
      </c>
    </row>
    <row r="111" spans="3:25" x14ac:dyDescent="0.25">
      <c r="C111" s="96"/>
      <c r="E111" s="96"/>
      <c r="F111" s="411" t="s">
        <v>51</v>
      </c>
      <c r="G111" s="14" t="s">
        <v>427</v>
      </c>
      <c r="J111" s="412">
        <f>'Pseudo-load coefficients'!J299</f>
        <v>0</v>
      </c>
      <c r="K111" s="412">
        <f>'Pseudo-load coefficients'!K299</f>
        <v>0</v>
      </c>
      <c r="L111" s="412">
        <f>'Pseudo-load coefficients'!L299</f>
        <v>0</v>
      </c>
      <c r="M111" s="412">
        <f>'Pseudo-load coefficients'!M299</f>
        <v>0</v>
      </c>
      <c r="N111" s="412">
        <f>'Pseudo-load coefficients'!N299</f>
        <v>0</v>
      </c>
      <c r="O111" s="412">
        <f>'Pseudo-load coefficients'!O299</f>
        <v>0</v>
      </c>
      <c r="P111" s="412">
        <f>'Pseudo-load coefficients'!P299</f>
        <v>0</v>
      </c>
      <c r="Q111" s="412">
        <f>'Pseudo-load coefficients'!Q299</f>
        <v>0</v>
      </c>
      <c r="R111" s="412">
        <f>'Pseudo-load coefficients'!R299</f>
        <v>0</v>
      </c>
      <c r="S111" s="412">
        <f>'Pseudo-load coefficients'!S299</f>
        <v>0</v>
      </c>
      <c r="T111" s="412">
        <f>'Pseudo-load coefficients'!T299</f>
        <v>0</v>
      </c>
      <c r="U111" s="412">
        <f>'Pseudo-load coefficients'!U299</f>
        <v>0</v>
      </c>
      <c r="V111" s="412">
        <f>'Pseudo-load coefficients'!V299</f>
        <v>0</v>
      </c>
      <c r="W111" s="412">
        <f>'Pseudo-load coefficients'!W299</f>
        <v>0</v>
      </c>
      <c r="X111" s="412">
        <f>'Pseudo-load coefficients'!X299</f>
        <v>0</v>
      </c>
      <c r="Y111" s="412">
        <f>'Pseudo-load coefficients'!Y299</f>
        <v>0</v>
      </c>
    </row>
    <row r="112" spans="3:25" x14ac:dyDescent="0.25">
      <c r="C112" s="96"/>
      <c r="E112" s="96"/>
      <c r="F112" s="411" t="s">
        <v>48</v>
      </c>
      <c r="G112" s="14" t="s">
        <v>427</v>
      </c>
      <c r="J112" s="412">
        <f>'Pseudo-load coefficients'!J300</f>
        <v>9.3800556937016832E-2</v>
      </c>
      <c r="K112" s="412">
        <f>'Pseudo-load coefficients'!K300</f>
        <v>9.3800556937016832E-2</v>
      </c>
      <c r="L112" s="412">
        <f>'Pseudo-load coefficients'!L300</f>
        <v>8.2674165057327997E-2</v>
      </c>
      <c r="M112" s="412">
        <f>'Pseudo-load coefficients'!M300</f>
        <v>8.2674165057327997E-2</v>
      </c>
      <c r="N112" s="412">
        <f>'Pseudo-load coefficients'!N300</f>
        <v>7.2413167320195093E-2</v>
      </c>
      <c r="O112" s="412">
        <f>'Pseudo-load coefficients'!O300</f>
        <v>6.0360694185215655E-2</v>
      </c>
      <c r="P112" s="412">
        <f>'Pseudo-load coefficients'!P300</f>
        <v>6.3891657198068663E-2</v>
      </c>
      <c r="Q112" s="412">
        <f>'Pseudo-load coefficients'!Q300</f>
        <v>6.2011096404880652E-2</v>
      </c>
      <c r="R112" s="412">
        <f>'Pseudo-load coefficients'!R300</f>
        <v>6.3661860610924922E-2</v>
      </c>
      <c r="S112" s="412">
        <f>'Pseudo-load coefficients'!S300</f>
        <v>6.3661860610924922E-2</v>
      </c>
      <c r="T112" s="412">
        <f>'Pseudo-load coefficients'!T300</f>
        <v>6.3661860610924922E-2</v>
      </c>
      <c r="U112" s="412">
        <f>'Pseudo-load coefficients'!U300</f>
        <v>6.3661860610924922E-2</v>
      </c>
      <c r="V112" s="412">
        <f>'Pseudo-load coefficients'!V300</f>
        <v>6.3661860610924922E-2</v>
      </c>
      <c r="W112" s="412">
        <f>'Pseudo-load coefficients'!W300</f>
        <v>6.3661860610924922E-2</v>
      </c>
      <c r="X112" s="412">
        <f>'Pseudo-load coefficients'!X300</f>
        <v>6.3661860610924922E-2</v>
      </c>
      <c r="Y112" s="412">
        <f>'Pseudo-load coefficients'!Y300</f>
        <v>6.3661860610924922E-2</v>
      </c>
    </row>
    <row r="113" spans="2:27" x14ac:dyDescent="0.25">
      <c r="C113" s="96"/>
      <c r="E113" s="96"/>
      <c r="F113" s="411" t="s">
        <v>49</v>
      </c>
      <c r="G113" s="14" t="s">
        <v>427</v>
      </c>
      <c r="J113" s="412">
        <f>'Pseudo-load coefficients'!J301</f>
        <v>9.3800556937016832E-2</v>
      </c>
      <c r="K113" s="412">
        <f>'Pseudo-load coefficients'!K301</f>
        <v>9.3800556937016832E-2</v>
      </c>
      <c r="L113" s="412">
        <f>'Pseudo-load coefficients'!L301</f>
        <v>8.2674165057327997E-2</v>
      </c>
      <c r="M113" s="412">
        <f>'Pseudo-load coefficients'!M301</f>
        <v>8.2674165057327997E-2</v>
      </c>
      <c r="N113" s="412">
        <f>'Pseudo-load coefficients'!N301</f>
        <v>7.2413167320195093E-2</v>
      </c>
      <c r="O113" s="412">
        <f>'Pseudo-load coefficients'!O301</f>
        <v>6.0360694185215655E-2</v>
      </c>
      <c r="P113" s="412">
        <f>'Pseudo-load coefficients'!P301</f>
        <v>6.3891657198068663E-2</v>
      </c>
      <c r="Q113" s="412">
        <f>'Pseudo-load coefficients'!Q301</f>
        <v>6.2011096404880652E-2</v>
      </c>
      <c r="R113" s="412">
        <f>'Pseudo-load coefficients'!R301</f>
        <v>6.3661860610924922E-2</v>
      </c>
      <c r="S113" s="412">
        <f>'Pseudo-load coefficients'!S301</f>
        <v>6.3661860610924922E-2</v>
      </c>
      <c r="T113" s="412">
        <f>'Pseudo-load coefficients'!T301</f>
        <v>6.3661860610924922E-2</v>
      </c>
      <c r="U113" s="412">
        <f>'Pseudo-load coefficients'!U301</f>
        <v>6.3661860610924922E-2</v>
      </c>
      <c r="V113" s="412">
        <f>'Pseudo-load coefficients'!V301</f>
        <v>6.3661860610924922E-2</v>
      </c>
      <c r="W113" s="412">
        <f>'Pseudo-load coefficients'!W301</f>
        <v>6.3661860610924922E-2</v>
      </c>
      <c r="X113" s="412">
        <f>'Pseudo-load coefficients'!X301</f>
        <v>6.3661860610924922E-2</v>
      </c>
      <c r="Y113" s="412">
        <f>'Pseudo-load coefficients'!Y301</f>
        <v>6.3661860610924922E-2</v>
      </c>
    </row>
    <row r="114" spans="2:27" x14ac:dyDescent="0.25">
      <c r="C114" s="96"/>
      <c r="E114" s="96"/>
      <c r="F114" s="413" t="s">
        <v>50</v>
      </c>
      <c r="G114" s="15" t="s">
        <v>427</v>
      </c>
      <c r="H114" s="93"/>
      <c r="I114" s="93"/>
      <c r="J114" s="284">
        <f>'Pseudo-load coefficients'!J302</f>
        <v>9.3800556937016832E-2</v>
      </c>
      <c r="K114" s="284">
        <f>'Pseudo-load coefficients'!K302</f>
        <v>9.3800556937016832E-2</v>
      </c>
      <c r="L114" s="284">
        <f>'Pseudo-load coefficients'!L302</f>
        <v>8.2674165057327997E-2</v>
      </c>
      <c r="M114" s="284">
        <f>'Pseudo-load coefficients'!M302</f>
        <v>8.2674165057327997E-2</v>
      </c>
      <c r="N114" s="284">
        <f>'Pseudo-load coefficients'!N302</f>
        <v>7.2413167320195093E-2</v>
      </c>
      <c r="O114" s="284">
        <f>'Pseudo-load coefficients'!O302</f>
        <v>6.0360694185215655E-2</v>
      </c>
      <c r="P114" s="284">
        <f>'Pseudo-load coefficients'!P302</f>
        <v>6.3891657198068663E-2</v>
      </c>
      <c r="Q114" s="284">
        <f>'Pseudo-load coefficients'!Q302</f>
        <v>6.2011096404880652E-2</v>
      </c>
      <c r="R114" s="284">
        <f>'Pseudo-load coefficients'!R302</f>
        <v>6.3661860610924922E-2</v>
      </c>
      <c r="S114" s="284">
        <f>'Pseudo-load coefficients'!S302</f>
        <v>6.3661860610924922E-2</v>
      </c>
      <c r="T114" s="284">
        <f>'Pseudo-load coefficients'!T302</f>
        <v>6.3661860610924922E-2</v>
      </c>
      <c r="U114" s="284">
        <f>'Pseudo-load coefficients'!U302</f>
        <v>6.3661860610924922E-2</v>
      </c>
      <c r="V114" s="284">
        <f>'Pseudo-load coefficients'!V302</f>
        <v>6.3661860610924922E-2</v>
      </c>
      <c r="W114" s="284">
        <f>'Pseudo-load coefficients'!W302</f>
        <v>6.3661860610924922E-2</v>
      </c>
      <c r="X114" s="284">
        <f>'Pseudo-load coefficients'!X302</f>
        <v>6.3661860610924922E-2</v>
      </c>
      <c r="Y114" s="284">
        <f>'Pseudo-load coefficients'!Y302</f>
        <v>6.3661860610924922E-2</v>
      </c>
    </row>
    <row r="115" spans="2:27" x14ac:dyDescent="0.25">
      <c r="C115" s="96"/>
      <c r="D115" s="96"/>
      <c r="E115" s="96"/>
      <c r="J115" s="237"/>
      <c r="K115" s="237"/>
      <c r="L115" s="237"/>
      <c r="M115" s="237"/>
      <c r="N115" s="237"/>
      <c r="O115" s="237"/>
      <c r="P115" s="237"/>
      <c r="Q115" s="237"/>
      <c r="R115" s="237"/>
      <c r="S115" s="237"/>
      <c r="T115" s="237"/>
      <c r="U115" s="237"/>
      <c r="V115" s="237"/>
      <c r="W115" s="237"/>
      <c r="X115" s="237"/>
      <c r="Y115" s="237"/>
    </row>
    <row r="116" spans="2:27" x14ac:dyDescent="0.25">
      <c r="B116" s="95" t="s">
        <v>665</v>
      </c>
      <c r="C116" s="95"/>
      <c r="D116" s="95"/>
      <c r="E116" s="95"/>
      <c r="F116" s="95"/>
      <c r="G116" s="95"/>
      <c r="H116" s="95"/>
      <c r="I116" s="95"/>
      <c r="J116" s="281"/>
      <c r="K116" s="281"/>
      <c r="L116" s="281"/>
      <c r="M116" s="281"/>
      <c r="N116" s="281"/>
      <c r="O116" s="281"/>
      <c r="P116" s="281"/>
      <c r="Q116" s="281"/>
      <c r="R116" s="281"/>
      <c r="S116" s="281"/>
      <c r="T116" s="281"/>
      <c r="U116" s="281"/>
      <c r="V116" s="281"/>
      <c r="W116" s="281"/>
      <c r="X116" s="281"/>
      <c r="Y116" s="281"/>
      <c r="Z116" s="95"/>
      <c r="AA116" s="95"/>
    </row>
    <row r="117" spans="2:27" x14ac:dyDescent="0.25">
      <c r="J117" s="252"/>
      <c r="K117" s="252"/>
      <c r="L117" s="252"/>
      <c r="M117" s="252"/>
      <c r="N117" s="252"/>
      <c r="O117" s="252"/>
      <c r="P117" s="252"/>
      <c r="Q117" s="252"/>
      <c r="R117" s="252"/>
      <c r="S117" s="252"/>
      <c r="T117" s="252"/>
      <c r="U117" s="252"/>
      <c r="V117" s="252"/>
      <c r="W117" s="252"/>
      <c r="X117" s="252"/>
      <c r="Y117" s="252"/>
    </row>
    <row r="118" spans="2:27" x14ac:dyDescent="0.25">
      <c r="C118" s="7" t="str">
        <f ca="1">INDEX('Version control'!$H$35:$H$61,MATCH($A$1,'Version control'!$F$35:$F$61,0),1)&amp;"-B: Yardstick charges"</f>
        <v>Section 512-B: Yardstick charges</v>
      </c>
      <c r="D118" s="7"/>
      <c r="E118" s="7"/>
      <c r="F118" s="7"/>
      <c r="G118" s="7"/>
      <c r="H118" s="7"/>
      <c r="I118" s="7"/>
      <c r="J118" s="241"/>
      <c r="K118" s="241"/>
      <c r="L118" s="241"/>
      <c r="M118" s="241"/>
      <c r="N118" s="241"/>
      <c r="O118" s="241"/>
      <c r="P118" s="241"/>
      <c r="Q118" s="241"/>
      <c r="R118" s="241"/>
      <c r="S118" s="241"/>
      <c r="T118" s="241"/>
      <c r="U118" s="241"/>
      <c r="V118" s="241"/>
      <c r="W118" s="241"/>
      <c r="X118" s="241"/>
      <c r="Y118" s="241"/>
      <c r="Z118" s="7"/>
      <c r="AA118" s="7"/>
    </row>
    <row r="119" spans="2:27" x14ac:dyDescent="0.25">
      <c r="C119" s="96"/>
      <c r="D119" s="96"/>
      <c r="E119" s="96"/>
      <c r="J119" s="252"/>
      <c r="K119" s="252"/>
      <c r="L119" s="252"/>
      <c r="M119" s="252"/>
      <c r="N119" s="252"/>
      <c r="O119" s="252"/>
      <c r="P119" s="252"/>
      <c r="Q119" s="252"/>
      <c r="R119" s="252"/>
      <c r="S119" s="252"/>
      <c r="T119" s="252"/>
      <c r="U119" s="252"/>
      <c r="V119" s="252"/>
      <c r="W119" s="252"/>
      <c r="X119" s="252"/>
      <c r="Y119" s="252"/>
    </row>
    <row r="120" spans="2:27" x14ac:dyDescent="0.25">
      <c r="D120" s="82" t="s">
        <v>725</v>
      </c>
      <c r="E120" s="96"/>
      <c r="F120" s="96"/>
      <c r="J120" s="237"/>
      <c r="K120" s="237"/>
      <c r="L120" s="237"/>
      <c r="M120" s="237"/>
      <c r="N120" s="237"/>
      <c r="O120" s="237"/>
      <c r="P120" s="237"/>
      <c r="Q120" s="237"/>
      <c r="R120" s="237"/>
      <c r="S120" s="237"/>
      <c r="T120" s="237"/>
      <c r="U120" s="237"/>
      <c r="V120" s="237"/>
      <c r="W120" s="237"/>
      <c r="X120" s="237"/>
      <c r="Y120" s="237"/>
    </row>
    <row r="121" spans="2:27" x14ac:dyDescent="0.25">
      <c r="D121" s="96"/>
      <c r="E121" s="96"/>
      <c r="F121" s="96"/>
      <c r="I121" s="88" t="s">
        <v>359</v>
      </c>
      <c r="J121" s="237"/>
      <c r="K121" s="237"/>
      <c r="L121" s="237"/>
      <c r="M121" s="237"/>
      <c r="N121" s="237"/>
      <c r="O121" s="237"/>
      <c r="P121" s="237"/>
      <c r="Q121" s="237"/>
      <c r="R121" s="237"/>
      <c r="S121" s="237"/>
      <c r="T121" s="237"/>
      <c r="U121" s="237"/>
      <c r="V121" s="237"/>
      <c r="W121" s="237"/>
      <c r="X121" s="237"/>
      <c r="Y121" s="237"/>
      <c r="AA121" s="293" t="s">
        <v>724</v>
      </c>
    </row>
    <row r="122" spans="2:27" x14ac:dyDescent="0.25">
      <c r="E122" s="96" t="s">
        <v>139</v>
      </c>
      <c r="J122" s="252"/>
      <c r="K122" s="252"/>
      <c r="L122" s="252"/>
      <c r="M122" s="252"/>
      <c r="N122" s="252"/>
      <c r="O122" s="252"/>
      <c r="P122" s="252"/>
      <c r="Q122" s="252"/>
      <c r="R122" s="252"/>
      <c r="S122" s="252"/>
      <c r="T122" s="252"/>
      <c r="U122" s="252"/>
      <c r="V122" s="252"/>
      <c r="W122" s="252"/>
      <c r="X122" s="252"/>
      <c r="Y122" s="252"/>
    </row>
    <row r="123" spans="2:27" x14ac:dyDescent="0.25">
      <c r="E123" s="96"/>
      <c r="F123" s="410" t="s">
        <v>267</v>
      </c>
      <c r="G123" s="91" t="s">
        <v>183</v>
      </c>
      <c r="H123" s="347"/>
      <c r="I123" s="347"/>
      <c r="J123" s="353">
        <f t="shared" ref="J123:Y123" si="0">hundred * $H18 * J55 / $H43 * J$78 * (1 - J67) / hours_in_year</f>
        <v>0</v>
      </c>
      <c r="K123" s="353">
        <f t="shared" si="0"/>
        <v>0</v>
      </c>
      <c r="L123" s="353">
        <f t="shared" si="0"/>
        <v>0</v>
      </c>
      <c r="M123" s="353">
        <f t="shared" si="0"/>
        <v>0</v>
      </c>
      <c r="N123" s="353">
        <f t="shared" si="0"/>
        <v>0</v>
      </c>
      <c r="O123" s="353">
        <f t="shared" si="0"/>
        <v>0</v>
      </c>
      <c r="P123" s="353">
        <f t="shared" si="0"/>
        <v>0</v>
      </c>
      <c r="Q123" s="353">
        <f t="shared" si="0"/>
        <v>0</v>
      </c>
      <c r="R123" s="353">
        <f t="shared" si="0"/>
        <v>0</v>
      </c>
      <c r="S123" s="353">
        <f t="shared" si="0"/>
        <v>0</v>
      </c>
      <c r="T123" s="353">
        <f t="shared" si="0"/>
        <v>0</v>
      </c>
      <c r="U123" s="353">
        <f t="shared" si="0"/>
        <v>0</v>
      </c>
      <c r="V123" s="353">
        <f t="shared" si="0"/>
        <v>0</v>
      </c>
      <c r="W123" s="353">
        <f t="shared" si="0"/>
        <v>0</v>
      </c>
      <c r="X123" s="353">
        <f t="shared" si="0"/>
        <v>0</v>
      </c>
      <c r="Y123" s="353">
        <f t="shared" si="0"/>
        <v>0</v>
      </c>
      <c r="Z123" s="349"/>
      <c r="AA123" s="349"/>
    </row>
    <row r="124" spans="2:27" x14ac:dyDescent="0.25">
      <c r="E124" s="96"/>
      <c r="F124" s="411" t="s">
        <v>43</v>
      </c>
      <c r="G124" s="293" t="s">
        <v>183</v>
      </c>
      <c r="H124" s="349"/>
      <c r="I124" s="349"/>
      <c r="J124" s="354">
        <f t="shared" ref="J124:Y124" si="1">hundred * $H19 * J56 / $H44 * J$78 * (1 - J68) / hours_in_year</f>
        <v>0</v>
      </c>
      <c r="K124" s="354">
        <f t="shared" si="1"/>
        <v>0</v>
      </c>
      <c r="L124" s="354">
        <f t="shared" si="1"/>
        <v>0</v>
      </c>
      <c r="M124" s="354">
        <f t="shared" si="1"/>
        <v>0</v>
      </c>
      <c r="N124" s="354">
        <f t="shared" si="1"/>
        <v>0</v>
      </c>
      <c r="O124" s="354">
        <f t="shared" si="1"/>
        <v>0</v>
      </c>
      <c r="P124" s="354">
        <f t="shared" si="1"/>
        <v>0</v>
      </c>
      <c r="Q124" s="354">
        <f t="shared" si="1"/>
        <v>0</v>
      </c>
      <c r="R124" s="354">
        <f t="shared" si="1"/>
        <v>0</v>
      </c>
      <c r="S124" s="354">
        <f t="shared" si="1"/>
        <v>0</v>
      </c>
      <c r="T124" s="354">
        <f t="shared" si="1"/>
        <v>0</v>
      </c>
      <c r="U124" s="354">
        <f t="shared" si="1"/>
        <v>0</v>
      </c>
      <c r="V124" s="354">
        <f t="shared" si="1"/>
        <v>0</v>
      </c>
      <c r="W124" s="354">
        <f t="shared" si="1"/>
        <v>0</v>
      </c>
      <c r="X124" s="354">
        <f t="shared" si="1"/>
        <v>0</v>
      </c>
      <c r="Y124" s="354">
        <f t="shared" si="1"/>
        <v>0</v>
      </c>
      <c r="Z124" s="349"/>
      <c r="AA124" s="349"/>
    </row>
    <row r="125" spans="2:27" x14ac:dyDescent="0.25">
      <c r="E125" s="96"/>
      <c r="F125" s="411" t="s">
        <v>44</v>
      </c>
      <c r="G125" s="293" t="s">
        <v>183</v>
      </c>
      <c r="H125" s="349"/>
      <c r="I125" s="349"/>
      <c r="J125" s="354">
        <f t="shared" ref="J125:Y125" si="2">hundred * $H20 * J57 / $H45 * J$78 * (1 - J69) / hours_in_year</f>
        <v>0.28064348393169192</v>
      </c>
      <c r="K125" s="354">
        <f t="shared" si="2"/>
        <v>0.28064348393169192</v>
      </c>
      <c r="L125" s="354">
        <f t="shared" si="2"/>
        <v>0.19310911821405252</v>
      </c>
      <c r="M125" s="354">
        <f t="shared" si="2"/>
        <v>0.19310911821405252</v>
      </c>
      <c r="N125" s="354">
        <f t="shared" si="2"/>
        <v>0.17739841682462101</v>
      </c>
      <c r="O125" s="354">
        <f t="shared" si="2"/>
        <v>0.13708817038558868</v>
      </c>
      <c r="P125" s="354">
        <f t="shared" si="2"/>
        <v>0.13796277331446882</v>
      </c>
      <c r="Q125" s="354">
        <f t="shared" si="2"/>
        <v>0.26078694313280254</v>
      </c>
      <c r="R125" s="354">
        <f t="shared" si="2"/>
        <v>-0.13426928825079965</v>
      </c>
      <c r="S125" s="354">
        <f t="shared" si="2"/>
        <v>-0.12883928027006877</v>
      </c>
      <c r="T125" s="354">
        <f t="shared" si="2"/>
        <v>-0.13426928825079965</v>
      </c>
      <c r="U125" s="354">
        <f t="shared" si="2"/>
        <v>-0.13426928825079965</v>
      </c>
      <c r="V125" s="354">
        <f t="shared" si="2"/>
        <v>-0.12883928027006877</v>
      </c>
      <c r="W125" s="354">
        <f t="shared" si="2"/>
        <v>-0.12883928027006877</v>
      </c>
      <c r="X125" s="354">
        <f t="shared" si="2"/>
        <v>-0.12698814118572868</v>
      </c>
      <c r="Y125" s="354">
        <f t="shared" si="2"/>
        <v>-0.12698814118572868</v>
      </c>
      <c r="Z125" s="349"/>
      <c r="AA125" s="349"/>
    </row>
    <row r="126" spans="2:27" x14ac:dyDescent="0.25">
      <c r="E126" s="96"/>
      <c r="F126" s="411" t="s">
        <v>45</v>
      </c>
      <c r="G126" s="293" t="s">
        <v>183</v>
      </c>
      <c r="H126" s="349"/>
      <c r="I126" s="349"/>
      <c r="J126" s="354">
        <f t="shared" ref="J126:Y126" si="3">hundred * $H21 * J58 / $H46 * J$78 * (1 - J70) / hours_in_year</f>
        <v>7.2615902133420868E-2</v>
      </c>
      <c r="K126" s="354">
        <f t="shared" si="3"/>
        <v>7.2615902133420868E-2</v>
      </c>
      <c r="L126" s="354">
        <f t="shared" si="3"/>
        <v>4.996657193977809E-2</v>
      </c>
      <c r="M126" s="354">
        <f t="shared" si="3"/>
        <v>4.996657193977809E-2</v>
      </c>
      <c r="N126" s="354">
        <f t="shared" si="3"/>
        <v>4.5901461506570818E-2</v>
      </c>
      <c r="O126" s="354">
        <f t="shared" si="3"/>
        <v>3.5471271325838473E-2</v>
      </c>
      <c r="P126" s="354">
        <f t="shared" si="3"/>
        <v>3.5697572965910113E-2</v>
      </c>
      <c r="Q126" s="354">
        <f t="shared" si="3"/>
        <v>6.7478064606748114E-2</v>
      </c>
      <c r="R126" s="354">
        <f t="shared" si="3"/>
        <v>-3.4741891593382923E-2</v>
      </c>
      <c r="S126" s="354">
        <f t="shared" si="3"/>
        <v>-3.3336888624532879E-2</v>
      </c>
      <c r="T126" s="354">
        <f t="shared" si="3"/>
        <v>-3.4741891593382923E-2</v>
      </c>
      <c r="U126" s="354">
        <f t="shared" si="3"/>
        <v>-3.4741891593382923E-2</v>
      </c>
      <c r="V126" s="354">
        <f t="shared" si="3"/>
        <v>-3.3336888624532879E-2</v>
      </c>
      <c r="W126" s="354">
        <f t="shared" si="3"/>
        <v>-3.3336888624532879E-2</v>
      </c>
      <c r="X126" s="354">
        <f t="shared" si="3"/>
        <v>-3.2857910339697628E-2</v>
      </c>
      <c r="Y126" s="354">
        <f t="shared" si="3"/>
        <v>-3.2857910339697628E-2</v>
      </c>
      <c r="Z126" s="349"/>
      <c r="AA126" s="349"/>
    </row>
    <row r="127" spans="2:27" x14ac:dyDescent="0.25">
      <c r="E127" s="96"/>
      <c r="F127" s="411" t="s">
        <v>46</v>
      </c>
      <c r="G127" s="293" t="s">
        <v>183</v>
      </c>
      <c r="H127" s="349"/>
      <c r="I127" s="349"/>
      <c r="J127" s="354">
        <f t="shared" ref="J127:Y127" si="4">hundred * $H22 * J59 / $H47 * J$78 * (1 - J71) / hours_in_year</f>
        <v>0.19758069714683957</v>
      </c>
      <c r="K127" s="354">
        <f t="shared" si="4"/>
        <v>0.19758069714683957</v>
      </c>
      <c r="L127" s="354">
        <f t="shared" si="4"/>
        <v>0.13595410685334397</v>
      </c>
      <c r="M127" s="354">
        <f t="shared" si="4"/>
        <v>0.13595410685334397</v>
      </c>
      <c r="N127" s="354">
        <f t="shared" si="4"/>
        <v>0.12489334289152955</v>
      </c>
      <c r="O127" s="354">
        <f t="shared" si="4"/>
        <v>9.6513825640655249E-2</v>
      </c>
      <c r="P127" s="354">
        <f t="shared" si="4"/>
        <v>9.4950186697396743E-2</v>
      </c>
      <c r="Q127" s="354">
        <f t="shared" si="4"/>
        <v>0.18360114872117889</v>
      </c>
      <c r="R127" s="354">
        <f t="shared" si="4"/>
        <v>-9.4529255432347983E-2</v>
      </c>
      <c r="S127" s="354">
        <f t="shared" si="4"/>
        <v>-9.070638113177508E-2</v>
      </c>
      <c r="T127" s="354">
        <f t="shared" si="4"/>
        <v>-9.4529255432347983E-2</v>
      </c>
      <c r="U127" s="354">
        <f t="shared" si="4"/>
        <v>-9.4529255432347983E-2</v>
      </c>
      <c r="V127" s="354">
        <f t="shared" si="4"/>
        <v>-9.070638113177508E-2</v>
      </c>
      <c r="W127" s="354">
        <f t="shared" si="4"/>
        <v>-9.070638113177508E-2</v>
      </c>
      <c r="X127" s="354">
        <f t="shared" si="4"/>
        <v>-8.7397110280297508E-2</v>
      </c>
      <c r="Y127" s="354">
        <f t="shared" si="4"/>
        <v>-8.7397110280297508E-2</v>
      </c>
      <c r="Z127" s="349"/>
      <c r="AA127" s="349"/>
    </row>
    <row r="128" spans="2:27" x14ac:dyDescent="0.25">
      <c r="E128" s="96"/>
      <c r="F128" s="411" t="s">
        <v>47</v>
      </c>
      <c r="G128" s="293" t="s">
        <v>183</v>
      </c>
      <c r="H128" s="349"/>
      <c r="I128" s="349"/>
      <c r="J128" s="354">
        <f t="shared" ref="J128:Y128" si="5">hundred * $H23 * J60 / $H48 * J$78 * (1 - J72) / hours_in_year</f>
        <v>0.13808402271874393</v>
      </c>
      <c r="K128" s="354">
        <f t="shared" si="5"/>
        <v>0.13808402271874393</v>
      </c>
      <c r="L128" s="354">
        <f t="shared" si="5"/>
        <v>9.5014797753708455E-2</v>
      </c>
      <c r="M128" s="354">
        <f t="shared" si="5"/>
        <v>9.5014797753708455E-2</v>
      </c>
      <c r="N128" s="354">
        <f t="shared" si="5"/>
        <v>8.7284716808327625E-2</v>
      </c>
      <c r="O128" s="354">
        <f t="shared" si="5"/>
        <v>6.7451008549345534E-2</v>
      </c>
      <c r="P128" s="354">
        <f t="shared" si="5"/>
        <v>6.4960398294230101E-2</v>
      </c>
      <c r="Q128" s="354">
        <f t="shared" si="5"/>
        <v>0.12831407904366868</v>
      </c>
      <c r="R128" s="354">
        <f t="shared" si="5"/>
        <v>-6.6064043923306268E-2</v>
      </c>
      <c r="S128" s="354">
        <f t="shared" si="5"/>
        <v>-6.3392336264643162E-2</v>
      </c>
      <c r="T128" s="354">
        <f t="shared" si="5"/>
        <v>-6.6064043923306268E-2</v>
      </c>
      <c r="U128" s="354">
        <f t="shared" si="5"/>
        <v>-6.6064043923306268E-2</v>
      </c>
      <c r="V128" s="354">
        <f t="shared" si="5"/>
        <v>-6.3392336264643162E-2</v>
      </c>
      <c r="W128" s="354">
        <f t="shared" si="5"/>
        <v>-6.3392336264643162E-2</v>
      </c>
      <c r="X128" s="354">
        <f t="shared" si="5"/>
        <v>-5.9792942921391146E-2</v>
      </c>
      <c r="Y128" s="354">
        <f t="shared" si="5"/>
        <v>-5.9792942921391146E-2</v>
      </c>
      <c r="Z128" s="349"/>
      <c r="AA128" s="349"/>
    </row>
    <row r="129" spans="4:27" x14ac:dyDescent="0.25">
      <c r="E129" s="96"/>
      <c r="F129" s="411" t="s">
        <v>51</v>
      </c>
      <c r="G129" s="293" t="s">
        <v>183</v>
      </c>
      <c r="H129" s="349"/>
      <c r="I129" s="349"/>
      <c r="J129" s="354">
        <f t="shared" ref="J129:Y129" si="6">hundred * $H24 * J61 / $H49 * J$78 * (1 - J73) / hours_in_year</f>
        <v>0</v>
      </c>
      <c r="K129" s="354">
        <f t="shared" si="6"/>
        <v>0</v>
      </c>
      <c r="L129" s="354">
        <f t="shared" si="6"/>
        <v>0</v>
      </c>
      <c r="M129" s="354">
        <f t="shared" si="6"/>
        <v>0</v>
      </c>
      <c r="N129" s="354">
        <f t="shared" si="6"/>
        <v>0</v>
      </c>
      <c r="O129" s="354">
        <f t="shared" si="6"/>
        <v>0</v>
      </c>
      <c r="P129" s="354">
        <f t="shared" si="6"/>
        <v>0</v>
      </c>
      <c r="Q129" s="354">
        <f t="shared" si="6"/>
        <v>0</v>
      </c>
      <c r="R129" s="354">
        <f t="shared" si="6"/>
        <v>0</v>
      </c>
      <c r="S129" s="354">
        <f t="shared" si="6"/>
        <v>0</v>
      </c>
      <c r="T129" s="354">
        <f t="shared" si="6"/>
        <v>0</v>
      </c>
      <c r="U129" s="354">
        <f t="shared" si="6"/>
        <v>0</v>
      </c>
      <c r="V129" s="354">
        <f t="shared" si="6"/>
        <v>0</v>
      </c>
      <c r="W129" s="354">
        <f t="shared" si="6"/>
        <v>0</v>
      </c>
      <c r="X129" s="354">
        <f t="shared" si="6"/>
        <v>0</v>
      </c>
      <c r="Y129" s="354">
        <f t="shared" si="6"/>
        <v>0</v>
      </c>
      <c r="Z129" s="349"/>
      <c r="AA129" s="349"/>
    </row>
    <row r="130" spans="4:27" x14ac:dyDescent="0.25">
      <c r="E130" s="96"/>
      <c r="F130" s="411" t="s">
        <v>48</v>
      </c>
      <c r="G130" s="293" t="s">
        <v>183</v>
      </c>
      <c r="H130" s="349"/>
      <c r="I130" s="349"/>
      <c r="J130" s="354">
        <f t="shared" ref="J130:Y130" si="7">hundred * $H25 * J62 / $H50 * J$78 * (1 - J74) / hours_in_year</f>
        <v>0.300582484589762</v>
      </c>
      <c r="K130" s="354">
        <f t="shared" si="7"/>
        <v>0.300582484589762</v>
      </c>
      <c r="L130" s="354">
        <f t="shared" si="7"/>
        <v>0.20682902640934311</v>
      </c>
      <c r="M130" s="354">
        <f t="shared" si="7"/>
        <v>0.20682902640934311</v>
      </c>
      <c r="N130" s="354">
        <f t="shared" si="7"/>
        <v>0.19000211992954552</v>
      </c>
      <c r="O130" s="354">
        <f t="shared" si="7"/>
        <v>0.14682793373672062</v>
      </c>
      <c r="P130" s="354">
        <f t="shared" si="7"/>
        <v>0.13888498673020433</v>
      </c>
      <c r="Q130" s="354">
        <f t="shared" si="7"/>
        <v>0.27931518743013556</v>
      </c>
      <c r="R130" s="354">
        <f t="shared" si="7"/>
        <v>-0.14380877724689162</v>
      </c>
      <c r="S130" s="354">
        <f t="shared" si="7"/>
        <v>-0.13799298110823058</v>
      </c>
      <c r="T130" s="354">
        <f t="shared" si="7"/>
        <v>-0.14380877724689162</v>
      </c>
      <c r="U130" s="354">
        <f t="shared" si="7"/>
        <v>-0.14380877724689162</v>
      </c>
      <c r="V130" s="354">
        <f t="shared" si="7"/>
        <v>-0.13799298110823058</v>
      </c>
      <c r="W130" s="354">
        <f t="shared" si="7"/>
        <v>-0.13799298110823058</v>
      </c>
      <c r="X130" s="354">
        <f t="shared" si="7"/>
        <v>0</v>
      </c>
      <c r="Y130" s="354">
        <f t="shared" si="7"/>
        <v>0</v>
      </c>
      <c r="Z130" s="349"/>
      <c r="AA130" s="349"/>
    </row>
    <row r="131" spans="4:27" x14ac:dyDescent="0.25">
      <c r="E131" s="96"/>
      <c r="F131" s="411" t="s">
        <v>49</v>
      </c>
      <c r="G131" s="293" t="s">
        <v>183</v>
      </c>
      <c r="H131" s="349"/>
      <c r="I131" s="349"/>
      <c r="J131" s="354">
        <f t="shared" ref="J131:Y131" si="8">hundred * $H26 * J63 / $H51 * J$78 * (1 - J75) / hours_in_year</f>
        <v>9.9547300640604852E-2</v>
      </c>
      <c r="K131" s="354">
        <f t="shared" si="8"/>
        <v>9.9547300640604852E-2</v>
      </c>
      <c r="L131" s="354">
        <f t="shared" si="8"/>
        <v>6.8497907658441673E-2</v>
      </c>
      <c r="M131" s="354">
        <f t="shared" si="8"/>
        <v>6.8497907658441673E-2</v>
      </c>
      <c r="N131" s="354">
        <f t="shared" si="8"/>
        <v>6.2925150747865505E-2</v>
      </c>
      <c r="O131" s="354">
        <f t="shared" si="8"/>
        <v>4.8626667259326989E-2</v>
      </c>
      <c r="P131" s="354">
        <f t="shared" si="8"/>
        <v>0</v>
      </c>
      <c r="Q131" s="354">
        <f t="shared" si="8"/>
        <v>9.2503969333220595E-2</v>
      </c>
      <c r="R131" s="354">
        <f t="shared" si="8"/>
        <v>-4.7626779061635649E-2</v>
      </c>
      <c r="S131" s="354">
        <f t="shared" si="8"/>
        <v>0</v>
      </c>
      <c r="T131" s="354">
        <f t="shared" si="8"/>
        <v>-4.7626779061635649E-2</v>
      </c>
      <c r="U131" s="354">
        <f t="shared" si="8"/>
        <v>-4.7626779061635649E-2</v>
      </c>
      <c r="V131" s="354">
        <f t="shared" si="8"/>
        <v>0</v>
      </c>
      <c r="W131" s="354">
        <f t="shared" si="8"/>
        <v>0</v>
      </c>
      <c r="X131" s="354">
        <f t="shared" si="8"/>
        <v>0</v>
      </c>
      <c r="Y131" s="354">
        <f t="shared" si="8"/>
        <v>0</v>
      </c>
      <c r="Z131" s="349"/>
      <c r="AA131" s="349"/>
    </row>
    <row r="132" spans="4:27" x14ac:dyDescent="0.25">
      <c r="E132" s="96"/>
      <c r="F132" s="413" t="s">
        <v>50</v>
      </c>
      <c r="G132" s="93" t="s">
        <v>183</v>
      </c>
      <c r="H132" s="351"/>
      <c r="I132" s="351"/>
      <c r="J132" s="355">
        <f t="shared" ref="J132:Y132" si="9">hundred * $H27 * J64 / $H52 * J$78 * (1 - J76) / hours_in_year</f>
        <v>2.0019486230326268E-2</v>
      </c>
      <c r="K132" s="355">
        <f t="shared" si="9"/>
        <v>2.0019486230326268E-2</v>
      </c>
      <c r="L132" s="355">
        <f t="shared" si="9"/>
        <v>1.3775289840606582E-2</v>
      </c>
      <c r="M132" s="355">
        <f t="shared" si="9"/>
        <v>1.3775289840606582E-2</v>
      </c>
      <c r="N132" s="355">
        <f t="shared" si="9"/>
        <v>1.265457908784581E-2</v>
      </c>
      <c r="O132" s="355">
        <f t="shared" si="9"/>
        <v>0</v>
      </c>
      <c r="P132" s="355">
        <f t="shared" si="9"/>
        <v>0</v>
      </c>
      <c r="Q132" s="355">
        <f t="shared" si="9"/>
        <v>1.8603035224458508E-2</v>
      </c>
      <c r="R132" s="355">
        <f t="shared" si="9"/>
        <v>0</v>
      </c>
      <c r="S132" s="355">
        <f t="shared" si="9"/>
        <v>0</v>
      </c>
      <c r="T132" s="355">
        <f t="shared" si="9"/>
        <v>0</v>
      </c>
      <c r="U132" s="355">
        <f t="shared" si="9"/>
        <v>0</v>
      </c>
      <c r="V132" s="355">
        <f t="shared" si="9"/>
        <v>0</v>
      </c>
      <c r="W132" s="355">
        <f t="shared" si="9"/>
        <v>0</v>
      </c>
      <c r="X132" s="355">
        <f t="shared" si="9"/>
        <v>0</v>
      </c>
      <c r="Y132" s="355">
        <f t="shared" si="9"/>
        <v>0</v>
      </c>
      <c r="Z132" s="349"/>
      <c r="AA132" s="349"/>
    </row>
    <row r="133" spans="4:27" x14ac:dyDescent="0.25">
      <c r="E133" s="96"/>
      <c r="F133" s="411"/>
      <c r="J133" s="252"/>
      <c r="K133" s="252"/>
      <c r="L133" s="252"/>
      <c r="M133" s="252"/>
      <c r="N133" s="252"/>
      <c r="O133" s="252"/>
      <c r="P133" s="252"/>
      <c r="Q133" s="252"/>
      <c r="R133" s="252"/>
      <c r="S133" s="252"/>
      <c r="T133" s="252"/>
      <c r="U133" s="252"/>
      <c r="V133" s="252"/>
      <c r="W133" s="252"/>
      <c r="X133" s="252"/>
      <c r="Y133" s="252"/>
    </row>
    <row r="134" spans="4:27" x14ac:dyDescent="0.25">
      <c r="E134" s="96" t="s">
        <v>116</v>
      </c>
      <c r="J134" s="252"/>
      <c r="K134" s="252"/>
      <c r="L134" s="252"/>
      <c r="M134" s="252"/>
      <c r="N134" s="252"/>
      <c r="O134" s="252"/>
      <c r="P134" s="252"/>
      <c r="Q134" s="252"/>
      <c r="R134" s="252"/>
      <c r="S134" s="252"/>
      <c r="T134" s="252"/>
      <c r="U134" s="252"/>
      <c r="V134" s="252"/>
      <c r="W134" s="252"/>
      <c r="X134" s="252"/>
      <c r="Y134" s="252"/>
    </row>
    <row r="135" spans="4:27" x14ac:dyDescent="0.25">
      <c r="D135" s="96"/>
      <c r="E135" s="96"/>
      <c r="F135" s="410" t="s">
        <v>267</v>
      </c>
      <c r="G135" s="91" t="s">
        <v>183</v>
      </c>
      <c r="H135" s="347"/>
      <c r="I135" s="347"/>
      <c r="J135" s="353">
        <f t="shared" ref="J135:Y135" si="10">hundred * $H30 * J55 / $H43 * J$78 / hours_in_year</f>
        <v>7.1320252700770914E-2</v>
      </c>
      <c r="K135" s="353">
        <f t="shared" si="10"/>
        <v>7.1320252700770914E-2</v>
      </c>
      <c r="L135" s="353">
        <f t="shared" si="10"/>
        <v>4.9075043243125831E-2</v>
      </c>
      <c r="M135" s="353">
        <f t="shared" si="10"/>
        <v>4.9075043243125831E-2</v>
      </c>
      <c r="N135" s="353">
        <f t="shared" si="10"/>
        <v>4.5082464553954003E-2</v>
      </c>
      <c r="O135" s="353">
        <f t="shared" si="10"/>
        <v>3.4838375070080974E-2</v>
      </c>
      <c r="P135" s="353">
        <f t="shared" si="10"/>
        <v>3.5060638922519996E-2</v>
      </c>
      <c r="Q135" s="353">
        <f t="shared" si="10"/>
        <v>6.6274087054236069E-2</v>
      </c>
      <c r="R135" s="353">
        <f t="shared" si="10"/>
        <v>-3.4122009297498923E-2</v>
      </c>
      <c r="S135" s="353">
        <f t="shared" si="10"/>
        <v>-3.274207509796772E-2</v>
      </c>
      <c r="T135" s="353">
        <f t="shared" si="10"/>
        <v>-3.4122009297498923E-2</v>
      </c>
      <c r="U135" s="353">
        <f t="shared" si="10"/>
        <v>-3.4122009297498923E-2</v>
      </c>
      <c r="V135" s="353">
        <f t="shared" si="10"/>
        <v>-3.274207509796772E-2</v>
      </c>
      <c r="W135" s="353">
        <f t="shared" si="10"/>
        <v>-3.274207509796772E-2</v>
      </c>
      <c r="X135" s="353">
        <f t="shared" si="10"/>
        <v>-3.2271642984491165E-2</v>
      </c>
      <c r="Y135" s="353">
        <f t="shared" si="10"/>
        <v>-3.2271642984491165E-2</v>
      </c>
      <c r="Z135" s="349"/>
      <c r="AA135" s="349"/>
    </row>
    <row r="136" spans="4:27" x14ac:dyDescent="0.25">
      <c r="D136" s="96"/>
      <c r="E136" s="96"/>
      <c r="F136" s="411" t="s">
        <v>43</v>
      </c>
      <c r="G136" s="293" t="s">
        <v>183</v>
      </c>
      <c r="H136" s="349"/>
      <c r="I136" s="349"/>
      <c r="J136" s="354">
        <f t="shared" ref="J136:Y136" si="11">hundred * $H31 * J56 / $H44 * J$78 / hours_in_year</f>
        <v>0</v>
      </c>
      <c r="K136" s="354">
        <f t="shared" si="11"/>
        <v>0</v>
      </c>
      <c r="L136" s="354">
        <f t="shared" si="11"/>
        <v>0</v>
      </c>
      <c r="M136" s="354">
        <f t="shared" si="11"/>
        <v>0</v>
      </c>
      <c r="N136" s="354">
        <f t="shared" si="11"/>
        <v>0</v>
      </c>
      <c r="O136" s="354">
        <f t="shared" si="11"/>
        <v>0</v>
      </c>
      <c r="P136" s="354">
        <f t="shared" si="11"/>
        <v>0</v>
      </c>
      <c r="Q136" s="354">
        <f t="shared" si="11"/>
        <v>0</v>
      </c>
      <c r="R136" s="354">
        <f t="shared" si="11"/>
        <v>0</v>
      </c>
      <c r="S136" s="354">
        <f t="shared" si="11"/>
        <v>0</v>
      </c>
      <c r="T136" s="354">
        <f t="shared" si="11"/>
        <v>0</v>
      </c>
      <c r="U136" s="354">
        <f t="shared" si="11"/>
        <v>0</v>
      </c>
      <c r="V136" s="354">
        <f t="shared" si="11"/>
        <v>0</v>
      </c>
      <c r="W136" s="354">
        <f t="shared" si="11"/>
        <v>0</v>
      </c>
      <c r="X136" s="354">
        <f t="shared" si="11"/>
        <v>0</v>
      </c>
      <c r="Y136" s="354">
        <f t="shared" si="11"/>
        <v>0</v>
      </c>
      <c r="Z136" s="349"/>
      <c r="AA136" s="349"/>
    </row>
    <row r="137" spans="4:27" x14ac:dyDescent="0.25">
      <c r="D137" s="96"/>
      <c r="E137" s="96"/>
      <c r="F137" s="411" t="s">
        <v>44</v>
      </c>
      <c r="G137" s="293" t="s">
        <v>183</v>
      </c>
      <c r="H137" s="349"/>
      <c r="I137" s="349"/>
      <c r="J137" s="354">
        <f t="shared" ref="J137:Y137" si="12">hundred * $H32 * J57 / $H45 * J$78 / hours_in_year</f>
        <v>0.15781754351192687</v>
      </c>
      <c r="K137" s="354">
        <f t="shared" si="12"/>
        <v>0.15781754351192687</v>
      </c>
      <c r="L137" s="354">
        <f t="shared" si="12"/>
        <v>0.10859331647163369</v>
      </c>
      <c r="M137" s="354">
        <f t="shared" si="12"/>
        <v>0.10859331647163369</v>
      </c>
      <c r="N137" s="354">
        <f t="shared" si="12"/>
        <v>9.9758533403116106E-2</v>
      </c>
      <c r="O137" s="354">
        <f t="shared" si="12"/>
        <v>7.7090399505103019E-2</v>
      </c>
      <c r="P137" s="354">
        <f t="shared" si="12"/>
        <v>7.7582225233071067E-2</v>
      </c>
      <c r="Q137" s="354">
        <f t="shared" si="12"/>
        <v>0.14665138191920729</v>
      </c>
      <c r="R137" s="354">
        <f t="shared" si="12"/>
        <v>-7.5505224436258928E-2</v>
      </c>
      <c r="S137" s="354">
        <f t="shared" si="12"/>
        <v>-7.2451704330380798E-2</v>
      </c>
      <c r="T137" s="354">
        <f t="shared" si="12"/>
        <v>-7.5505224436258928E-2</v>
      </c>
      <c r="U137" s="354">
        <f t="shared" si="12"/>
        <v>-7.5505224436258928E-2</v>
      </c>
      <c r="V137" s="354">
        <f t="shared" si="12"/>
        <v>-7.2451704330380798E-2</v>
      </c>
      <c r="W137" s="354">
        <f t="shared" si="12"/>
        <v>-7.2451704330380798E-2</v>
      </c>
      <c r="X137" s="354">
        <f t="shared" si="12"/>
        <v>-7.1410731567013261E-2</v>
      </c>
      <c r="Y137" s="354">
        <f t="shared" si="12"/>
        <v>-7.1410731567013261E-2</v>
      </c>
      <c r="Z137" s="349"/>
      <c r="AA137" s="349"/>
    </row>
    <row r="138" spans="4:27" x14ac:dyDescent="0.25">
      <c r="D138" s="96"/>
      <c r="E138" s="96"/>
      <c r="F138" s="411" t="s">
        <v>45</v>
      </c>
      <c r="G138" s="293" t="s">
        <v>183</v>
      </c>
      <c r="H138" s="349"/>
      <c r="I138" s="349"/>
      <c r="J138" s="354">
        <f t="shared" ref="J138:Y138" si="13">hundred * $H33 * J58 / $H46 * J$78 / hours_in_year</f>
        <v>4.0834952353243782E-2</v>
      </c>
      <c r="K138" s="354">
        <f t="shared" si="13"/>
        <v>4.0834952353243782E-2</v>
      </c>
      <c r="L138" s="354">
        <f t="shared" si="13"/>
        <v>2.8098288728367896E-2</v>
      </c>
      <c r="M138" s="354">
        <f t="shared" si="13"/>
        <v>2.8098288728367896E-2</v>
      </c>
      <c r="N138" s="354">
        <f t="shared" si="13"/>
        <v>2.5812307476689778E-2</v>
      </c>
      <c r="O138" s="354">
        <f t="shared" si="13"/>
        <v>1.9946976239973633E-2</v>
      </c>
      <c r="P138" s="354">
        <f t="shared" si="13"/>
        <v>2.0074235096756921E-2</v>
      </c>
      <c r="Q138" s="354">
        <f t="shared" si="13"/>
        <v>3.7945731887251255E-2</v>
      </c>
      <c r="R138" s="354">
        <f t="shared" si="13"/>
        <v>-1.9536815576163102E-2</v>
      </c>
      <c r="S138" s="354">
        <f t="shared" si="13"/>
        <v>-1.8746723769774154E-2</v>
      </c>
      <c r="T138" s="354">
        <f t="shared" si="13"/>
        <v>-1.9536815576163102E-2</v>
      </c>
      <c r="U138" s="354">
        <f t="shared" si="13"/>
        <v>-1.9536815576163102E-2</v>
      </c>
      <c r="V138" s="354">
        <f t="shared" si="13"/>
        <v>-1.8746723769774154E-2</v>
      </c>
      <c r="W138" s="354">
        <f t="shared" si="13"/>
        <v>-1.8746723769774154E-2</v>
      </c>
      <c r="X138" s="354">
        <f t="shared" si="13"/>
        <v>-1.8477374290323374E-2</v>
      </c>
      <c r="Y138" s="354">
        <f t="shared" si="13"/>
        <v>-1.8477374290323374E-2</v>
      </c>
      <c r="Z138" s="349"/>
      <c r="AA138" s="349"/>
    </row>
    <row r="139" spans="4:27" x14ac:dyDescent="0.25">
      <c r="D139" s="96"/>
      <c r="E139" s="96"/>
      <c r="F139" s="411" t="s">
        <v>46</v>
      </c>
      <c r="G139" s="293" t="s">
        <v>183</v>
      </c>
      <c r="H139" s="349"/>
      <c r="I139" s="349"/>
      <c r="J139" s="354">
        <f t="shared" ref="J139:Y139" si="14">hundred * $H34 * J59 / $H47 * J$78 / hours_in_year</f>
        <v>0.11249953769024888</v>
      </c>
      <c r="K139" s="354">
        <f t="shared" si="14"/>
        <v>0.11249953769024888</v>
      </c>
      <c r="L139" s="354">
        <f t="shared" si="14"/>
        <v>7.7410265217988383E-2</v>
      </c>
      <c r="M139" s="354">
        <f t="shared" si="14"/>
        <v>7.7410265217988383E-2</v>
      </c>
      <c r="N139" s="354">
        <f t="shared" si="14"/>
        <v>7.1112429193650864E-2</v>
      </c>
      <c r="O139" s="354">
        <f t="shared" si="14"/>
        <v>5.4953550230778102E-2</v>
      </c>
      <c r="P139" s="354">
        <f t="shared" si="14"/>
        <v>5.5304146025068834E-2</v>
      </c>
      <c r="Q139" s="354">
        <f t="shared" si="14"/>
        <v>0.10453978879920985</v>
      </c>
      <c r="R139" s="354">
        <f t="shared" si="14"/>
        <v>-5.3823565195942023E-2</v>
      </c>
      <c r="S139" s="354">
        <f t="shared" si="14"/>
        <v>-5.1646876897576723E-2</v>
      </c>
      <c r="T139" s="354">
        <f t="shared" si="14"/>
        <v>-5.3823565195942023E-2</v>
      </c>
      <c r="U139" s="354">
        <f t="shared" si="14"/>
        <v>-5.3823565195942023E-2</v>
      </c>
      <c r="V139" s="354">
        <f t="shared" si="14"/>
        <v>-5.1646876897576723E-2</v>
      </c>
      <c r="W139" s="354">
        <f t="shared" si="14"/>
        <v>-5.1646876897576723E-2</v>
      </c>
      <c r="X139" s="354">
        <f t="shared" si="14"/>
        <v>-5.0904824068588539E-2</v>
      </c>
      <c r="Y139" s="354">
        <f t="shared" si="14"/>
        <v>-5.0904824068588539E-2</v>
      </c>
      <c r="Z139" s="349"/>
      <c r="AA139" s="349"/>
    </row>
    <row r="140" spans="4:27" x14ac:dyDescent="0.25">
      <c r="D140" s="96"/>
      <c r="E140" s="96"/>
      <c r="F140" s="411" t="s">
        <v>47</v>
      </c>
      <c r="G140" s="293" t="s">
        <v>183</v>
      </c>
      <c r="H140" s="349"/>
      <c r="I140" s="349"/>
      <c r="J140" s="354">
        <f t="shared" ref="J140:Y140" si="15">hundred * $H35 * J60 / $H48 * J$78 / hours_in_year</f>
        <v>7.9592540523552704E-2</v>
      </c>
      <c r="K140" s="354">
        <f t="shared" si="15"/>
        <v>7.9592540523552704E-2</v>
      </c>
      <c r="L140" s="354">
        <f t="shared" si="15"/>
        <v>5.4767155472815271E-2</v>
      </c>
      <c r="M140" s="354">
        <f t="shared" si="15"/>
        <v>5.4767155472815271E-2</v>
      </c>
      <c r="N140" s="354">
        <f t="shared" si="15"/>
        <v>5.0311485882795062E-2</v>
      </c>
      <c r="O140" s="354">
        <f t="shared" si="15"/>
        <v>3.8879205759042079E-2</v>
      </c>
      <c r="P140" s="354">
        <f t="shared" si="15"/>
        <v>3.9127249533597877E-2</v>
      </c>
      <c r="Q140" s="354">
        <f t="shared" si="15"/>
        <v>7.3961080615586872E-2</v>
      </c>
      <c r="R140" s="354">
        <f t="shared" si="15"/>
        <v>-3.8079750209955007E-2</v>
      </c>
      <c r="S140" s="354">
        <f t="shared" si="15"/>
        <v>-3.6539760311758304E-2</v>
      </c>
      <c r="T140" s="354">
        <f t="shared" si="15"/>
        <v>-3.8079750209955007E-2</v>
      </c>
      <c r="U140" s="354">
        <f t="shared" si="15"/>
        <v>-3.8079750209955007E-2</v>
      </c>
      <c r="V140" s="354">
        <f t="shared" si="15"/>
        <v>-3.6539760311758304E-2</v>
      </c>
      <c r="W140" s="354">
        <f t="shared" si="15"/>
        <v>-3.6539760311758304E-2</v>
      </c>
      <c r="X140" s="354">
        <f t="shared" si="15"/>
        <v>-3.6014763755554867E-2</v>
      </c>
      <c r="Y140" s="354">
        <f t="shared" si="15"/>
        <v>-3.6014763755554867E-2</v>
      </c>
      <c r="Z140" s="349"/>
      <c r="AA140" s="349"/>
    </row>
    <row r="141" spans="4:27" x14ac:dyDescent="0.25">
      <c r="D141" s="96"/>
      <c r="E141" s="96"/>
      <c r="F141" s="411" t="s">
        <v>51</v>
      </c>
      <c r="G141" s="293" t="s">
        <v>183</v>
      </c>
      <c r="H141" s="349"/>
      <c r="I141" s="349"/>
      <c r="J141" s="354">
        <f t="shared" ref="J141:Y141" si="16">hundred * $H36 * J61 / $H49 * J$78 / hours_in_year</f>
        <v>0</v>
      </c>
      <c r="K141" s="354">
        <f t="shared" si="16"/>
        <v>0</v>
      </c>
      <c r="L141" s="354">
        <f t="shared" si="16"/>
        <v>0</v>
      </c>
      <c r="M141" s="354">
        <f t="shared" si="16"/>
        <v>0</v>
      </c>
      <c r="N141" s="354">
        <f t="shared" si="16"/>
        <v>0</v>
      </c>
      <c r="O141" s="354">
        <f t="shared" si="16"/>
        <v>0</v>
      </c>
      <c r="P141" s="354">
        <f t="shared" si="16"/>
        <v>0</v>
      </c>
      <c r="Q141" s="354">
        <f t="shared" si="16"/>
        <v>0</v>
      </c>
      <c r="R141" s="354">
        <f t="shared" si="16"/>
        <v>0</v>
      </c>
      <c r="S141" s="354">
        <f t="shared" si="16"/>
        <v>0</v>
      </c>
      <c r="T141" s="354">
        <f t="shared" si="16"/>
        <v>0</v>
      </c>
      <c r="U141" s="354">
        <f t="shared" si="16"/>
        <v>0</v>
      </c>
      <c r="V141" s="354">
        <f t="shared" si="16"/>
        <v>0</v>
      </c>
      <c r="W141" s="354">
        <f t="shared" si="16"/>
        <v>0</v>
      </c>
      <c r="X141" s="354">
        <f t="shared" si="16"/>
        <v>0</v>
      </c>
      <c r="Y141" s="354">
        <f t="shared" si="16"/>
        <v>0</v>
      </c>
      <c r="Z141" s="349"/>
      <c r="AA141" s="349"/>
    </row>
    <row r="142" spans="4:27" x14ac:dyDescent="0.25">
      <c r="D142" s="96"/>
      <c r="E142" s="96"/>
      <c r="F142" s="411" t="s">
        <v>48</v>
      </c>
      <c r="G142" s="293" t="s">
        <v>183</v>
      </c>
      <c r="H142" s="349"/>
      <c r="I142" s="349"/>
      <c r="J142" s="354">
        <f t="shared" ref="J142:Y142" si="17">hundred * $H37 * J62 / $H50 * J$78 / hours_in_year</f>
        <v>0.25758899724287682</v>
      </c>
      <c r="K142" s="354">
        <f t="shared" si="17"/>
        <v>0.25758899724287682</v>
      </c>
      <c r="L142" s="354">
        <f t="shared" si="17"/>
        <v>0.17724546254322171</v>
      </c>
      <c r="M142" s="354">
        <f t="shared" si="17"/>
        <v>0.17724546254322171</v>
      </c>
      <c r="N142" s="354">
        <f t="shared" si="17"/>
        <v>0.16282537425116309</v>
      </c>
      <c r="O142" s="354">
        <f t="shared" si="17"/>
        <v>0.12582656061980546</v>
      </c>
      <c r="P142" s="354">
        <f t="shared" si="17"/>
        <v>0.12662931608834416</v>
      </c>
      <c r="Q142" s="354">
        <f t="shared" si="17"/>
        <v>0.23936364470148974</v>
      </c>
      <c r="R142" s="354">
        <f t="shared" si="17"/>
        <v>-0.12323924588057243</v>
      </c>
      <c r="S142" s="354">
        <f t="shared" si="17"/>
        <v>-0.11825530578981398</v>
      </c>
      <c r="T142" s="354">
        <f t="shared" si="17"/>
        <v>-0.12323924588057243</v>
      </c>
      <c r="U142" s="354">
        <f t="shared" si="17"/>
        <v>-0.12323924588057243</v>
      </c>
      <c r="V142" s="354">
        <f t="shared" si="17"/>
        <v>-0.11825530578981398</v>
      </c>
      <c r="W142" s="354">
        <f t="shared" si="17"/>
        <v>-0.11825530578981398</v>
      </c>
      <c r="X142" s="354">
        <f t="shared" si="17"/>
        <v>0</v>
      </c>
      <c r="Y142" s="354">
        <f t="shared" si="17"/>
        <v>0</v>
      </c>
      <c r="Z142" s="349"/>
      <c r="AA142" s="349"/>
    </row>
    <row r="143" spans="4:27" x14ac:dyDescent="0.25">
      <c r="D143" s="96"/>
      <c r="E143" s="96"/>
      <c r="F143" s="411" t="s">
        <v>49</v>
      </c>
      <c r="G143" s="293" t="s">
        <v>183</v>
      </c>
      <c r="H143" s="349"/>
      <c r="I143" s="349"/>
      <c r="J143" s="354">
        <f t="shared" ref="J143:Y143" si="18">hundred * $H38 * J63 / $H51 * J$78 / hours_in_year</f>
        <v>9.7105842607471016E-2</v>
      </c>
      <c r="K143" s="354">
        <f t="shared" si="18"/>
        <v>9.7105842607471016E-2</v>
      </c>
      <c r="L143" s="354">
        <f t="shared" si="18"/>
        <v>6.6817954853801292E-2</v>
      </c>
      <c r="M143" s="354">
        <f t="shared" si="18"/>
        <v>6.6817954853801292E-2</v>
      </c>
      <c r="N143" s="354">
        <f t="shared" si="18"/>
        <v>6.1381873192463167E-2</v>
      </c>
      <c r="O143" s="354">
        <f t="shared" si="18"/>
        <v>4.7434068699237199E-2</v>
      </c>
      <c r="P143" s="354">
        <f t="shared" si="18"/>
        <v>0</v>
      </c>
      <c r="Q143" s="354">
        <f t="shared" si="18"/>
        <v>9.0235253279927277E-2</v>
      </c>
      <c r="R143" s="354">
        <f t="shared" si="18"/>
        <v>-4.6458703367126146E-2</v>
      </c>
      <c r="S143" s="354">
        <f t="shared" si="18"/>
        <v>0</v>
      </c>
      <c r="T143" s="354">
        <f t="shared" si="18"/>
        <v>-4.6458703367126146E-2</v>
      </c>
      <c r="U143" s="354">
        <f t="shared" si="18"/>
        <v>-4.6458703367126146E-2</v>
      </c>
      <c r="V143" s="354">
        <f t="shared" si="18"/>
        <v>0</v>
      </c>
      <c r="W143" s="354">
        <f t="shared" si="18"/>
        <v>0</v>
      </c>
      <c r="X143" s="354">
        <f t="shared" si="18"/>
        <v>0</v>
      </c>
      <c r="Y143" s="354">
        <f t="shared" si="18"/>
        <v>0</v>
      </c>
      <c r="Z143" s="349"/>
      <c r="AA143" s="349"/>
    </row>
    <row r="144" spans="4:27" x14ac:dyDescent="0.25">
      <c r="D144" s="96"/>
      <c r="E144" s="96"/>
      <c r="F144" s="413" t="s">
        <v>50</v>
      </c>
      <c r="G144" s="93" t="s">
        <v>183</v>
      </c>
      <c r="H144" s="351"/>
      <c r="I144" s="351"/>
      <c r="J144" s="355">
        <f t="shared" ref="J144:Y144" si="19">hundred * $H39 * J64 / $H52 * J$78 / hours_in_year</f>
        <v>0.25560725842318122</v>
      </c>
      <c r="K144" s="355">
        <f t="shared" si="19"/>
        <v>0.25560725842318122</v>
      </c>
      <c r="L144" s="355">
        <f t="shared" si="19"/>
        <v>0.17588183980507499</v>
      </c>
      <c r="M144" s="355">
        <f t="shared" si="19"/>
        <v>0.17588183980507499</v>
      </c>
      <c r="N144" s="355">
        <f t="shared" si="19"/>
        <v>0.16157269122339871</v>
      </c>
      <c r="O144" s="355">
        <f t="shared" si="19"/>
        <v>0</v>
      </c>
      <c r="P144" s="355">
        <f t="shared" si="19"/>
        <v>0</v>
      </c>
      <c r="Q144" s="355">
        <f t="shared" si="19"/>
        <v>0.23752212106575191</v>
      </c>
      <c r="R144" s="355">
        <f t="shared" si="19"/>
        <v>0</v>
      </c>
      <c r="S144" s="355">
        <f t="shared" si="19"/>
        <v>0</v>
      </c>
      <c r="T144" s="355">
        <f t="shared" si="19"/>
        <v>0</v>
      </c>
      <c r="U144" s="355">
        <f t="shared" si="19"/>
        <v>0</v>
      </c>
      <c r="V144" s="355">
        <f t="shared" si="19"/>
        <v>0</v>
      </c>
      <c r="W144" s="355">
        <f t="shared" si="19"/>
        <v>0</v>
      </c>
      <c r="X144" s="355">
        <f t="shared" si="19"/>
        <v>0</v>
      </c>
      <c r="Y144" s="355">
        <f t="shared" si="19"/>
        <v>0</v>
      </c>
      <c r="Z144" s="349"/>
      <c r="AA144" s="349"/>
    </row>
    <row r="145" spans="3:27" x14ac:dyDescent="0.25">
      <c r="C145" s="96"/>
      <c r="D145" s="96"/>
      <c r="E145" s="96"/>
      <c r="J145" s="237"/>
      <c r="K145" s="237"/>
      <c r="L145" s="237"/>
      <c r="M145" s="237"/>
      <c r="N145" s="237"/>
      <c r="O145" s="237"/>
      <c r="P145" s="237"/>
      <c r="Q145" s="237"/>
      <c r="R145" s="237"/>
      <c r="S145" s="237"/>
      <c r="T145" s="237"/>
      <c r="U145" s="237"/>
      <c r="V145" s="237"/>
      <c r="W145" s="237"/>
      <c r="X145" s="237"/>
      <c r="Y145" s="237"/>
    </row>
    <row r="146" spans="3:27" x14ac:dyDescent="0.25">
      <c r="C146" s="7" t="str">
        <f ca="1">INDEX('Version control'!$H$35:$H$61,MATCH($A$1,'Version control'!$F$35:$F$61,0),1)&amp;"-C: Unit rate 1"</f>
        <v>Section 512-C: Unit rate 1</v>
      </c>
      <c r="D146" s="7"/>
      <c r="E146" s="7"/>
      <c r="F146" s="7"/>
      <c r="G146" s="7"/>
      <c r="H146" s="7"/>
      <c r="I146" s="7"/>
      <c r="J146" s="241"/>
      <c r="K146" s="241"/>
      <c r="L146" s="241"/>
      <c r="M146" s="241"/>
      <c r="N146" s="241"/>
      <c r="O146" s="241"/>
      <c r="P146" s="241"/>
      <c r="Q146" s="241"/>
      <c r="R146" s="241"/>
      <c r="S146" s="241"/>
      <c r="T146" s="241"/>
      <c r="U146" s="241"/>
      <c r="V146" s="241"/>
      <c r="W146" s="241"/>
      <c r="X146" s="241"/>
      <c r="Y146" s="241"/>
      <c r="Z146" s="7"/>
      <c r="AA146" s="7"/>
    </row>
    <row r="147" spans="3:27" x14ac:dyDescent="0.25">
      <c r="C147" s="96"/>
      <c r="D147" s="96"/>
      <c r="E147" s="96"/>
      <c r="J147" s="237"/>
      <c r="K147" s="237"/>
      <c r="L147" s="237"/>
      <c r="M147" s="237"/>
      <c r="N147" s="237"/>
      <c r="O147" s="237"/>
      <c r="P147" s="237"/>
      <c r="Q147" s="237"/>
      <c r="R147" s="237"/>
      <c r="S147" s="237"/>
      <c r="T147" s="237"/>
      <c r="U147" s="237"/>
      <c r="V147" s="237"/>
      <c r="W147" s="237"/>
      <c r="X147" s="237"/>
      <c r="Y147" s="237"/>
    </row>
    <row r="148" spans="3:27" x14ac:dyDescent="0.25">
      <c r="D148" s="82" t="s">
        <v>818</v>
      </c>
      <c r="E148" s="96"/>
      <c r="F148" s="96"/>
      <c r="J148" s="237"/>
      <c r="K148" s="237"/>
      <c r="L148" s="237"/>
      <c r="M148" s="237"/>
      <c r="N148" s="237"/>
      <c r="O148" s="237"/>
      <c r="P148" s="237"/>
      <c r="Q148" s="237"/>
      <c r="R148" s="237"/>
      <c r="S148" s="237"/>
      <c r="T148" s="237"/>
      <c r="U148" s="237"/>
      <c r="V148" s="237"/>
      <c r="W148" s="237"/>
      <c r="X148" s="237"/>
      <c r="Y148" s="237"/>
    </row>
    <row r="149" spans="3:27" x14ac:dyDescent="0.25">
      <c r="D149" s="82" t="s">
        <v>376</v>
      </c>
      <c r="E149" s="96"/>
      <c r="F149" s="96"/>
      <c r="J149" s="237"/>
      <c r="K149" s="237"/>
      <c r="L149" s="237"/>
      <c r="M149" s="237"/>
      <c r="N149" s="237"/>
      <c r="O149" s="237"/>
      <c r="P149" s="237"/>
      <c r="Q149" s="237"/>
      <c r="R149" s="237"/>
      <c r="S149" s="237"/>
      <c r="T149" s="237"/>
      <c r="U149" s="237"/>
      <c r="V149" s="237"/>
      <c r="W149" s="237"/>
      <c r="X149" s="237"/>
      <c r="Y149" s="237"/>
    </row>
    <row r="150" spans="3:27" x14ac:dyDescent="0.25">
      <c r="D150" s="96"/>
      <c r="E150" s="96"/>
      <c r="F150" s="96"/>
      <c r="I150" s="88" t="s">
        <v>359</v>
      </c>
      <c r="J150" s="237"/>
      <c r="K150" s="237"/>
      <c r="L150" s="237"/>
      <c r="M150" s="237"/>
      <c r="N150" s="237"/>
      <c r="O150" s="237"/>
      <c r="P150" s="237"/>
      <c r="Q150" s="237"/>
      <c r="R150" s="237"/>
      <c r="S150" s="237"/>
      <c r="T150" s="237"/>
      <c r="U150" s="237"/>
      <c r="V150" s="237"/>
      <c r="W150" s="237"/>
      <c r="X150" s="237"/>
      <c r="Y150" s="237"/>
      <c r="AA150" s="293" t="s">
        <v>726</v>
      </c>
    </row>
    <row r="151" spans="3:27" x14ac:dyDescent="0.25">
      <c r="E151" s="96" t="s">
        <v>139</v>
      </c>
      <c r="J151" s="237"/>
      <c r="K151" s="237"/>
      <c r="L151" s="237"/>
      <c r="M151" s="237"/>
      <c r="N151" s="237"/>
      <c r="O151" s="237"/>
      <c r="P151" s="237"/>
      <c r="Q151" s="237"/>
      <c r="R151" s="237"/>
      <c r="S151" s="237"/>
      <c r="T151" s="237"/>
      <c r="U151" s="237"/>
      <c r="V151" s="237"/>
      <c r="W151" s="237"/>
      <c r="X151" s="237"/>
      <c r="Y151" s="237"/>
    </row>
    <row r="152" spans="3:27" x14ac:dyDescent="0.25">
      <c r="E152" s="96"/>
      <c r="F152" s="410" t="s">
        <v>267</v>
      </c>
      <c r="G152" s="91" t="s">
        <v>183</v>
      </c>
      <c r="H152" s="347"/>
      <c r="I152" s="347"/>
      <c r="J152" s="353">
        <f t="shared" ref="J152:Y152" si="20">hundred * $H18 * J55 / $H43 * J81 * (1 - J67) / hours_in_year</f>
        <v>0</v>
      </c>
      <c r="K152" s="353">
        <f t="shared" si="20"/>
        <v>0</v>
      </c>
      <c r="L152" s="353">
        <f t="shared" si="20"/>
        <v>0</v>
      </c>
      <c r="M152" s="353">
        <f t="shared" si="20"/>
        <v>0</v>
      </c>
      <c r="N152" s="353">
        <f t="shared" si="20"/>
        <v>0</v>
      </c>
      <c r="O152" s="353">
        <f t="shared" si="20"/>
        <v>0</v>
      </c>
      <c r="P152" s="353">
        <f t="shared" si="20"/>
        <v>0</v>
      </c>
      <c r="Q152" s="353">
        <f t="shared" si="20"/>
        <v>0</v>
      </c>
      <c r="R152" s="353">
        <f t="shared" si="20"/>
        <v>0</v>
      </c>
      <c r="S152" s="353">
        <f t="shared" si="20"/>
        <v>0</v>
      </c>
      <c r="T152" s="353">
        <f t="shared" si="20"/>
        <v>0</v>
      </c>
      <c r="U152" s="353">
        <f t="shared" si="20"/>
        <v>0</v>
      </c>
      <c r="V152" s="353">
        <f t="shared" si="20"/>
        <v>0</v>
      </c>
      <c r="W152" s="353">
        <f t="shared" si="20"/>
        <v>0</v>
      </c>
      <c r="X152" s="353">
        <f t="shared" si="20"/>
        <v>0</v>
      </c>
      <c r="Y152" s="353">
        <f t="shared" si="20"/>
        <v>0</v>
      </c>
      <c r="Z152" s="349"/>
      <c r="AA152" s="349"/>
    </row>
    <row r="153" spans="3:27" x14ac:dyDescent="0.25">
      <c r="E153" s="96"/>
      <c r="F153" s="411" t="s">
        <v>43</v>
      </c>
      <c r="G153" s="293" t="s">
        <v>183</v>
      </c>
      <c r="H153" s="349"/>
      <c r="I153" s="349"/>
      <c r="J153" s="354">
        <f t="shared" ref="J153:Y153" si="21">hundred * $H19 * J56 / $H44 * J82 * (1 - J68) / hours_in_year</f>
        <v>0</v>
      </c>
      <c r="K153" s="354">
        <f t="shared" si="21"/>
        <v>0</v>
      </c>
      <c r="L153" s="354">
        <f t="shared" si="21"/>
        <v>0</v>
      </c>
      <c r="M153" s="354">
        <f t="shared" si="21"/>
        <v>0</v>
      </c>
      <c r="N153" s="354">
        <f t="shared" si="21"/>
        <v>0</v>
      </c>
      <c r="O153" s="354">
        <f t="shared" si="21"/>
        <v>0</v>
      </c>
      <c r="P153" s="354">
        <f t="shared" si="21"/>
        <v>0</v>
      </c>
      <c r="Q153" s="354">
        <f t="shared" si="21"/>
        <v>0</v>
      </c>
      <c r="R153" s="354">
        <f t="shared" si="21"/>
        <v>0</v>
      </c>
      <c r="S153" s="354">
        <f t="shared" si="21"/>
        <v>0</v>
      </c>
      <c r="T153" s="354">
        <f t="shared" si="21"/>
        <v>0</v>
      </c>
      <c r="U153" s="354">
        <f t="shared" si="21"/>
        <v>0</v>
      </c>
      <c r="V153" s="354">
        <f t="shared" si="21"/>
        <v>0</v>
      </c>
      <c r="W153" s="354">
        <f t="shared" si="21"/>
        <v>0</v>
      </c>
      <c r="X153" s="354">
        <f t="shared" si="21"/>
        <v>0</v>
      </c>
      <c r="Y153" s="354">
        <f t="shared" si="21"/>
        <v>0</v>
      </c>
      <c r="Z153" s="349"/>
      <c r="AA153" s="349"/>
    </row>
    <row r="154" spans="3:27" x14ac:dyDescent="0.25">
      <c r="E154" s="96"/>
      <c r="F154" s="411" t="s">
        <v>44</v>
      </c>
      <c r="G154" s="293" t="s">
        <v>183</v>
      </c>
      <c r="H154" s="349"/>
      <c r="I154" s="349"/>
      <c r="J154" s="354">
        <f t="shared" ref="J154:Y154" si="22">hundred * $H20 * J57 / $H45 * J83 * (1 - J69) / hours_in_year</f>
        <v>1.6592053345614883</v>
      </c>
      <c r="K154" s="354">
        <f t="shared" si="22"/>
        <v>1.6592053345614883</v>
      </c>
      <c r="L154" s="354">
        <f t="shared" si="22"/>
        <v>1.4623944694234796</v>
      </c>
      <c r="M154" s="354">
        <f t="shared" si="22"/>
        <v>1.4623944694234796</v>
      </c>
      <c r="N154" s="354">
        <f t="shared" si="22"/>
        <v>1.2808912594286184</v>
      </c>
      <c r="O154" s="354">
        <f t="shared" si="22"/>
        <v>1.0245202515446972</v>
      </c>
      <c r="P154" s="354">
        <f t="shared" si="22"/>
        <v>1.0688711388484549</v>
      </c>
      <c r="Q154" s="354">
        <f t="shared" si="22"/>
        <v>3.0454112307686705</v>
      </c>
      <c r="R154" s="354">
        <f t="shared" si="22"/>
        <v>-1.1260924474540315</v>
      </c>
      <c r="S154" s="354">
        <f t="shared" si="22"/>
        <v>-1.0805519440643465</v>
      </c>
      <c r="T154" s="354">
        <f t="shared" si="22"/>
        <v>-1.1260924474540315</v>
      </c>
      <c r="U154" s="354">
        <f t="shared" si="22"/>
        <v>-1.1260924474540315</v>
      </c>
      <c r="V154" s="354">
        <f t="shared" si="22"/>
        <v>-1.0805519440643465</v>
      </c>
      <c r="W154" s="354">
        <f t="shared" si="22"/>
        <v>-1.0805519440643465</v>
      </c>
      <c r="X154" s="354">
        <f t="shared" si="22"/>
        <v>-1.0650267724542264</v>
      </c>
      <c r="Y154" s="354">
        <f t="shared" si="22"/>
        <v>-1.0650267724542264</v>
      </c>
      <c r="Z154" s="349"/>
      <c r="AA154" s="349"/>
    </row>
    <row r="155" spans="3:27" x14ac:dyDescent="0.25">
      <c r="E155" s="96"/>
      <c r="F155" s="411" t="s">
        <v>45</v>
      </c>
      <c r="G155" s="293" t="s">
        <v>183</v>
      </c>
      <c r="H155" s="349"/>
      <c r="I155" s="349"/>
      <c r="J155" s="354">
        <f t="shared" ref="J155:Y155" si="23">hundred * $H21 * J58 / $H46 * J84 * (1 - J70) / hours_in_year</f>
        <v>0.42931583696806086</v>
      </c>
      <c r="K155" s="354">
        <f t="shared" si="23"/>
        <v>0.42931583696806086</v>
      </c>
      <c r="L155" s="354">
        <f t="shared" si="23"/>
        <v>0.3783914459170501</v>
      </c>
      <c r="M155" s="354">
        <f t="shared" si="23"/>
        <v>0.3783914459170501</v>
      </c>
      <c r="N155" s="354">
        <f t="shared" si="23"/>
        <v>0.33142787794375428</v>
      </c>
      <c r="O155" s="354">
        <f t="shared" si="23"/>
        <v>0.2650924271521139</v>
      </c>
      <c r="P155" s="354">
        <f t="shared" si="23"/>
        <v>0.27656812452752094</v>
      </c>
      <c r="Q155" s="354">
        <f t="shared" si="23"/>
        <v>0.78799365227145235</v>
      </c>
      <c r="R155" s="354">
        <f t="shared" si="23"/>
        <v>-0.29137401592908369</v>
      </c>
      <c r="S155" s="354">
        <f t="shared" si="23"/>
        <v>-0.27959050793195162</v>
      </c>
      <c r="T155" s="354">
        <f t="shared" si="23"/>
        <v>-0.29137401592908369</v>
      </c>
      <c r="U155" s="354">
        <f t="shared" si="23"/>
        <v>-0.29137401592908369</v>
      </c>
      <c r="V155" s="354">
        <f t="shared" si="23"/>
        <v>-0.27959050793195162</v>
      </c>
      <c r="W155" s="354">
        <f t="shared" si="23"/>
        <v>-0.27959050793195162</v>
      </c>
      <c r="X155" s="354">
        <f t="shared" si="23"/>
        <v>-0.27557340293292926</v>
      </c>
      <c r="Y155" s="354">
        <f t="shared" si="23"/>
        <v>-0.27557340293292926</v>
      </c>
      <c r="Z155" s="349"/>
      <c r="AA155" s="349"/>
    </row>
    <row r="156" spans="3:27" x14ac:dyDescent="0.25">
      <c r="E156" s="96"/>
      <c r="F156" s="411" t="s">
        <v>46</v>
      </c>
      <c r="G156" s="293" t="s">
        <v>183</v>
      </c>
      <c r="H156" s="349"/>
      <c r="I156" s="349"/>
      <c r="J156" s="354">
        <f t="shared" ref="J156:Y156" si="24">hundred * $H22 * J59 / $H47 * J85 * (1 - J71) / hours_in_year</f>
        <v>0.96461743858537041</v>
      </c>
      <c r="K156" s="354">
        <f t="shared" si="24"/>
        <v>0.96461743858537041</v>
      </c>
      <c r="L156" s="354">
        <f t="shared" si="24"/>
        <v>0.85019688516702463</v>
      </c>
      <c r="M156" s="354">
        <f t="shared" si="24"/>
        <v>0.85019688516702463</v>
      </c>
      <c r="N156" s="354">
        <f t="shared" si="24"/>
        <v>0.74467579150049679</v>
      </c>
      <c r="O156" s="354">
        <f t="shared" si="24"/>
        <v>0.59562857003776171</v>
      </c>
      <c r="P156" s="354">
        <f t="shared" si="24"/>
        <v>0.60746978430259868</v>
      </c>
      <c r="Q156" s="354">
        <f t="shared" si="24"/>
        <v>1.7761189452365282</v>
      </c>
      <c r="R156" s="354">
        <f t="shared" si="24"/>
        <v>-0.65467991793826008</v>
      </c>
      <c r="S156" s="354">
        <f t="shared" si="24"/>
        <v>-0.62820389184516856</v>
      </c>
      <c r="T156" s="354">
        <f t="shared" si="24"/>
        <v>-0.65467991793826008</v>
      </c>
      <c r="U156" s="354">
        <f t="shared" si="24"/>
        <v>-0.65467991793826008</v>
      </c>
      <c r="V156" s="354">
        <f t="shared" si="24"/>
        <v>-0.62820389184516856</v>
      </c>
      <c r="W156" s="354">
        <f t="shared" si="24"/>
        <v>-0.62820389184516856</v>
      </c>
      <c r="X156" s="354">
        <f t="shared" si="24"/>
        <v>-0.60528492184406324</v>
      </c>
      <c r="Y156" s="354">
        <f t="shared" si="24"/>
        <v>-0.60528492184406324</v>
      </c>
      <c r="Z156" s="349"/>
      <c r="AA156" s="349"/>
    </row>
    <row r="157" spans="3:27" x14ac:dyDescent="0.25">
      <c r="E157" s="96"/>
      <c r="F157" s="411" t="s">
        <v>47</v>
      </c>
      <c r="G157" s="293" t="s">
        <v>183</v>
      </c>
      <c r="H157" s="349"/>
      <c r="I157" s="349"/>
      <c r="J157" s="354">
        <f t="shared" ref="J157:Y157" si="25">hundred * $H23 * J60 / $H48 * J86 * (1 - J72) / hours_in_year</f>
        <v>0.67414609943160331</v>
      </c>
      <c r="K157" s="354">
        <f t="shared" si="25"/>
        <v>0.67414609943160331</v>
      </c>
      <c r="L157" s="354">
        <f t="shared" si="25"/>
        <v>0.59418054345440197</v>
      </c>
      <c r="M157" s="354">
        <f t="shared" si="25"/>
        <v>0.59418054345440197</v>
      </c>
      <c r="N157" s="354">
        <f t="shared" si="25"/>
        <v>0.5204345889883808</v>
      </c>
      <c r="O157" s="354">
        <f t="shared" si="25"/>
        <v>0.4162693531539795</v>
      </c>
      <c r="P157" s="354">
        <f t="shared" si="25"/>
        <v>0.41560191204014529</v>
      </c>
      <c r="Q157" s="354">
        <f t="shared" si="25"/>
        <v>1.2412834468488725</v>
      </c>
      <c r="R157" s="354">
        <f t="shared" si="25"/>
        <v>-0.4575388080289407</v>
      </c>
      <c r="S157" s="354">
        <f t="shared" si="25"/>
        <v>-0.43903540035129968</v>
      </c>
      <c r="T157" s="354">
        <f t="shared" si="25"/>
        <v>-0.4575388080289407</v>
      </c>
      <c r="U157" s="354">
        <f t="shared" si="25"/>
        <v>-0.4575388080289407</v>
      </c>
      <c r="V157" s="354">
        <f t="shared" si="25"/>
        <v>-0.43903540035129968</v>
      </c>
      <c r="W157" s="354">
        <f t="shared" si="25"/>
        <v>-0.43903540035129968</v>
      </c>
      <c r="X157" s="354">
        <f t="shared" si="25"/>
        <v>-0.41410713314121689</v>
      </c>
      <c r="Y157" s="354">
        <f t="shared" si="25"/>
        <v>-0.41410713314121689</v>
      </c>
      <c r="Z157" s="349"/>
      <c r="AA157" s="349"/>
    </row>
    <row r="158" spans="3:27" x14ac:dyDescent="0.25">
      <c r="E158" s="96"/>
      <c r="F158" s="411" t="s">
        <v>51</v>
      </c>
      <c r="G158" s="293" t="s">
        <v>183</v>
      </c>
      <c r="H158" s="349"/>
      <c r="I158" s="349"/>
      <c r="J158" s="354">
        <f t="shared" ref="J158:Y158" si="26">hundred * $H24 * J61 / $H49 * J87 * (1 - J73) / hours_in_year</f>
        <v>0</v>
      </c>
      <c r="K158" s="354">
        <f t="shared" si="26"/>
        <v>0</v>
      </c>
      <c r="L158" s="354">
        <f t="shared" si="26"/>
        <v>0</v>
      </c>
      <c r="M158" s="354">
        <f t="shared" si="26"/>
        <v>0</v>
      </c>
      <c r="N158" s="354">
        <f t="shared" si="26"/>
        <v>0</v>
      </c>
      <c r="O158" s="354">
        <f t="shared" si="26"/>
        <v>0</v>
      </c>
      <c r="P158" s="354">
        <f t="shared" si="26"/>
        <v>0</v>
      </c>
      <c r="Q158" s="354">
        <f t="shared" si="26"/>
        <v>0</v>
      </c>
      <c r="R158" s="354">
        <f t="shared" si="26"/>
        <v>0</v>
      </c>
      <c r="S158" s="354">
        <f t="shared" si="26"/>
        <v>0</v>
      </c>
      <c r="T158" s="354">
        <f t="shared" si="26"/>
        <v>0</v>
      </c>
      <c r="U158" s="354">
        <f t="shared" si="26"/>
        <v>0</v>
      </c>
      <c r="V158" s="354">
        <f t="shared" si="26"/>
        <v>0</v>
      </c>
      <c r="W158" s="354">
        <f t="shared" si="26"/>
        <v>0</v>
      </c>
      <c r="X158" s="354">
        <f t="shared" si="26"/>
        <v>0</v>
      </c>
      <c r="Y158" s="354">
        <f t="shared" si="26"/>
        <v>0</v>
      </c>
      <c r="Z158" s="349"/>
      <c r="AA158" s="349"/>
    </row>
    <row r="159" spans="3:27" x14ac:dyDescent="0.25">
      <c r="E159" s="96"/>
      <c r="F159" s="411" t="s">
        <v>48</v>
      </c>
      <c r="G159" s="293" t="s">
        <v>183</v>
      </c>
      <c r="H159" s="349"/>
      <c r="I159" s="349"/>
      <c r="J159" s="354">
        <f t="shared" ref="J159:Y159" si="27">hundred * $H25 * J62 / $H50 * J88 * (1 - J74) / hours_in_year</f>
        <v>0.9066245278468652</v>
      </c>
      <c r="K159" s="354">
        <f t="shared" si="27"/>
        <v>0.9066245278468652</v>
      </c>
      <c r="L159" s="354">
        <f t="shared" si="27"/>
        <v>0.79908295118719364</v>
      </c>
      <c r="M159" s="354">
        <f t="shared" si="27"/>
        <v>0.79908295118719364</v>
      </c>
      <c r="N159" s="354">
        <f t="shared" si="27"/>
        <v>0.69990579774116057</v>
      </c>
      <c r="O159" s="354">
        <f t="shared" si="27"/>
        <v>0.55981931228044801</v>
      </c>
      <c r="P159" s="354">
        <f t="shared" si="27"/>
        <v>0.54895577523976691</v>
      </c>
      <c r="Q159" s="354">
        <f t="shared" si="27"/>
        <v>1.5910359590991647</v>
      </c>
      <c r="R159" s="354">
        <f t="shared" si="27"/>
        <v>-0.61532048639100922</v>
      </c>
      <c r="S159" s="354">
        <f t="shared" si="27"/>
        <v>-0.59043620201490232</v>
      </c>
      <c r="T159" s="354">
        <f t="shared" si="27"/>
        <v>-0.61532048639100922</v>
      </c>
      <c r="U159" s="354">
        <f t="shared" si="27"/>
        <v>-0.61532048639100922</v>
      </c>
      <c r="V159" s="354">
        <f t="shared" si="27"/>
        <v>-0.59043620201490232</v>
      </c>
      <c r="W159" s="354">
        <f t="shared" si="27"/>
        <v>-0.59043620201490232</v>
      </c>
      <c r="X159" s="354">
        <f t="shared" si="27"/>
        <v>0</v>
      </c>
      <c r="Y159" s="354">
        <f t="shared" si="27"/>
        <v>0</v>
      </c>
      <c r="Z159" s="349"/>
      <c r="AA159" s="349"/>
    </row>
    <row r="160" spans="3:27" x14ac:dyDescent="0.25">
      <c r="E160" s="96"/>
      <c r="F160" s="411" t="s">
        <v>49</v>
      </c>
      <c r="G160" s="293" t="s">
        <v>183</v>
      </c>
      <c r="H160" s="349"/>
      <c r="I160" s="349"/>
      <c r="J160" s="354">
        <f t="shared" ref="J160:Y160" si="28">hundred * $H26 * J63 / $H51 * J89 * (1 - J75) / hours_in_year</f>
        <v>0.30025709769780901</v>
      </c>
      <c r="K160" s="354">
        <f t="shared" si="28"/>
        <v>0.30025709769780901</v>
      </c>
      <c r="L160" s="354">
        <f t="shared" si="28"/>
        <v>0.26464133759217312</v>
      </c>
      <c r="M160" s="354">
        <f t="shared" si="28"/>
        <v>0.26464133759217312</v>
      </c>
      <c r="N160" s="354">
        <f t="shared" si="28"/>
        <v>0.23179571811355912</v>
      </c>
      <c r="O160" s="354">
        <f t="shared" si="28"/>
        <v>0.18540169251730432</v>
      </c>
      <c r="P160" s="354">
        <f t="shared" si="28"/>
        <v>0</v>
      </c>
      <c r="Q160" s="354">
        <f t="shared" si="28"/>
        <v>0.52692137123898231</v>
      </c>
      <c r="R160" s="354">
        <f t="shared" si="28"/>
        <v>-0.20378264399766474</v>
      </c>
      <c r="S160" s="354">
        <f t="shared" si="28"/>
        <v>0</v>
      </c>
      <c r="T160" s="354">
        <f t="shared" si="28"/>
        <v>-0.20378264399766474</v>
      </c>
      <c r="U160" s="354">
        <f t="shared" si="28"/>
        <v>-0.20378264399766474</v>
      </c>
      <c r="V160" s="354">
        <f t="shared" si="28"/>
        <v>0</v>
      </c>
      <c r="W160" s="354">
        <f t="shared" si="28"/>
        <v>0</v>
      </c>
      <c r="X160" s="354">
        <f t="shared" si="28"/>
        <v>0</v>
      </c>
      <c r="Y160" s="354">
        <f t="shared" si="28"/>
        <v>0</v>
      </c>
      <c r="Z160" s="349"/>
      <c r="AA160" s="349"/>
    </row>
    <row r="161" spans="3:27" x14ac:dyDescent="0.25">
      <c r="E161" s="96"/>
      <c r="F161" s="413" t="s">
        <v>50</v>
      </c>
      <c r="G161" s="93" t="s">
        <v>183</v>
      </c>
      <c r="H161" s="351"/>
      <c r="I161" s="351"/>
      <c r="J161" s="355">
        <f t="shared" ref="J161:Y161" si="29">hundred * $H27 * J64 / $H52 * J90 * (1 - J76) / hours_in_year</f>
        <v>6.0383283064806295E-2</v>
      </c>
      <c r="K161" s="355">
        <f t="shared" si="29"/>
        <v>6.0383283064806295E-2</v>
      </c>
      <c r="L161" s="355">
        <f t="shared" si="29"/>
        <v>5.3220766206699251E-2</v>
      </c>
      <c r="M161" s="355">
        <f t="shared" si="29"/>
        <v>5.3220766206699251E-2</v>
      </c>
      <c r="N161" s="355">
        <f t="shared" si="29"/>
        <v>4.6615339212223474E-2</v>
      </c>
      <c r="O161" s="355">
        <f t="shared" si="29"/>
        <v>0</v>
      </c>
      <c r="P161" s="355">
        <f t="shared" si="29"/>
        <v>0</v>
      </c>
      <c r="Q161" s="355">
        <f t="shared" si="29"/>
        <v>0.10596666175878888</v>
      </c>
      <c r="R161" s="355">
        <f t="shared" si="29"/>
        <v>0</v>
      </c>
      <c r="S161" s="355">
        <f t="shared" si="29"/>
        <v>0</v>
      </c>
      <c r="T161" s="355">
        <f t="shared" si="29"/>
        <v>0</v>
      </c>
      <c r="U161" s="355">
        <f t="shared" si="29"/>
        <v>0</v>
      </c>
      <c r="V161" s="355">
        <f t="shared" si="29"/>
        <v>0</v>
      </c>
      <c r="W161" s="355">
        <f t="shared" si="29"/>
        <v>0</v>
      </c>
      <c r="X161" s="355">
        <f t="shared" si="29"/>
        <v>0</v>
      </c>
      <c r="Y161" s="355">
        <f t="shared" si="29"/>
        <v>0</v>
      </c>
      <c r="Z161" s="349"/>
      <c r="AA161" s="349"/>
    </row>
    <row r="162" spans="3:27" x14ac:dyDescent="0.25">
      <c r="E162" s="96"/>
      <c r="F162" s="411"/>
      <c r="J162" s="237"/>
      <c r="K162" s="237"/>
      <c r="L162" s="237"/>
      <c r="M162" s="237"/>
      <c r="N162" s="237"/>
      <c r="O162" s="237"/>
      <c r="P162" s="237"/>
      <c r="Q162" s="237"/>
      <c r="R162" s="237"/>
      <c r="S162" s="237"/>
      <c r="T162" s="237"/>
      <c r="U162" s="237"/>
      <c r="V162" s="237"/>
      <c r="W162" s="237"/>
      <c r="X162" s="237"/>
      <c r="Y162" s="237"/>
    </row>
    <row r="163" spans="3:27" x14ac:dyDescent="0.25">
      <c r="E163" s="96" t="s">
        <v>116</v>
      </c>
      <c r="J163" s="237"/>
      <c r="K163" s="237"/>
      <c r="L163" s="237"/>
      <c r="M163" s="237"/>
      <c r="N163" s="237"/>
      <c r="O163" s="237"/>
      <c r="P163" s="237"/>
      <c r="Q163" s="237"/>
      <c r="R163" s="237"/>
      <c r="S163" s="237"/>
      <c r="T163" s="237"/>
      <c r="U163" s="237"/>
      <c r="V163" s="237"/>
      <c r="W163" s="237"/>
      <c r="X163" s="237"/>
      <c r="Y163" s="237"/>
    </row>
    <row r="164" spans="3:27" x14ac:dyDescent="0.25">
      <c r="D164" s="96"/>
      <c r="E164" s="96"/>
      <c r="F164" s="410" t="s">
        <v>267</v>
      </c>
      <c r="G164" s="91" t="s">
        <v>183</v>
      </c>
      <c r="H164" s="347"/>
      <c r="I164" s="347"/>
      <c r="J164" s="353">
        <f t="shared" ref="J164:Y164" si="30">hundred * $H30 * J55 / $H43 * J81 / hours_in_year</f>
        <v>0.4826510535818303</v>
      </c>
      <c r="K164" s="353">
        <f t="shared" si="30"/>
        <v>0.4826510535818303</v>
      </c>
      <c r="L164" s="353">
        <f t="shared" si="30"/>
        <v>0.4254001700193587</v>
      </c>
      <c r="M164" s="353">
        <f t="shared" si="30"/>
        <v>0.4254001700193587</v>
      </c>
      <c r="N164" s="353">
        <f t="shared" si="30"/>
        <v>0.37260217467319717</v>
      </c>
      <c r="O164" s="353">
        <f t="shared" si="30"/>
        <v>0.29802566838700395</v>
      </c>
      <c r="P164" s="353">
        <f t="shared" si="30"/>
        <v>0.31092702666892202</v>
      </c>
      <c r="Q164" s="353">
        <f t="shared" si="30"/>
        <v>0.75276451585019666</v>
      </c>
      <c r="R164" s="353">
        <f t="shared" si="30"/>
        <v>-0.32757229914396008</v>
      </c>
      <c r="S164" s="353">
        <f t="shared" si="30"/>
        <v>-0.31432488998740282</v>
      </c>
      <c r="T164" s="353">
        <f t="shared" si="30"/>
        <v>-0.32757229914396008</v>
      </c>
      <c r="U164" s="353">
        <f t="shared" si="30"/>
        <v>-0.32757229914396008</v>
      </c>
      <c r="V164" s="353">
        <f t="shared" si="30"/>
        <v>-0.31432488998740282</v>
      </c>
      <c r="W164" s="353">
        <f t="shared" si="30"/>
        <v>-0.31432488998740282</v>
      </c>
      <c r="X164" s="353">
        <f t="shared" si="30"/>
        <v>-0.30980872777494017</v>
      </c>
      <c r="Y164" s="353">
        <f t="shared" si="30"/>
        <v>-0.30980872777494017</v>
      </c>
      <c r="Z164" s="349"/>
      <c r="AA164" s="349"/>
    </row>
    <row r="165" spans="3:27" x14ac:dyDescent="0.25">
      <c r="D165" s="96"/>
      <c r="E165" s="96"/>
      <c r="F165" s="411" t="s">
        <v>43</v>
      </c>
      <c r="G165" s="293" t="s">
        <v>183</v>
      </c>
      <c r="H165" s="349"/>
      <c r="I165" s="349"/>
      <c r="J165" s="354">
        <f t="shared" ref="J165:Y165" si="31">hundred * $H31 * J56 / $H44 * J82 / hours_in_year</f>
        <v>0</v>
      </c>
      <c r="K165" s="354">
        <f t="shared" si="31"/>
        <v>0</v>
      </c>
      <c r="L165" s="354">
        <f t="shared" si="31"/>
        <v>0</v>
      </c>
      <c r="M165" s="354">
        <f t="shared" si="31"/>
        <v>0</v>
      </c>
      <c r="N165" s="354">
        <f t="shared" si="31"/>
        <v>0</v>
      </c>
      <c r="O165" s="354">
        <f t="shared" si="31"/>
        <v>0</v>
      </c>
      <c r="P165" s="354">
        <f t="shared" si="31"/>
        <v>0</v>
      </c>
      <c r="Q165" s="354">
        <f t="shared" si="31"/>
        <v>0</v>
      </c>
      <c r="R165" s="354">
        <f t="shared" si="31"/>
        <v>0</v>
      </c>
      <c r="S165" s="354">
        <f t="shared" si="31"/>
        <v>0</v>
      </c>
      <c r="T165" s="354">
        <f t="shared" si="31"/>
        <v>0</v>
      </c>
      <c r="U165" s="354">
        <f t="shared" si="31"/>
        <v>0</v>
      </c>
      <c r="V165" s="354">
        <f t="shared" si="31"/>
        <v>0</v>
      </c>
      <c r="W165" s="354">
        <f t="shared" si="31"/>
        <v>0</v>
      </c>
      <c r="X165" s="354">
        <f t="shared" si="31"/>
        <v>0</v>
      </c>
      <c r="Y165" s="354">
        <f t="shared" si="31"/>
        <v>0</v>
      </c>
      <c r="Z165" s="349"/>
      <c r="AA165" s="349"/>
    </row>
    <row r="166" spans="3:27" x14ac:dyDescent="0.25">
      <c r="D166" s="96"/>
      <c r="E166" s="96"/>
      <c r="F166" s="411" t="s">
        <v>44</v>
      </c>
      <c r="G166" s="293" t="s">
        <v>183</v>
      </c>
      <c r="H166" s="349"/>
      <c r="I166" s="349"/>
      <c r="J166" s="354">
        <f t="shared" ref="J166:Y166" si="32">hundred * $H32 * J57 / $H45 * J83 / hours_in_year</f>
        <v>0.93304040562050983</v>
      </c>
      <c r="K166" s="354">
        <f t="shared" si="32"/>
        <v>0.93304040562050983</v>
      </c>
      <c r="L166" s="354">
        <f t="shared" si="32"/>
        <v>0.82236544236322051</v>
      </c>
      <c r="M166" s="354">
        <f t="shared" si="32"/>
        <v>0.82236544236322051</v>
      </c>
      <c r="N166" s="354">
        <f t="shared" si="32"/>
        <v>0.72029861244925619</v>
      </c>
      <c r="O166" s="354">
        <f t="shared" si="32"/>
        <v>0.57613049521705595</v>
      </c>
      <c r="P166" s="354">
        <f t="shared" si="32"/>
        <v>0.60107085010716599</v>
      </c>
      <c r="Q166" s="354">
        <f t="shared" si="32"/>
        <v>1.7125618335771773</v>
      </c>
      <c r="R166" s="354">
        <f t="shared" si="32"/>
        <v>-0.63324878003504559</v>
      </c>
      <c r="S166" s="354">
        <f t="shared" si="32"/>
        <v>-0.60763945437186373</v>
      </c>
      <c r="T166" s="354">
        <f t="shared" si="32"/>
        <v>-0.63324878003504559</v>
      </c>
      <c r="U166" s="354">
        <f t="shared" si="32"/>
        <v>-0.63324878003504559</v>
      </c>
      <c r="V166" s="354">
        <f t="shared" si="32"/>
        <v>-0.60763945437186373</v>
      </c>
      <c r="W166" s="354">
        <f t="shared" si="32"/>
        <v>-0.60763945437186373</v>
      </c>
      <c r="X166" s="354">
        <f t="shared" si="32"/>
        <v>-0.59890900244123335</v>
      </c>
      <c r="Y166" s="354">
        <f t="shared" si="32"/>
        <v>-0.59890900244123335</v>
      </c>
      <c r="Z166" s="349"/>
      <c r="AA166" s="349"/>
    </row>
    <row r="167" spans="3:27" x14ac:dyDescent="0.25">
      <c r="D167" s="96"/>
      <c r="E167" s="96"/>
      <c r="F167" s="411" t="s">
        <v>45</v>
      </c>
      <c r="G167" s="293" t="s">
        <v>183</v>
      </c>
      <c r="H167" s="349"/>
      <c r="I167" s="349"/>
      <c r="J167" s="354">
        <f t="shared" ref="J167:Y167" si="33">hundred * $H33 * J58 / $H46 * J84 / hours_in_year</f>
        <v>0.24142221238087741</v>
      </c>
      <c r="K167" s="354">
        <f t="shared" si="33"/>
        <v>0.24142221238087741</v>
      </c>
      <c r="L167" s="354">
        <f t="shared" si="33"/>
        <v>0.21278530199222428</v>
      </c>
      <c r="M167" s="354">
        <f t="shared" si="33"/>
        <v>0.21278530199222428</v>
      </c>
      <c r="N167" s="354">
        <f t="shared" si="33"/>
        <v>0.18637572772288211</v>
      </c>
      <c r="O167" s="354">
        <f t="shared" si="33"/>
        <v>0.1490725352702075</v>
      </c>
      <c r="P167" s="354">
        <f t="shared" si="33"/>
        <v>0.15552579883614095</v>
      </c>
      <c r="Q167" s="354">
        <f t="shared" si="33"/>
        <v>0.44312171714181309</v>
      </c>
      <c r="R167" s="354">
        <f t="shared" si="33"/>
        <v>-0.1638517694867466</v>
      </c>
      <c r="S167" s="354">
        <f t="shared" si="33"/>
        <v>-0.15722541116191491</v>
      </c>
      <c r="T167" s="354">
        <f t="shared" si="33"/>
        <v>-0.1638517694867466</v>
      </c>
      <c r="U167" s="354">
        <f t="shared" si="33"/>
        <v>-0.1638517694867466</v>
      </c>
      <c r="V167" s="354">
        <f t="shared" si="33"/>
        <v>-0.15722541116191491</v>
      </c>
      <c r="W167" s="354">
        <f t="shared" si="33"/>
        <v>-0.15722541116191491</v>
      </c>
      <c r="X167" s="354">
        <f t="shared" si="33"/>
        <v>-0.15496642536935867</v>
      </c>
      <c r="Y167" s="354">
        <f t="shared" si="33"/>
        <v>-0.15496642536935867</v>
      </c>
      <c r="Z167" s="349"/>
      <c r="AA167" s="349"/>
    </row>
    <row r="168" spans="3:27" x14ac:dyDescent="0.25">
      <c r="D168" s="96"/>
      <c r="E168" s="96"/>
      <c r="F168" s="411" t="s">
        <v>46</v>
      </c>
      <c r="G168" s="293" t="s">
        <v>183</v>
      </c>
      <c r="H168" s="349"/>
      <c r="I168" s="349"/>
      <c r="J168" s="354">
        <f t="shared" ref="J168:Y168" si="34">hundred * $H34 * J59 / $H47 * J85 / hours_in_year</f>
        <v>0.54923895631442277</v>
      </c>
      <c r="K168" s="354">
        <f t="shared" si="34"/>
        <v>0.54923895631442277</v>
      </c>
      <c r="L168" s="354">
        <f t="shared" si="34"/>
        <v>0.48408957913483008</v>
      </c>
      <c r="M168" s="354">
        <f t="shared" si="34"/>
        <v>0.48408957913483008</v>
      </c>
      <c r="N168" s="354">
        <f t="shared" si="34"/>
        <v>0.42400742320827522</v>
      </c>
      <c r="O168" s="354">
        <f t="shared" si="34"/>
        <v>0.33914213145301708</v>
      </c>
      <c r="P168" s="354">
        <f t="shared" si="34"/>
        <v>0.35382339756693792</v>
      </c>
      <c r="Q168" s="354">
        <f t="shared" si="34"/>
        <v>1.0112959570817976</v>
      </c>
      <c r="R168" s="354">
        <f t="shared" si="34"/>
        <v>-0.37276509885177533</v>
      </c>
      <c r="S168" s="354">
        <f t="shared" si="34"/>
        <v>-0.35769003970703445</v>
      </c>
      <c r="T168" s="354">
        <f t="shared" si="34"/>
        <v>-0.37276509885177533</v>
      </c>
      <c r="U168" s="354">
        <f t="shared" si="34"/>
        <v>-0.37276509885177533</v>
      </c>
      <c r="V168" s="354">
        <f t="shared" si="34"/>
        <v>-0.35769003970703445</v>
      </c>
      <c r="W168" s="354">
        <f t="shared" si="34"/>
        <v>-0.35769003970703445</v>
      </c>
      <c r="X168" s="354">
        <f t="shared" si="34"/>
        <v>-0.35255081499859997</v>
      </c>
      <c r="Y168" s="354">
        <f t="shared" si="34"/>
        <v>-0.35255081499859997</v>
      </c>
      <c r="Z168" s="349"/>
      <c r="AA168" s="349"/>
    </row>
    <row r="169" spans="3:27" x14ac:dyDescent="0.25">
      <c r="D169" s="96"/>
      <c r="E169" s="96"/>
      <c r="F169" s="411" t="s">
        <v>47</v>
      </c>
      <c r="G169" s="293" t="s">
        <v>183</v>
      </c>
      <c r="H169" s="349"/>
      <c r="I169" s="349"/>
      <c r="J169" s="354">
        <f t="shared" ref="J169:Y169" si="35">hundred * $H35 * J60 / $H48 * J86 / hours_in_year</f>
        <v>0.3885822536260839</v>
      </c>
      <c r="K169" s="354">
        <f t="shared" si="35"/>
        <v>0.3885822536260839</v>
      </c>
      <c r="L169" s="354">
        <f t="shared" si="35"/>
        <v>0.34248958027192133</v>
      </c>
      <c r="M169" s="354">
        <f t="shared" si="35"/>
        <v>0.34248958027192133</v>
      </c>
      <c r="N169" s="354">
        <f t="shared" si="35"/>
        <v>0.29998192620943515</v>
      </c>
      <c r="O169" s="354">
        <f t="shared" si="35"/>
        <v>0.23994039793514624</v>
      </c>
      <c r="P169" s="354">
        <f t="shared" si="35"/>
        <v>0.25032727855795073</v>
      </c>
      <c r="Q169" s="354">
        <f t="shared" si="35"/>
        <v>0.71548395751598504</v>
      </c>
      <c r="R169" s="354">
        <f t="shared" si="35"/>
        <v>-0.263728383647373</v>
      </c>
      <c r="S169" s="354">
        <f t="shared" si="35"/>
        <v>-0.25306289754398664</v>
      </c>
      <c r="T169" s="354">
        <f t="shared" si="35"/>
        <v>-0.263728383647373</v>
      </c>
      <c r="U169" s="354">
        <f t="shared" si="35"/>
        <v>-0.263728383647373</v>
      </c>
      <c r="V169" s="354">
        <f t="shared" si="35"/>
        <v>-0.25306289754398664</v>
      </c>
      <c r="W169" s="354">
        <f t="shared" si="35"/>
        <v>-0.25306289754398664</v>
      </c>
      <c r="X169" s="354">
        <f t="shared" si="35"/>
        <v>-0.24942693637237756</v>
      </c>
      <c r="Y169" s="354">
        <f t="shared" si="35"/>
        <v>-0.24942693637237756</v>
      </c>
      <c r="Z169" s="349"/>
      <c r="AA169" s="349"/>
    </row>
    <row r="170" spans="3:27" x14ac:dyDescent="0.25">
      <c r="D170" s="96"/>
      <c r="E170" s="96"/>
      <c r="F170" s="411" t="s">
        <v>51</v>
      </c>
      <c r="G170" s="293" t="s">
        <v>183</v>
      </c>
      <c r="H170" s="349"/>
      <c r="I170" s="349"/>
      <c r="J170" s="354">
        <f t="shared" ref="J170:Y170" si="36">hundred * $H36 * J61 / $H49 * J87 / hours_in_year</f>
        <v>0</v>
      </c>
      <c r="K170" s="354">
        <f t="shared" si="36"/>
        <v>0</v>
      </c>
      <c r="L170" s="354">
        <f t="shared" si="36"/>
        <v>0</v>
      </c>
      <c r="M170" s="354">
        <f t="shared" si="36"/>
        <v>0</v>
      </c>
      <c r="N170" s="354">
        <f t="shared" si="36"/>
        <v>0</v>
      </c>
      <c r="O170" s="354">
        <f t="shared" si="36"/>
        <v>0</v>
      </c>
      <c r="P170" s="354">
        <f t="shared" si="36"/>
        <v>0</v>
      </c>
      <c r="Q170" s="354">
        <f t="shared" si="36"/>
        <v>0</v>
      </c>
      <c r="R170" s="354">
        <f t="shared" si="36"/>
        <v>0</v>
      </c>
      <c r="S170" s="354">
        <f t="shared" si="36"/>
        <v>0</v>
      </c>
      <c r="T170" s="354">
        <f t="shared" si="36"/>
        <v>0</v>
      </c>
      <c r="U170" s="354">
        <f t="shared" si="36"/>
        <v>0</v>
      </c>
      <c r="V170" s="354">
        <f t="shared" si="36"/>
        <v>0</v>
      </c>
      <c r="W170" s="354">
        <f t="shared" si="36"/>
        <v>0</v>
      </c>
      <c r="X170" s="354">
        <f t="shared" si="36"/>
        <v>0</v>
      </c>
      <c r="Y170" s="354">
        <f t="shared" si="36"/>
        <v>0</v>
      </c>
      <c r="Z170" s="349"/>
      <c r="AA170" s="349"/>
    </row>
    <row r="171" spans="3:27" x14ac:dyDescent="0.25">
      <c r="D171" s="96"/>
      <c r="E171" s="96"/>
      <c r="F171" s="411" t="s">
        <v>48</v>
      </c>
      <c r="G171" s="293" t="s">
        <v>183</v>
      </c>
      <c r="H171" s="349"/>
      <c r="I171" s="349"/>
      <c r="J171" s="354">
        <f t="shared" ref="J171:Y171" si="37">hundred * $H37 * J62 / $H50 * J88 / hours_in_year</f>
        <v>0.77694647884291601</v>
      </c>
      <c r="K171" s="354">
        <f t="shared" si="37"/>
        <v>0.77694647884291601</v>
      </c>
      <c r="L171" s="354">
        <f t="shared" si="37"/>
        <v>0.6847869941294602</v>
      </c>
      <c r="M171" s="354">
        <f t="shared" si="37"/>
        <v>0.6847869941294602</v>
      </c>
      <c r="N171" s="354">
        <f t="shared" si="37"/>
        <v>0.59979553649202222</v>
      </c>
      <c r="O171" s="354">
        <f t="shared" si="37"/>
        <v>0.47974616845797791</v>
      </c>
      <c r="P171" s="354">
        <f t="shared" si="37"/>
        <v>0.50051410176101319</v>
      </c>
      <c r="Q171" s="354">
        <f t="shared" si="37"/>
        <v>1.3634638686317913</v>
      </c>
      <c r="R171" s="354">
        <f t="shared" si="37"/>
        <v>-0.52730879275544418</v>
      </c>
      <c r="S171" s="354">
        <f t="shared" si="37"/>
        <v>-0.50598380481312843</v>
      </c>
      <c r="T171" s="354">
        <f t="shared" si="37"/>
        <v>-0.52730879275544418</v>
      </c>
      <c r="U171" s="354">
        <f t="shared" si="37"/>
        <v>-0.52730879275544418</v>
      </c>
      <c r="V171" s="354">
        <f t="shared" si="37"/>
        <v>-0.50598380481312843</v>
      </c>
      <c r="W171" s="354">
        <f t="shared" si="37"/>
        <v>-0.50598380481312843</v>
      </c>
      <c r="X171" s="354">
        <f t="shared" si="37"/>
        <v>0</v>
      </c>
      <c r="Y171" s="354">
        <f t="shared" si="37"/>
        <v>0</v>
      </c>
      <c r="Z171" s="349"/>
      <c r="AA171" s="349"/>
    </row>
    <row r="172" spans="3:27" x14ac:dyDescent="0.25">
      <c r="D172" s="96"/>
      <c r="E172" s="96"/>
      <c r="F172" s="411" t="s">
        <v>49</v>
      </c>
      <c r="G172" s="293" t="s">
        <v>183</v>
      </c>
      <c r="H172" s="349"/>
      <c r="I172" s="349"/>
      <c r="J172" s="354">
        <f t="shared" ref="J172:Y172" si="38">hundred * $H38 * J63 / $H51 * J89 / hours_in_year</f>
        <v>0.29289310994060852</v>
      </c>
      <c r="K172" s="354">
        <f t="shared" si="38"/>
        <v>0.29289310994060852</v>
      </c>
      <c r="L172" s="354">
        <f t="shared" si="38"/>
        <v>0.25815084799169313</v>
      </c>
      <c r="M172" s="354">
        <f t="shared" si="38"/>
        <v>0.25815084799169313</v>
      </c>
      <c r="N172" s="354">
        <f t="shared" si="38"/>
        <v>0.226110787287785</v>
      </c>
      <c r="O172" s="354">
        <f t="shared" si="38"/>
        <v>0.18085460335828046</v>
      </c>
      <c r="P172" s="354">
        <f t="shared" si="38"/>
        <v>0</v>
      </c>
      <c r="Q172" s="354">
        <f t="shared" si="38"/>
        <v>0.51399830445201045</v>
      </c>
      <c r="R172" s="354">
        <f t="shared" si="38"/>
        <v>-0.19878475083532204</v>
      </c>
      <c r="S172" s="354">
        <f t="shared" si="38"/>
        <v>0</v>
      </c>
      <c r="T172" s="354">
        <f t="shared" si="38"/>
        <v>-0.19878475083532204</v>
      </c>
      <c r="U172" s="354">
        <f t="shared" si="38"/>
        <v>-0.19878475083532204</v>
      </c>
      <c r="V172" s="354">
        <f t="shared" si="38"/>
        <v>0</v>
      </c>
      <c r="W172" s="354">
        <f t="shared" si="38"/>
        <v>0</v>
      </c>
      <c r="X172" s="354">
        <f t="shared" si="38"/>
        <v>0</v>
      </c>
      <c r="Y172" s="354">
        <f t="shared" si="38"/>
        <v>0</v>
      </c>
      <c r="Z172" s="349"/>
      <c r="AA172" s="349"/>
    </row>
    <row r="173" spans="3:27" x14ac:dyDescent="0.25">
      <c r="D173" s="96"/>
      <c r="E173" s="96"/>
      <c r="F173" s="413" t="s">
        <v>50</v>
      </c>
      <c r="G173" s="93" t="s">
        <v>183</v>
      </c>
      <c r="H173" s="351"/>
      <c r="I173" s="351"/>
      <c r="J173" s="355">
        <f t="shared" ref="J173:Y173" si="39">hundred * $H39 * J64 / $H52 * J90 / hours_in_year</f>
        <v>0.77096910785879347</v>
      </c>
      <c r="K173" s="355">
        <f t="shared" si="39"/>
        <v>0.77096910785879347</v>
      </c>
      <c r="L173" s="355">
        <f t="shared" si="39"/>
        <v>0.679518644223158</v>
      </c>
      <c r="M173" s="355">
        <f t="shared" si="39"/>
        <v>0.679518644223158</v>
      </c>
      <c r="N173" s="355">
        <f t="shared" si="39"/>
        <v>0.59518106106306745</v>
      </c>
      <c r="O173" s="355">
        <f t="shared" si="39"/>
        <v>0</v>
      </c>
      <c r="P173" s="355">
        <f t="shared" si="39"/>
        <v>0</v>
      </c>
      <c r="Q173" s="355">
        <f t="shared" si="39"/>
        <v>1.3529741764995908</v>
      </c>
      <c r="R173" s="355">
        <f t="shared" si="39"/>
        <v>0</v>
      </c>
      <c r="S173" s="355">
        <f t="shared" si="39"/>
        <v>0</v>
      </c>
      <c r="T173" s="355">
        <f t="shared" si="39"/>
        <v>0</v>
      </c>
      <c r="U173" s="355">
        <f t="shared" si="39"/>
        <v>0</v>
      </c>
      <c r="V173" s="355">
        <f t="shared" si="39"/>
        <v>0</v>
      </c>
      <c r="W173" s="355">
        <f t="shared" si="39"/>
        <v>0</v>
      </c>
      <c r="X173" s="355">
        <f t="shared" si="39"/>
        <v>0</v>
      </c>
      <c r="Y173" s="355">
        <f t="shared" si="39"/>
        <v>0</v>
      </c>
      <c r="Z173" s="349"/>
      <c r="AA173" s="349"/>
    </row>
    <row r="174" spans="3:27" x14ac:dyDescent="0.25">
      <c r="C174" s="96"/>
      <c r="D174" s="96"/>
      <c r="E174" s="96"/>
      <c r="J174" s="237"/>
      <c r="K174" s="237"/>
      <c r="L174" s="237"/>
      <c r="M174" s="237"/>
      <c r="N174" s="237"/>
      <c r="O174" s="237"/>
      <c r="P174" s="237"/>
      <c r="Q174" s="237"/>
      <c r="R174" s="237"/>
      <c r="S174" s="237"/>
      <c r="T174" s="237"/>
      <c r="U174" s="237"/>
      <c r="V174" s="237"/>
      <c r="W174" s="237"/>
      <c r="X174" s="237"/>
      <c r="Y174" s="237"/>
    </row>
    <row r="175" spans="3:27" x14ac:dyDescent="0.25">
      <c r="C175" s="7" t="str">
        <f ca="1">INDEX('Version control'!$H$35:$H$61,MATCH($A$1,'Version control'!$F$35:$F$61,0),1)&amp;"-D: Unit rate 2"</f>
        <v>Section 512-D: Unit rate 2</v>
      </c>
      <c r="D175" s="7"/>
      <c r="E175" s="7"/>
      <c r="F175" s="7"/>
      <c r="G175" s="7"/>
      <c r="H175" s="7"/>
      <c r="I175" s="7"/>
      <c r="J175" s="241"/>
      <c r="K175" s="241"/>
      <c r="L175" s="241"/>
      <c r="M175" s="241"/>
      <c r="N175" s="241"/>
      <c r="O175" s="241"/>
      <c r="P175" s="241"/>
      <c r="Q175" s="241"/>
      <c r="R175" s="241"/>
      <c r="S175" s="241"/>
      <c r="T175" s="241"/>
      <c r="U175" s="241"/>
      <c r="V175" s="241"/>
      <c r="W175" s="241"/>
      <c r="X175" s="241"/>
      <c r="Y175" s="241"/>
      <c r="Z175" s="7"/>
      <c r="AA175" s="7"/>
    </row>
    <row r="176" spans="3:27" x14ac:dyDescent="0.25">
      <c r="C176" s="96"/>
      <c r="D176" s="96"/>
      <c r="E176" s="96"/>
      <c r="J176" s="237"/>
      <c r="K176" s="237"/>
      <c r="L176" s="237"/>
      <c r="M176" s="237"/>
      <c r="N176" s="237"/>
      <c r="O176" s="237"/>
      <c r="P176" s="237"/>
      <c r="Q176" s="237"/>
      <c r="R176" s="237"/>
      <c r="S176" s="237"/>
      <c r="T176" s="237"/>
      <c r="U176" s="237"/>
      <c r="V176" s="237"/>
      <c r="W176" s="237"/>
      <c r="X176" s="237"/>
      <c r="Y176" s="237"/>
    </row>
    <row r="177" spans="4:27" x14ac:dyDescent="0.25">
      <c r="D177" s="82" t="s">
        <v>727</v>
      </c>
      <c r="E177" s="96"/>
      <c r="F177" s="96"/>
      <c r="J177" s="237"/>
      <c r="K177" s="237"/>
      <c r="L177" s="237"/>
      <c r="M177" s="237"/>
      <c r="N177" s="237"/>
      <c r="O177" s="237"/>
      <c r="P177" s="237"/>
      <c r="Q177" s="237"/>
      <c r="R177" s="237"/>
      <c r="S177" s="237"/>
      <c r="T177" s="237"/>
      <c r="U177" s="237"/>
      <c r="V177" s="237"/>
      <c r="W177" s="237"/>
      <c r="X177" s="237"/>
      <c r="Y177" s="237"/>
    </row>
    <row r="178" spans="4:27" x14ac:dyDescent="0.25">
      <c r="D178" s="82" t="s">
        <v>376</v>
      </c>
      <c r="E178" s="96"/>
      <c r="F178" s="96"/>
      <c r="J178" s="237"/>
      <c r="K178" s="237"/>
      <c r="L178" s="237"/>
      <c r="M178" s="237"/>
      <c r="N178" s="237"/>
      <c r="O178" s="237"/>
      <c r="P178" s="237"/>
      <c r="Q178" s="237"/>
      <c r="R178" s="237"/>
      <c r="S178" s="237"/>
      <c r="T178" s="237"/>
      <c r="U178" s="237"/>
      <c r="V178" s="237"/>
      <c r="W178" s="237"/>
      <c r="X178" s="237"/>
      <c r="Y178" s="237"/>
    </row>
    <row r="179" spans="4:27" x14ac:dyDescent="0.25">
      <c r="D179" s="96"/>
      <c r="E179" s="96"/>
      <c r="F179" s="96"/>
      <c r="I179" s="88" t="s">
        <v>359</v>
      </c>
      <c r="J179" s="237"/>
      <c r="K179" s="237"/>
      <c r="L179" s="237"/>
      <c r="M179" s="237"/>
      <c r="N179" s="237"/>
      <c r="O179" s="237"/>
      <c r="P179" s="237"/>
      <c r="Q179" s="237"/>
      <c r="R179" s="237"/>
      <c r="S179" s="237"/>
      <c r="T179" s="237"/>
      <c r="U179" s="237"/>
      <c r="V179" s="237"/>
      <c r="W179" s="237"/>
      <c r="X179" s="237"/>
      <c r="Y179" s="237"/>
      <c r="AA179" s="293" t="s">
        <v>726</v>
      </c>
    </row>
    <row r="180" spans="4:27" x14ac:dyDescent="0.25">
      <c r="E180" s="96" t="s">
        <v>139</v>
      </c>
      <c r="J180" s="237"/>
      <c r="K180" s="237"/>
      <c r="L180" s="237"/>
      <c r="M180" s="237"/>
      <c r="N180" s="237"/>
      <c r="O180" s="237"/>
      <c r="P180" s="237"/>
      <c r="Q180" s="237"/>
      <c r="R180" s="237"/>
      <c r="S180" s="237"/>
      <c r="T180" s="237"/>
      <c r="U180" s="237"/>
      <c r="V180" s="237"/>
      <c r="W180" s="237"/>
      <c r="X180" s="237"/>
      <c r="Y180" s="237"/>
    </row>
    <row r="181" spans="4:27" x14ac:dyDescent="0.25">
      <c r="E181" s="96"/>
      <c r="F181" s="410" t="s">
        <v>267</v>
      </c>
      <c r="G181" s="91" t="s">
        <v>183</v>
      </c>
      <c r="H181" s="347"/>
      <c r="I181" s="347"/>
      <c r="J181" s="353">
        <f t="shared" ref="J181:Y181" si="40">hundred * $H18 * J55 / $H43 * J93 * (1 - J67) / hours_in_year</f>
        <v>0</v>
      </c>
      <c r="K181" s="353">
        <f t="shared" si="40"/>
        <v>0</v>
      </c>
      <c r="L181" s="353">
        <f t="shared" si="40"/>
        <v>0</v>
      </c>
      <c r="M181" s="353">
        <f t="shared" si="40"/>
        <v>0</v>
      </c>
      <c r="N181" s="353">
        <f t="shared" si="40"/>
        <v>0</v>
      </c>
      <c r="O181" s="353">
        <f t="shared" si="40"/>
        <v>0</v>
      </c>
      <c r="P181" s="353">
        <f t="shared" si="40"/>
        <v>0</v>
      </c>
      <c r="Q181" s="353">
        <f t="shared" si="40"/>
        <v>0</v>
      </c>
      <c r="R181" s="353">
        <f t="shared" si="40"/>
        <v>0</v>
      </c>
      <c r="S181" s="353">
        <f t="shared" si="40"/>
        <v>0</v>
      </c>
      <c r="T181" s="353">
        <f t="shared" si="40"/>
        <v>0</v>
      </c>
      <c r="U181" s="353">
        <f t="shared" si="40"/>
        <v>0</v>
      </c>
      <c r="V181" s="353">
        <f t="shared" si="40"/>
        <v>0</v>
      </c>
      <c r="W181" s="353">
        <f t="shared" si="40"/>
        <v>0</v>
      </c>
      <c r="X181" s="353">
        <f t="shared" si="40"/>
        <v>0</v>
      </c>
      <c r="Y181" s="353">
        <f t="shared" si="40"/>
        <v>0</v>
      </c>
      <c r="Z181" s="349"/>
      <c r="AA181" s="349"/>
    </row>
    <row r="182" spans="4:27" x14ac:dyDescent="0.25">
      <c r="E182" s="96"/>
      <c r="F182" s="411" t="s">
        <v>43</v>
      </c>
      <c r="G182" s="293" t="s">
        <v>183</v>
      </c>
      <c r="H182" s="349"/>
      <c r="I182" s="349"/>
      <c r="J182" s="354">
        <f t="shared" ref="J182:Y182" si="41">hundred * $H19 * J56 / $H44 * J94 * (1 - J68) / hours_in_year</f>
        <v>0</v>
      </c>
      <c r="K182" s="354">
        <f t="shared" si="41"/>
        <v>0</v>
      </c>
      <c r="L182" s="354">
        <f t="shared" si="41"/>
        <v>0</v>
      </c>
      <c r="M182" s="354">
        <f t="shared" si="41"/>
        <v>0</v>
      </c>
      <c r="N182" s="354">
        <f t="shared" si="41"/>
        <v>0</v>
      </c>
      <c r="O182" s="354">
        <f t="shared" si="41"/>
        <v>0</v>
      </c>
      <c r="P182" s="354">
        <f t="shared" si="41"/>
        <v>0</v>
      </c>
      <c r="Q182" s="354">
        <f t="shared" si="41"/>
        <v>0</v>
      </c>
      <c r="R182" s="354">
        <f t="shared" si="41"/>
        <v>0</v>
      </c>
      <c r="S182" s="354">
        <f t="shared" si="41"/>
        <v>0</v>
      </c>
      <c r="T182" s="354">
        <f t="shared" si="41"/>
        <v>0</v>
      </c>
      <c r="U182" s="354">
        <f t="shared" si="41"/>
        <v>0</v>
      </c>
      <c r="V182" s="354">
        <f t="shared" si="41"/>
        <v>0</v>
      </c>
      <c r="W182" s="354">
        <f t="shared" si="41"/>
        <v>0</v>
      </c>
      <c r="X182" s="354">
        <f t="shared" si="41"/>
        <v>0</v>
      </c>
      <c r="Y182" s="354">
        <f t="shared" si="41"/>
        <v>0</v>
      </c>
      <c r="Z182" s="349"/>
      <c r="AA182" s="349"/>
    </row>
    <row r="183" spans="4:27" x14ac:dyDescent="0.25">
      <c r="E183" s="96"/>
      <c r="F183" s="411" t="s">
        <v>44</v>
      </c>
      <c r="G183" s="293" t="s">
        <v>183</v>
      </c>
      <c r="H183" s="349"/>
      <c r="I183" s="349"/>
      <c r="J183" s="354">
        <f t="shared" ref="J183:Y183" si="42">hundred * $H20 * J57 / $H45 * J95 * (1 - J69) / hours_in_year</f>
        <v>9.7569452457066774E-2</v>
      </c>
      <c r="K183" s="354">
        <f t="shared" si="42"/>
        <v>9.7569452457066774E-2</v>
      </c>
      <c r="L183" s="354">
        <f t="shared" si="42"/>
        <v>8.5996003439563345E-2</v>
      </c>
      <c r="M183" s="354">
        <f t="shared" si="42"/>
        <v>8.5996003439563345E-2</v>
      </c>
      <c r="N183" s="354">
        <f t="shared" si="42"/>
        <v>7.53227200010919E-2</v>
      </c>
      <c r="O183" s="354">
        <f t="shared" si="42"/>
        <v>6.0246840998019933E-2</v>
      </c>
      <c r="P183" s="354">
        <f t="shared" si="42"/>
        <v>6.2854891792020265E-2</v>
      </c>
      <c r="Q183" s="354">
        <f t="shared" si="42"/>
        <v>7.0050860641687335E-2</v>
      </c>
      <c r="R183" s="354">
        <f t="shared" si="42"/>
        <v>-6.6219786801231723E-2</v>
      </c>
      <c r="S183" s="354">
        <f t="shared" si="42"/>
        <v>-6.3541780717358373E-2</v>
      </c>
      <c r="T183" s="354">
        <f t="shared" si="42"/>
        <v>-6.6219786801231723E-2</v>
      </c>
      <c r="U183" s="354">
        <f t="shared" si="42"/>
        <v>-6.6219786801231723E-2</v>
      </c>
      <c r="V183" s="354">
        <f t="shared" si="42"/>
        <v>-6.3541780717358373E-2</v>
      </c>
      <c r="W183" s="354">
        <f t="shared" si="42"/>
        <v>-6.3541780717358373E-2</v>
      </c>
      <c r="X183" s="354">
        <f t="shared" si="42"/>
        <v>-6.2628824097856084E-2</v>
      </c>
      <c r="Y183" s="354">
        <f t="shared" si="42"/>
        <v>-6.2628824097856084E-2</v>
      </c>
      <c r="Z183" s="349"/>
      <c r="AA183" s="349"/>
    </row>
    <row r="184" spans="4:27" x14ac:dyDescent="0.25">
      <c r="E184" s="96"/>
      <c r="F184" s="411" t="s">
        <v>45</v>
      </c>
      <c r="G184" s="293" t="s">
        <v>183</v>
      </c>
      <c r="H184" s="349"/>
      <c r="I184" s="349"/>
      <c r="J184" s="354">
        <f t="shared" ref="J184:Y184" si="43">hundred * $H21 * J58 / $H46 * J96 * (1 - J70) / hours_in_year</f>
        <v>2.5245887456835876E-2</v>
      </c>
      <c r="K184" s="354">
        <f t="shared" si="43"/>
        <v>2.5245887456835876E-2</v>
      </c>
      <c r="L184" s="354">
        <f t="shared" si="43"/>
        <v>2.2251282239471478E-2</v>
      </c>
      <c r="M184" s="354">
        <f t="shared" si="43"/>
        <v>2.2251282239471478E-2</v>
      </c>
      <c r="N184" s="354">
        <f t="shared" si="43"/>
        <v>1.9489592943314687E-2</v>
      </c>
      <c r="O184" s="354">
        <f t="shared" si="43"/>
        <v>1.5588741446870084E-2</v>
      </c>
      <c r="P184" s="354">
        <f t="shared" si="43"/>
        <v>1.626356902014171E-2</v>
      </c>
      <c r="Q184" s="354">
        <f t="shared" si="43"/>
        <v>1.8125510592495318E-2</v>
      </c>
      <c r="R184" s="354">
        <f t="shared" si="43"/>
        <v>-1.7134228417805146E-2</v>
      </c>
      <c r="S184" s="354">
        <f t="shared" si="43"/>
        <v>-1.6441300062673324E-2</v>
      </c>
      <c r="T184" s="354">
        <f t="shared" si="43"/>
        <v>-1.7134228417805146E-2</v>
      </c>
      <c r="U184" s="354">
        <f t="shared" si="43"/>
        <v>-1.7134228417805146E-2</v>
      </c>
      <c r="V184" s="354">
        <f t="shared" si="43"/>
        <v>-1.6441300062673324E-2</v>
      </c>
      <c r="W184" s="354">
        <f t="shared" si="43"/>
        <v>-1.6441300062673324E-2</v>
      </c>
      <c r="X184" s="354">
        <f t="shared" si="43"/>
        <v>-1.6205074487060194E-2</v>
      </c>
      <c r="Y184" s="354">
        <f t="shared" si="43"/>
        <v>-1.6205074487060194E-2</v>
      </c>
      <c r="Z184" s="349"/>
      <c r="AA184" s="349"/>
    </row>
    <row r="185" spans="4:27" x14ac:dyDescent="0.25">
      <c r="E185" s="96"/>
      <c r="F185" s="411" t="s">
        <v>46</v>
      </c>
      <c r="G185" s="293" t="s">
        <v>183</v>
      </c>
      <c r="H185" s="349"/>
      <c r="I185" s="349"/>
      <c r="J185" s="354">
        <f t="shared" ref="J185:Y185" si="44">hundred * $H22 * J59 / $H47 * J97 * (1 - J71) / hours_in_year</f>
        <v>0.10356999237063987</v>
      </c>
      <c r="K185" s="354">
        <f t="shared" si="44"/>
        <v>0.10356999237063987</v>
      </c>
      <c r="L185" s="354">
        <f t="shared" si="44"/>
        <v>9.1284774033760646E-2</v>
      </c>
      <c r="M185" s="354">
        <f t="shared" si="44"/>
        <v>9.1284774033760646E-2</v>
      </c>
      <c r="N185" s="354">
        <f t="shared" si="44"/>
        <v>7.9955081630509892E-2</v>
      </c>
      <c r="O185" s="354">
        <f t="shared" si="44"/>
        <v>6.3952033196719466E-2</v>
      </c>
      <c r="P185" s="354">
        <f t="shared" si="44"/>
        <v>6.5223412317614082E-2</v>
      </c>
      <c r="Q185" s="354">
        <f t="shared" si="44"/>
        <v>6.8124743485273684E-2</v>
      </c>
      <c r="R185" s="354">
        <f t="shared" si="44"/>
        <v>-7.0292316304704519E-2</v>
      </c>
      <c r="S185" s="354">
        <f t="shared" si="44"/>
        <v>-6.7449612336499543E-2</v>
      </c>
      <c r="T185" s="354">
        <f t="shared" si="44"/>
        <v>-7.0292316304704519E-2</v>
      </c>
      <c r="U185" s="354">
        <f t="shared" si="44"/>
        <v>-7.0292316304704519E-2</v>
      </c>
      <c r="V185" s="354">
        <f t="shared" si="44"/>
        <v>-6.7449612336499543E-2</v>
      </c>
      <c r="W185" s="354">
        <f t="shared" si="44"/>
        <v>-6.7449612336499543E-2</v>
      </c>
      <c r="X185" s="354">
        <f t="shared" si="44"/>
        <v>-6.4988825859698424E-2</v>
      </c>
      <c r="Y185" s="354">
        <f t="shared" si="44"/>
        <v>-6.4988825859698424E-2</v>
      </c>
      <c r="Z185" s="349"/>
      <c r="AA185" s="349"/>
    </row>
    <row r="186" spans="4:27" x14ac:dyDescent="0.25">
      <c r="E186" s="96"/>
      <c r="F186" s="411" t="s">
        <v>47</v>
      </c>
      <c r="G186" s="293" t="s">
        <v>183</v>
      </c>
      <c r="H186" s="349"/>
      <c r="I186" s="349"/>
      <c r="J186" s="354">
        <f t="shared" ref="J186:Y186" si="45">hundred * $H23 * J60 / $H48 * J98 * (1 - J72) / hours_in_year</f>
        <v>7.2382380394472284E-2</v>
      </c>
      <c r="K186" s="354">
        <f t="shared" si="45"/>
        <v>7.2382380394472284E-2</v>
      </c>
      <c r="L186" s="354">
        <f t="shared" si="45"/>
        <v>6.379656005659981E-2</v>
      </c>
      <c r="M186" s="354">
        <f t="shared" si="45"/>
        <v>6.379656005659981E-2</v>
      </c>
      <c r="N186" s="354">
        <f t="shared" si="45"/>
        <v>5.587853200123679E-2</v>
      </c>
      <c r="O186" s="354">
        <f t="shared" si="45"/>
        <v>4.4694416673116438E-2</v>
      </c>
      <c r="P186" s="354">
        <f t="shared" si="45"/>
        <v>4.462275420019967E-2</v>
      </c>
      <c r="Q186" s="354">
        <f t="shared" si="45"/>
        <v>4.761061562677861E-2</v>
      </c>
      <c r="R186" s="354">
        <f t="shared" si="45"/>
        <v>-4.9125476029464488E-2</v>
      </c>
      <c r="S186" s="354">
        <f t="shared" si="45"/>
        <v>-4.7138783984155261E-2</v>
      </c>
      <c r="T186" s="354">
        <f t="shared" si="45"/>
        <v>-4.9125476029464488E-2</v>
      </c>
      <c r="U186" s="354">
        <f t="shared" si="45"/>
        <v>-4.9125476029464488E-2</v>
      </c>
      <c r="V186" s="354">
        <f t="shared" si="45"/>
        <v>-4.7138783984155261E-2</v>
      </c>
      <c r="W186" s="354">
        <f t="shared" si="45"/>
        <v>-4.7138783984155261E-2</v>
      </c>
      <c r="X186" s="354">
        <f t="shared" si="45"/>
        <v>-4.4462261311552703E-2</v>
      </c>
      <c r="Y186" s="354">
        <f t="shared" si="45"/>
        <v>-4.4462261311552703E-2</v>
      </c>
      <c r="Z186" s="349"/>
      <c r="AA186" s="349"/>
    </row>
    <row r="187" spans="4:27" x14ac:dyDescent="0.25">
      <c r="E187" s="96"/>
      <c r="F187" s="411" t="s">
        <v>51</v>
      </c>
      <c r="G187" s="293" t="s">
        <v>183</v>
      </c>
      <c r="H187" s="349"/>
      <c r="I187" s="349"/>
      <c r="J187" s="354">
        <f t="shared" ref="J187:Y187" si="46">hundred * $H24 * J61 / $H49 * J99 * (1 - J73) / hours_in_year</f>
        <v>0</v>
      </c>
      <c r="K187" s="354">
        <f t="shared" si="46"/>
        <v>0</v>
      </c>
      <c r="L187" s="354">
        <f t="shared" si="46"/>
        <v>0</v>
      </c>
      <c r="M187" s="354">
        <f t="shared" si="46"/>
        <v>0</v>
      </c>
      <c r="N187" s="354">
        <f t="shared" si="46"/>
        <v>0</v>
      </c>
      <c r="O187" s="354">
        <f t="shared" si="46"/>
        <v>0</v>
      </c>
      <c r="P187" s="354">
        <f t="shared" si="46"/>
        <v>0</v>
      </c>
      <c r="Q187" s="354">
        <f t="shared" si="46"/>
        <v>0</v>
      </c>
      <c r="R187" s="354">
        <f t="shared" si="46"/>
        <v>0</v>
      </c>
      <c r="S187" s="354">
        <f t="shared" si="46"/>
        <v>0</v>
      </c>
      <c r="T187" s="354">
        <f t="shared" si="46"/>
        <v>0</v>
      </c>
      <c r="U187" s="354">
        <f t="shared" si="46"/>
        <v>0</v>
      </c>
      <c r="V187" s="354">
        <f t="shared" si="46"/>
        <v>0</v>
      </c>
      <c r="W187" s="354">
        <f t="shared" si="46"/>
        <v>0</v>
      </c>
      <c r="X187" s="354">
        <f t="shared" si="46"/>
        <v>0</v>
      </c>
      <c r="Y187" s="354">
        <f t="shared" si="46"/>
        <v>0</v>
      </c>
      <c r="Z187" s="349"/>
      <c r="AA187" s="349"/>
    </row>
    <row r="188" spans="4:27" x14ac:dyDescent="0.25">
      <c r="E188" s="96"/>
      <c r="F188" s="411" t="s">
        <v>48</v>
      </c>
      <c r="G188" s="293" t="s">
        <v>183</v>
      </c>
      <c r="H188" s="349"/>
      <c r="I188" s="349"/>
      <c r="J188" s="354">
        <f t="shared" ref="J188:Y188" si="47">hundred * $H25 * J62 / $H50 * J100 * (1 - J74) / hours_in_year</f>
        <v>0.25167474982228627</v>
      </c>
      <c r="K188" s="354">
        <f t="shared" si="47"/>
        <v>0.25167474982228627</v>
      </c>
      <c r="L188" s="354">
        <f t="shared" si="47"/>
        <v>0.22182170860179923</v>
      </c>
      <c r="M188" s="354">
        <f t="shared" si="47"/>
        <v>0.22182170860179923</v>
      </c>
      <c r="N188" s="354">
        <f t="shared" si="47"/>
        <v>0.19429059234036838</v>
      </c>
      <c r="O188" s="354">
        <f t="shared" si="47"/>
        <v>0.15540323588913948</v>
      </c>
      <c r="P188" s="354">
        <f t="shared" si="47"/>
        <v>0.15238756856168284</v>
      </c>
      <c r="Q188" s="354">
        <f t="shared" si="47"/>
        <v>0.15943587810582294</v>
      </c>
      <c r="R188" s="354">
        <f t="shared" si="47"/>
        <v>-0.17081010353951256</v>
      </c>
      <c r="S188" s="354">
        <f t="shared" si="47"/>
        <v>-0.1639023419993117</v>
      </c>
      <c r="T188" s="354">
        <f t="shared" si="47"/>
        <v>-0.17081010353951256</v>
      </c>
      <c r="U188" s="354">
        <f t="shared" si="47"/>
        <v>-0.17081010353951256</v>
      </c>
      <c r="V188" s="354">
        <f t="shared" si="47"/>
        <v>-0.1639023419993117</v>
      </c>
      <c r="W188" s="354">
        <f t="shared" si="47"/>
        <v>-0.1639023419993117</v>
      </c>
      <c r="X188" s="354">
        <f t="shared" si="47"/>
        <v>0</v>
      </c>
      <c r="Y188" s="354">
        <f t="shared" si="47"/>
        <v>0</v>
      </c>
      <c r="Z188" s="349"/>
      <c r="AA188" s="349"/>
    </row>
    <row r="189" spans="4:27" x14ac:dyDescent="0.25">
      <c r="E189" s="96"/>
      <c r="F189" s="411" t="s">
        <v>49</v>
      </c>
      <c r="G189" s="293" t="s">
        <v>183</v>
      </c>
      <c r="H189" s="349"/>
      <c r="I189" s="349"/>
      <c r="J189" s="354">
        <f t="shared" ref="J189:Y189" si="48">hundred * $H26 * J63 / $H51 * J101 * (1 - J75) / hours_in_year</f>
        <v>8.3349973031201327E-2</v>
      </c>
      <c r="K189" s="354">
        <f t="shared" si="48"/>
        <v>8.3349973031201327E-2</v>
      </c>
      <c r="L189" s="354">
        <f t="shared" si="48"/>
        <v>7.3463203768953322E-2</v>
      </c>
      <c r="M189" s="354">
        <f t="shared" si="48"/>
        <v>7.3463203768953322E-2</v>
      </c>
      <c r="N189" s="354">
        <f t="shared" si="48"/>
        <v>6.4345412653517689E-2</v>
      </c>
      <c r="O189" s="354">
        <f t="shared" si="48"/>
        <v>5.1466647049286905E-2</v>
      </c>
      <c r="P189" s="354">
        <f t="shared" si="48"/>
        <v>0</v>
      </c>
      <c r="Q189" s="354">
        <f t="shared" si="48"/>
        <v>5.2802182776420431E-2</v>
      </c>
      <c r="R189" s="354">
        <f t="shared" si="48"/>
        <v>-5.6569113641826159E-2</v>
      </c>
      <c r="S189" s="354">
        <f t="shared" si="48"/>
        <v>0</v>
      </c>
      <c r="T189" s="354">
        <f t="shared" si="48"/>
        <v>-5.6569113641826159E-2</v>
      </c>
      <c r="U189" s="354">
        <f t="shared" si="48"/>
        <v>-5.6569113641826159E-2</v>
      </c>
      <c r="V189" s="354">
        <f t="shared" si="48"/>
        <v>0</v>
      </c>
      <c r="W189" s="354">
        <f t="shared" si="48"/>
        <v>0</v>
      </c>
      <c r="X189" s="354">
        <f t="shared" si="48"/>
        <v>0</v>
      </c>
      <c r="Y189" s="354">
        <f t="shared" si="48"/>
        <v>0</v>
      </c>
      <c r="Z189" s="349"/>
      <c r="AA189" s="349"/>
    </row>
    <row r="190" spans="4:27" x14ac:dyDescent="0.25">
      <c r="E190" s="96"/>
      <c r="F190" s="413" t="s">
        <v>50</v>
      </c>
      <c r="G190" s="93" t="s">
        <v>183</v>
      </c>
      <c r="H190" s="351"/>
      <c r="I190" s="351"/>
      <c r="J190" s="355">
        <f t="shared" ref="J190:Y190" si="49">hundred * $H27 * J64 / $H52 * J102 * (1 - J76) / hours_in_year</f>
        <v>1.6762118376473355E-2</v>
      </c>
      <c r="K190" s="355">
        <f t="shared" si="49"/>
        <v>1.6762118376473355E-2</v>
      </c>
      <c r="L190" s="355">
        <f t="shared" si="49"/>
        <v>1.4773837028468094E-2</v>
      </c>
      <c r="M190" s="355">
        <f t="shared" si="49"/>
        <v>1.4773837028468094E-2</v>
      </c>
      <c r="N190" s="355">
        <f t="shared" si="49"/>
        <v>1.2940201234108842E-2</v>
      </c>
      <c r="O190" s="355">
        <f t="shared" si="49"/>
        <v>0</v>
      </c>
      <c r="P190" s="355">
        <f t="shared" si="49"/>
        <v>0</v>
      </c>
      <c r="Q190" s="355">
        <f t="shared" si="49"/>
        <v>1.0618796935941673E-2</v>
      </c>
      <c r="R190" s="355">
        <f t="shared" si="49"/>
        <v>0</v>
      </c>
      <c r="S190" s="355">
        <f t="shared" si="49"/>
        <v>0</v>
      </c>
      <c r="T190" s="355">
        <f t="shared" si="49"/>
        <v>0</v>
      </c>
      <c r="U190" s="355">
        <f t="shared" si="49"/>
        <v>0</v>
      </c>
      <c r="V190" s="355">
        <f t="shared" si="49"/>
        <v>0</v>
      </c>
      <c r="W190" s="355">
        <f t="shared" si="49"/>
        <v>0</v>
      </c>
      <c r="X190" s="355">
        <f t="shared" si="49"/>
        <v>0</v>
      </c>
      <c r="Y190" s="355">
        <f t="shared" si="49"/>
        <v>0</v>
      </c>
      <c r="Z190" s="349"/>
      <c r="AA190" s="349"/>
    </row>
    <row r="191" spans="4:27" x14ac:dyDescent="0.25">
      <c r="E191" s="96"/>
      <c r="F191" s="411"/>
      <c r="J191" s="237"/>
      <c r="K191" s="237"/>
      <c r="L191" s="237"/>
      <c r="M191" s="237"/>
      <c r="N191" s="237"/>
      <c r="O191" s="237"/>
      <c r="P191" s="237"/>
      <c r="Q191" s="237"/>
      <c r="R191" s="237"/>
      <c r="S191" s="237"/>
      <c r="T191" s="237"/>
      <c r="U191" s="237"/>
      <c r="V191" s="237"/>
      <c r="W191" s="237"/>
      <c r="X191" s="237"/>
      <c r="Y191" s="237"/>
    </row>
    <row r="192" spans="4:27" x14ac:dyDescent="0.25">
      <c r="E192" s="96" t="s">
        <v>116</v>
      </c>
      <c r="J192" s="237"/>
      <c r="K192" s="237"/>
      <c r="L192" s="237"/>
      <c r="M192" s="237"/>
      <c r="N192" s="237"/>
      <c r="O192" s="237"/>
      <c r="P192" s="237"/>
      <c r="Q192" s="237"/>
      <c r="R192" s="237"/>
      <c r="S192" s="237"/>
      <c r="T192" s="237"/>
      <c r="U192" s="237"/>
      <c r="V192" s="237"/>
      <c r="W192" s="237"/>
      <c r="X192" s="237"/>
      <c r="Y192" s="237"/>
    </row>
    <row r="193" spans="3:27" x14ac:dyDescent="0.25">
      <c r="D193" s="96"/>
      <c r="E193" s="96"/>
      <c r="F193" s="410" t="s">
        <v>267</v>
      </c>
      <c r="G193" s="91" t="s">
        <v>183</v>
      </c>
      <c r="H193" s="347"/>
      <c r="I193" s="347"/>
      <c r="J193" s="353">
        <f t="shared" ref="J193:Y193" si="50">hundred * $H30 * J55 / $H43 * J93 / hours_in_year</f>
        <v>1.4835275665975986E-2</v>
      </c>
      <c r="K193" s="353">
        <f t="shared" si="50"/>
        <v>1.4835275665975986E-2</v>
      </c>
      <c r="L193" s="353">
        <f t="shared" si="50"/>
        <v>1.3075551671866938E-2</v>
      </c>
      <c r="M193" s="353">
        <f t="shared" si="50"/>
        <v>1.3075551671866938E-2</v>
      </c>
      <c r="N193" s="353">
        <f t="shared" si="50"/>
        <v>1.1452696381780172E-2</v>
      </c>
      <c r="O193" s="353">
        <f t="shared" si="50"/>
        <v>9.1604336367792603E-3</v>
      </c>
      <c r="P193" s="353">
        <f t="shared" si="50"/>
        <v>9.5569834943987648E-3</v>
      </c>
      <c r="Q193" s="353">
        <f t="shared" si="50"/>
        <v>1.9442922775271813E-2</v>
      </c>
      <c r="R193" s="353">
        <f t="shared" si="50"/>
        <v>-1.0068610277081431E-2</v>
      </c>
      <c r="S193" s="353">
        <f t="shared" si="50"/>
        <v>-9.6614238320524015E-3</v>
      </c>
      <c r="T193" s="353">
        <f t="shared" si="50"/>
        <v>-1.0068610277081431E-2</v>
      </c>
      <c r="U193" s="353">
        <f t="shared" si="50"/>
        <v>-1.0068610277081431E-2</v>
      </c>
      <c r="V193" s="353">
        <f t="shared" si="50"/>
        <v>-9.6614238320524015E-3</v>
      </c>
      <c r="W193" s="353">
        <f t="shared" si="50"/>
        <v>-9.6614238320524015E-3</v>
      </c>
      <c r="X193" s="353">
        <f t="shared" si="50"/>
        <v>-9.5226102712470517E-3</v>
      </c>
      <c r="Y193" s="353">
        <f t="shared" si="50"/>
        <v>-9.5226102712470517E-3</v>
      </c>
      <c r="Z193" s="349"/>
      <c r="AA193" s="349"/>
    </row>
    <row r="194" spans="3:27" x14ac:dyDescent="0.25">
      <c r="D194" s="96"/>
      <c r="E194" s="96"/>
      <c r="F194" s="411" t="s">
        <v>43</v>
      </c>
      <c r="G194" s="293" t="s">
        <v>183</v>
      </c>
      <c r="H194" s="349"/>
      <c r="I194" s="349"/>
      <c r="J194" s="354">
        <f t="shared" ref="J194:Y194" si="51">hundred * $H31 * J56 / $H44 * J94 / hours_in_year</f>
        <v>0</v>
      </c>
      <c r="K194" s="354">
        <f t="shared" si="51"/>
        <v>0</v>
      </c>
      <c r="L194" s="354">
        <f t="shared" si="51"/>
        <v>0</v>
      </c>
      <c r="M194" s="354">
        <f t="shared" si="51"/>
        <v>0</v>
      </c>
      <c r="N194" s="354">
        <f t="shared" si="51"/>
        <v>0</v>
      </c>
      <c r="O194" s="354">
        <f t="shared" si="51"/>
        <v>0</v>
      </c>
      <c r="P194" s="354">
        <f t="shared" si="51"/>
        <v>0</v>
      </c>
      <c r="Q194" s="354">
        <f t="shared" si="51"/>
        <v>0</v>
      </c>
      <c r="R194" s="354">
        <f t="shared" si="51"/>
        <v>0</v>
      </c>
      <c r="S194" s="354">
        <f t="shared" si="51"/>
        <v>0</v>
      </c>
      <c r="T194" s="354">
        <f t="shared" si="51"/>
        <v>0</v>
      </c>
      <c r="U194" s="354">
        <f t="shared" si="51"/>
        <v>0</v>
      </c>
      <c r="V194" s="354">
        <f t="shared" si="51"/>
        <v>0</v>
      </c>
      <c r="W194" s="354">
        <f t="shared" si="51"/>
        <v>0</v>
      </c>
      <c r="X194" s="354">
        <f t="shared" si="51"/>
        <v>0</v>
      </c>
      <c r="Y194" s="354">
        <f t="shared" si="51"/>
        <v>0</v>
      </c>
      <c r="Z194" s="349"/>
      <c r="AA194" s="349"/>
    </row>
    <row r="195" spans="3:27" x14ac:dyDescent="0.25">
      <c r="D195" s="96"/>
      <c r="E195" s="96"/>
      <c r="F195" s="411" t="s">
        <v>44</v>
      </c>
      <c r="G195" s="293" t="s">
        <v>183</v>
      </c>
      <c r="H195" s="349"/>
      <c r="I195" s="349"/>
      <c r="J195" s="354">
        <f t="shared" ref="J195:Y195" si="52">hundred * $H32 * J57 / $H45 * J95 / hours_in_year</f>
        <v>5.4867375122544804E-2</v>
      </c>
      <c r="K195" s="354">
        <f t="shared" si="52"/>
        <v>5.4867375122544804E-2</v>
      </c>
      <c r="L195" s="354">
        <f t="shared" si="52"/>
        <v>4.8359141728651078E-2</v>
      </c>
      <c r="M195" s="354">
        <f t="shared" si="52"/>
        <v>4.8359141728651078E-2</v>
      </c>
      <c r="N195" s="354">
        <f t="shared" si="52"/>
        <v>4.2357109007748556E-2</v>
      </c>
      <c r="O195" s="354">
        <f t="shared" si="52"/>
        <v>3.3879313061034338E-2</v>
      </c>
      <c r="P195" s="354">
        <f t="shared" si="52"/>
        <v>3.5345928868026122E-2</v>
      </c>
      <c r="Q195" s="354">
        <f t="shared" si="52"/>
        <v>3.9392522471885509E-2</v>
      </c>
      <c r="R195" s="354">
        <f t="shared" si="52"/>
        <v>-3.7238149763696542E-2</v>
      </c>
      <c r="S195" s="354">
        <f t="shared" si="52"/>
        <v>-3.5732195177664697E-2</v>
      </c>
      <c r="T195" s="354">
        <f t="shared" si="52"/>
        <v>-3.7238149763696542E-2</v>
      </c>
      <c r="U195" s="354">
        <f t="shared" si="52"/>
        <v>-3.7238149763696542E-2</v>
      </c>
      <c r="V195" s="354">
        <f t="shared" si="52"/>
        <v>-3.5732195177664697E-2</v>
      </c>
      <c r="W195" s="354">
        <f t="shared" si="52"/>
        <v>-3.5732195177664697E-2</v>
      </c>
      <c r="X195" s="354">
        <f t="shared" si="52"/>
        <v>-3.5218801568790203E-2</v>
      </c>
      <c r="Y195" s="354">
        <f t="shared" si="52"/>
        <v>-3.5218801568790203E-2</v>
      </c>
      <c r="Z195" s="349"/>
      <c r="AA195" s="349"/>
    </row>
    <row r="196" spans="3:27" x14ac:dyDescent="0.25">
      <c r="D196" s="96"/>
      <c r="E196" s="96"/>
      <c r="F196" s="411" t="s">
        <v>45</v>
      </c>
      <c r="G196" s="293" t="s">
        <v>183</v>
      </c>
      <c r="H196" s="349"/>
      <c r="I196" s="349"/>
      <c r="J196" s="354">
        <f t="shared" ref="J196:Y196" si="53">hundred * $H33 * J58 / $H46 * J96 / hours_in_year</f>
        <v>1.4196816139818744E-2</v>
      </c>
      <c r="K196" s="354">
        <f t="shared" si="53"/>
        <v>1.4196816139818744E-2</v>
      </c>
      <c r="L196" s="354">
        <f t="shared" si="53"/>
        <v>1.2512824647939036E-2</v>
      </c>
      <c r="M196" s="354">
        <f t="shared" si="53"/>
        <v>1.2512824647939036E-2</v>
      </c>
      <c r="N196" s="354">
        <f t="shared" si="53"/>
        <v>1.0959811499168651E-2</v>
      </c>
      <c r="O196" s="354">
        <f t="shared" si="53"/>
        <v>8.7661999028860425E-3</v>
      </c>
      <c r="P196" s="354">
        <f t="shared" si="53"/>
        <v>9.1456836108839284E-3</v>
      </c>
      <c r="Q196" s="354">
        <f t="shared" si="53"/>
        <v>1.0192731064097208E-2</v>
      </c>
      <c r="R196" s="354">
        <f t="shared" si="53"/>
        <v>-9.6352917266677995E-3</v>
      </c>
      <c r="S196" s="354">
        <f t="shared" si="53"/>
        <v>-9.2456291936040286E-3</v>
      </c>
      <c r="T196" s="354">
        <f t="shared" si="53"/>
        <v>-9.6352917266677995E-3</v>
      </c>
      <c r="U196" s="354">
        <f t="shared" si="53"/>
        <v>-9.6352917266677995E-3</v>
      </c>
      <c r="V196" s="354">
        <f t="shared" si="53"/>
        <v>-9.2456291936040286E-3</v>
      </c>
      <c r="W196" s="354">
        <f t="shared" si="53"/>
        <v>-9.2456291936040286E-3</v>
      </c>
      <c r="X196" s="354">
        <f t="shared" si="53"/>
        <v>-9.1127896936959232E-3</v>
      </c>
      <c r="Y196" s="354">
        <f t="shared" si="53"/>
        <v>-9.1127896936959232E-3</v>
      </c>
      <c r="Z196" s="349"/>
      <c r="AA196" s="349"/>
    </row>
    <row r="197" spans="3:27" x14ac:dyDescent="0.25">
      <c r="D197" s="96"/>
      <c r="E197" s="96"/>
      <c r="F197" s="411" t="s">
        <v>46</v>
      </c>
      <c r="G197" s="293" t="s">
        <v>183</v>
      </c>
      <c r="H197" s="349"/>
      <c r="I197" s="349"/>
      <c r="J197" s="354">
        <f t="shared" ref="J197:Y197" si="54">hundred * $H34 * J59 / $H47 * J97 / hours_in_year</f>
        <v>5.8971227597300557E-2</v>
      </c>
      <c r="K197" s="354">
        <f t="shared" si="54"/>
        <v>5.8971227597300557E-2</v>
      </c>
      <c r="L197" s="354">
        <f t="shared" si="54"/>
        <v>5.1976205293600843E-2</v>
      </c>
      <c r="M197" s="354">
        <f t="shared" si="54"/>
        <v>5.1976205293600843E-2</v>
      </c>
      <c r="N197" s="354">
        <f t="shared" si="54"/>
        <v>4.552524537725245E-2</v>
      </c>
      <c r="O197" s="354">
        <f t="shared" si="54"/>
        <v>3.6413345396972004E-2</v>
      </c>
      <c r="P197" s="354">
        <f t="shared" si="54"/>
        <v>3.7989657993642463E-2</v>
      </c>
      <c r="Q197" s="354">
        <f t="shared" si="54"/>
        <v>3.8789225152213586E-2</v>
      </c>
      <c r="R197" s="354">
        <f t="shared" si="54"/>
        <v>-4.0023409177359977E-2</v>
      </c>
      <c r="S197" s="354">
        <f t="shared" si="54"/>
        <v>-3.84048154238638E-2</v>
      </c>
      <c r="T197" s="354">
        <f t="shared" si="54"/>
        <v>-4.0023409177359977E-2</v>
      </c>
      <c r="U197" s="354">
        <f t="shared" si="54"/>
        <v>-4.0023409177359977E-2</v>
      </c>
      <c r="V197" s="354">
        <f t="shared" si="54"/>
        <v>-3.84048154238638E-2</v>
      </c>
      <c r="W197" s="354">
        <f t="shared" si="54"/>
        <v>-3.84048154238638E-2</v>
      </c>
      <c r="X197" s="354">
        <f t="shared" si="54"/>
        <v>-3.7853022098808281E-2</v>
      </c>
      <c r="Y197" s="354">
        <f t="shared" si="54"/>
        <v>-3.7853022098808281E-2</v>
      </c>
      <c r="Z197" s="349"/>
      <c r="AA197" s="349"/>
    </row>
    <row r="198" spans="3:27" x14ac:dyDescent="0.25">
      <c r="D198" s="96"/>
      <c r="E198" s="96"/>
      <c r="F198" s="411" t="s">
        <v>47</v>
      </c>
      <c r="G198" s="293" t="s">
        <v>183</v>
      </c>
      <c r="H198" s="349"/>
      <c r="I198" s="349"/>
      <c r="J198" s="354">
        <f t="shared" ref="J198:Y198" si="55">hundred * $H35 * J60 / $H48 * J98 / hours_in_year</f>
        <v>4.1721680983126626E-2</v>
      </c>
      <c r="K198" s="354">
        <f t="shared" si="55"/>
        <v>4.1721680983126626E-2</v>
      </c>
      <c r="L198" s="354">
        <f t="shared" si="55"/>
        <v>3.6772757568851726E-2</v>
      </c>
      <c r="M198" s="354">
        <f t="shared" si="55"/>
        <v>3.6772757568851726E-2</v>
      </c>
      <c r="N198" s="354">
        <f t="shared" si="55"/>
        <v>3.2208754026264025E-2</v>
      </c>
      <c r="O198" s="354">
        <f t="shared" si="55"/>
        <v>2.5762156259579238E-2</v>
      </c>
      <c r="P198" s="354">
        <f t="shared" si="55"/>
        <v>2.6877385057885266E-2</v>
      </c>
      <c r="Q198" s="354">
        <f t="shared" si="55"/>
        <v>2.7443072551153868E-2</v>
      </c>
      <c r="R198" s="354">
        <f t="shared" si="55"/>
        <v>-2.8316248068598684E-2</v>
      </c>
      <c r="S198" s="354">
        <f t="shared" si="55"/>
        <v>-2.7171105683471537E-2</v>
      </c>
      <c r="T198" s="354">
        <f t="shared" si="55"/>
        <v>-2.8316248068598684E-2</v>
      </c>
      <c r="U198" s="354">
        <f t="shared" si="55"/>
        <v>-2.8316248068598684E-2</v>
      </c>
      <c r="V198" s="354">
        <f t="shared" si="55"/>
        <v>-2.7171105683471537E-2</v>
      </c>
      <c r="W198" s="354">
        <f t="shared" si="55"/>
        <v>-2.7171105683471537E-2</v>
      </c>
      <c r="X198" s="354">
        <f t="shared" si="55"/>
        <v>-2.6780716233996367E-2</v>
      </c>
      <c r="Y198" s="354">
        <f t="shared" si="55"/>
        <v>-2.6780716233996367E-2</v>
      </c>
      <c r="Z198" s="349"/>
      <c r="AA198" s="349"/>
    </row>
    <row r="199" spans="3:27" x14ac:dyDescent="0.25">
      <c r="D199" s="96"/>
      <c r="E199" s="96"/>
      <c r="F199" s="411" t="s">
        <v>51</v>
      </c>
      <c r="G199" s="293" t="s">
        <v>183</v>
      </c>
      <c r="H199" s="349"/>
      <c r="I199" s="349"/>
      <c r="J199" s="354">
        <f t="shared" ref="J199:Y199" si="56">hundred * $H36 * J61 / $H49 * J99 / hours_in_year</f>
        <v>0</v>
      </c>
      <c r="K199" s="354">
        <f t="shared" si="56"/>
        <v>0</v>
      </c>
      <c r="L199" s="354">
        <f t="shared" si="56"/>
        <v>0</v>
      </c>
      <c r="M199" s="354">
        <f t="shared" si="56"/>
        <v>0</v>
      </c>
      <c r="N199" s="354">
        <f t="shared" si="56"/>
        <v>0</v>
      </c>
      <c r="O199" s="354">
        <f t="shared" si="56"/>
        <v>0</v>
      </c>
      <c r="P199" s="354">
        <f t="shared" si="56"/>
        <v>0</v>
      </c>
      <c r="Q199" s="354">
        <f t="shared" si="56"/>
        <v>0</v>
      </c>
      <c r="R199" s="354">
        <f t="shared" si="56"/>
        <v>0</v>
      </c>
      <c r="S199" s="354">
        <f t="shared" si="56"/>
        <v>0</v>
      </c>
      <c r="T199" s="354">
        <f t="shared" si="56"/>
        <v>0</v>
      </c>
      <c r="U199" s="354">
        <f t="shared" si="56"/>
        <v>0</v>
      </c>
      <c r="V199" s="354">
        <f t="shared" si="56"/>
        <v>0</v>
      </c>
      <c r="W199" s="354">
        <f t="shared" si="56"/>
        <v>0</v>
      </c>
      <c r="X199" s="354">
        <f t="shared" si="56"/>
        <v>0</v>
      </c>
      <c r="Y199" s="354">
        <f t="shared" si="56"/>
        <v>0</v>
      </c>
      <c r="Z199" s="349"/>
      <c r="AA199" s="349"/>
    </row>
    <row r="200" spans="3:27" x14ac:dyDescent="0.25">
      <c r="D200" s="96"/>
      <c r="E200" s="96"/>
      <c r="F200" s="411" t="s">
        <v>48</v>
      </c>
      <c r="G200" s="293" t="s">
        <v>183</v>
      </c>
      <c r="H200" s="349"/>
      <c r="I200" s="349"/>
      <c r="J200" s="354">
        <f t="shared" ref="J200:Y200" si="57">hundred * $H37 * J62 / $H50 * J100 / hours_in_year</f>
        <v>0.21567672689429457</v>
      </c>
      <c r="K200" s="354">
        <f t="shared" si="57"/>
        <v>0.21567672689429457</v>
      </c>
      <c r="L200" s="354">
        <f t="shared" si="57"/>
        <v>0.19009368281529357</v>
      </c>
      <c r="M200" s="354">
        <f t="shared" si="57"/>
        <v>0.19009368281529357</v>
      </c>
      <c r="N200" s="354">
        <f t="shared" si="57"/>
        <v>0.1665004496951473</v>
      </c>
      <c r="O200" s="354">
        <f t="shared" si="57"/>
        <v>0.13317530379594558</v>
      </c>
      <c r="P200" s="354">
        <f t="shared" si="57"/>
        <v>0.13894038543429515</v>
      </c>
      <c r="Q200" s="354">
        <f t="shared" si="57"/>
        <v>0.13663114143815716</v>
      </c>
      <c r="R200" s="354">
        <f t="shared" si="57"/>
        <v>-0.14637846696139004</v>
      </c>
      <c r="S200" s="354">
        <f t="shared" si="57"/>
        <v>-0.14045874954751031</v>
      </c>
      <c r="T200" s="354">
        <f t="shared" si="57"/>
        <v>-0.14637846696139004</v>
      </c>
      <c r="U200" s="354">
        <f t="shared" si="57"/>
        <v>-0.14637846696139004</v>
      </c>
      <c r="V200" s="354">
        <f t="shared" si="57"/>
        <v>-0.14045874954751031</v>
      </c>
      <c r="W200" s="354">
        <f t="shared" si="57"/>
        <v>-0.14045874954751031</v>
      </c>
      <c r="X200" s="354">
        <f t="shared" si="57"/>
        <v>0</v>
      </c>
      <c r="Y200" s="354">
        <f t="shared" si="57"/>
        <v>0</v>
      </c>
      <c r="Z200" s="349"/>
      <c r="AA200" s="349"/>
    </row>
    <row r="201" spans="3:27" x14ac:dyDescent="0.25">
      <c r="D201" s="96"/>
      <c r="E201" s="96"/>
      <c r="F201" s="411" t="s">
        <v>49</v>
      </c>
      <c r="G201" s="293" t="s">
        <v>183</v>
      </c>
      <c r="H201" s="349"/>
      <c r="I201" s="349"/>
      <c r="J201" s="354">
        <f t="shared" ref="J201:Y201" si="58">hundred * $H38 * J63 / $H51 * J101 / hours_in_year</f>
        <v>8.1305764299181613E-2</v>
      </c>
      <c r="K201" s="354">
        <f t="shared" si="58"/>
        <v>8.1305764299181613E-2</v>
      </c>
      <c r="L201" s="354">
        <f t="shared" si="58"/>
        <v>7.1661474060289568E-2</v>
      </c>
      <c r="M201" s="354">
        <f t="shared" si="58"/>
        <v>7.1661474060289568E-2</v>
      </c>
      <c r="N201" s="354">
        <f t="shared" si="58"/>
        <v>6.2767302311928327E-2</v>
      </c>
      <c r="O201" s="354">
        <f t="shared" si="58"/>
        <v>5.0204396259277119E-2</v>
      </c>
      <c r="P201" s="354">
        <f t="shared" si="58"/>
        <v>0</v>
      </c>
      <c r="Q201" s="354">
        <f t="shared" si="58"/>
        <v>5.1507177161231397E-2</v>
      </c>
      <c r="R201" s="354">
        <f t="shared" si="58"/>
        <v>-5.5181721758376497E-2</v>
      </c>
      <c r="S201" s="354">
        <f t="shared" si="58"/>
        <v>0</v>
      </c>
      <c r="T201" s="354">
        <f t="shared" si="58"/>
        <v>-5.5181721758376497E-2</v>
      </c>
      <c r="U201" s="354">
        <f t="shared" si="58"/>
        <v>-5.5181721758376497E-2</v>
      </c>
      <c r="V201" s="354">
        <f t="shared" si="58"/>
        <v>0</v>
      </c>
      <c r="W201" s="354">
        <f t="shared" si="58"/>
        <v>0</v>
      </c>
      <c r="X201" s="354">
        <f t="shared" si="58"/>
        <v>0</v>
      </c>
      <c r="Y201" s="354">
        <f t="shared" si="58"/>
        <v>0</v>
      </c>
      <c r="Z201" s="349"/>
      <c r="AA201" s="349"/>
    </row>
    <row r="202" spans="3:27" x14ac:dyDescent="0.25">
      <c r="D202" s="96"/>
      <c r="E202" s="96"/>
      <c r="F202" s="413" t="s">
        <v>50</v>
      </c>
      <c r="G202" s="93" t="s">
        <v>183</v>
      </c>
      <c r="H202" s="351"/>
      <c r="I202" s="351"/>
      <c r="J202" s="355">
        <f t="shared" ref="J202:Y202" si="59">hundred * $H39 * J64 / $H52 * J102 / hours_in_year</f>
        <v>0.21401743652566016</v>
      </c>
      <c r="K202" s="355">
        <f t="shared" si="59"/>
        <v>0.21401743652566016</v>
      </c>
      <c r="L202" s="355">
        <f t="shared" si="59"/>
        <v>0.18863121339833022</v>
      </c>
      <c r="M202" s="355">
        <f t="shared" si="59"/>
        <v>0.18863121339833022</v>
      </c>
      <c r="N202" s="355">
        <f t="shared" si="59"/>
        <v>0.1652194927901964</v>
      </c>
      <c r="O202" s="355">
        <f t="shared" si="59"/>
        <v>0</v>
      </c>
      <c r="P202" s="355">
        <f t="shared" si="59"/>
        <v>0</v>
      </c>
      <c r="Q202" s="355">
        <f t="shared" si="59"/>
        <v>0.13557998149007908</v>
      </c>
      <c r="R202" s="355">
        <f t="shared" si="59"/>
        <v>0</v>
      </c>
      <c r="S202" s="355">
        <f t="shared" si="59"/>
        <v>0</v>
      </c>
      <c r="T202" s="355">
        <f t="shared" si="59"/>
        <v>0</v>
      </c>
      <c r="U202" s="355">
        <f t="shared" si="59"/>
        <v>0</v>
      </c>
      <c r="V202" s="355">
        <f t="shared" si="59"/>
        <v>0</v>
      </c>
      <c r="W202" s="355">
        <f t="shared" si="59"/>
        <v>0</v>
      </c>
      <c r="X202" s="355">
        <f t="shared" si="59"/>
        <v>0</v>
      </c>
      <c r="Y202" s="355">
        <f t="shared" si="59"/>
        <v>0</v>
      </c>
      <c r="Z202" s="349"/>
      <c r="AA202" s="349"/>
    </row>
    <row r="203" spans="3:27" x14ac:dyDescent="0.25">
      <c r="C203" s="96"/>
      <c r="D203" s="96"/>
      <c r="E203" s="96"/>
      <c r="J203" s="237"/>
      <c r="K203" s="237"/>
      <c r="L203" s="237"/>
      <c r="M203" s="237"/>
      <c r="N203" s="237"/>
      <c r="O203" s="237"/>
      <c r="P203" s="237"/>
      <c r="Q203" s="237"/>
      <c r="R203" s="237"/>
      <c r="S203" s="237"/>
      <c r="T203" s="237"/>
      <c r="U203" s="237"/>
      <c r="V203" s="237"/>
      <c r="W203" s="237"/>
      <c r="X203" s="237"/>
      <c r="Y203" s="237"/>
    </row>
    <row r="204" spans="3:27" x14ac:dyDescent="0.25">
      <c r="C204" s="7" t="str">
        <f ca="1">INDEX('Version control'!$H$35:$H$61,MATCH($A$1,'Version control'!$F$35:$F$61,0),1)&amp;"-E: Unit rate 3"</f>
        <v>Section 512-E: Unit rate 3</v>
      </c>
      <c r="D204" s="7"/>
      <c r="E204" s="7"/>
      <c r="F204" s="7"/>
      <c r="G204" s="7"/>
      <c r="H204" s="7"/>
      <c r="I204" s="7"/>
      <c r="J204" s="241"/>
      <c r="K204" s="241"/>
      <c r="L204" s="241"/>
      <c r="M204" s="241"/>
      <c r="N204" s="241"/>
      <c r="O204" s="241"/>
      <c r="P204" s="241"/>
      <c r="Q204" s="241"/>
      <c r="R204" s="241"/>
      <c r="S204" s="241"/>
      <c r="T204" s="241"/>
      <c r="U204" s="241"/>
      <c r="V204" s="241"/>
      <c r="W204" s="241"/>
      <c r="X204" s="241"/>
      <c r="Y204" s="241"/>
      <c r="Z204" s="7"/>
      <c r="AA204" s="7"/>
    </row>
    <row r="205" spans="3:27" x14ac:dyDescent="0.25">
      <c r="C205" s="96"/>
      <c r="D205" s="96"/>
      <c r="E205" s="96"/>
      <c r="J205" s="237"/>
      <c r="K205" s="237"/>
      <c r="L205" s="237"/>
      <c r="M205" s="237"/>
      <c r="N205" s="237"/>
      <c r="O205" s="237"/>
      <c r="P205" s="237"/>
      <c r="Q205" s="237"/>
      <c r="R205" s="237"/>
      <c r="S205" s="237"/>
      <c r="T205" s="237"/>
      <c r="U205" s="237"/>
      <c r="V205" s="237"/>
      <c r="W205" s="237"/>
      <c r="X205" s="237"/>
      <c r="Y205" s="237"/>
    </row>
    <row r="206" spans="3:27" x14ac:dyDescent="0.25">
      <c r="C206" s="82" t="s">
        <v>728</v>
      </c>
      <c r="D206" s="96"/>
      <c r="E206" s="96"/>
      <c r="I206" s="88" t="s">
        <v>359</v>
      </c>
      <c r="J206" s="237"/>
      <c r="K206" s="237"/>
      <c r="L206" s="237"/>
      <c r="M206" s="237"/>
      <c r="N206" s="237"/>
      <c r="O206" s="237"/>
      <c r="P206" s="237"/>
      <c r="Q206" s="237"/>
      <c r="R206" s="237"/>
      <c r="S206" s="237"/>
      <c r="T206" s="237"/>
      <c r="U206" s="237"/>
      <c r="V206" s="237"/>
      <c r="W206" s="237"/>
      <c r="X206" s="237"/>
      <c r="Y206" s="237"/>
      <c r="AA206" s="293" t="s">
        <v>726</v>
      </c>
    </row>
    <row r="207" spans="3:27" x14ac:dyDescent="0.25">
      <c r="C207" s="82" t="s">
        <v>801</v>
      </c>
      <c r="D207" s="96"/>
      <c r="E207" s="96"/>
      <c r="J207" s="237"/>
      <c r="K207" s="237"/>
      <c r="L207" s="237"/>
      <c r="M207" s="237"/>
      <c r="N207" s="237"/>
      <c r="O207" s="237"/>
      <c r="P207" s="237"/>
      <c r="Q207" s="237"/>
      <c r="R207" s="237"/>
      <c r="S207" s="237"/>
      <c r="T207" s="237"/>
      <c r="U207" s="237"/>
      <c r="V207" s="237"/>
      <c r="W207" s="237"/>
      <c r="X207" s="237"/>
      <c r="Y207" s="237"/>
    </row>
    <row r="208" spans="3:27" x14ac:dyDescent="0.25">
      <c r="C208" s="96"/>
      <c r="D208" s="96"/>
      <c r="E208" s="96"/>
    </row>
    <row r="209" spans="3:27" x14ac:dyDescent="0.25">
      <c r="E209" s="96" t="s">
        <v>139</v>
      </c>
      <c r="J209" s="237"/>
      <c r="K209" s="237"/>
      <c r="L209" s="237"/>
      <c r="M209" s="237"/>
      <c r="N209" s="237"/>
      <c r="O209" s="237"/>
      <c r="P209" s="237"/>
      <c r="Q209" s="237"/>
      <c r="R209" s="237"/>
      <c r="S209" s="237"/>
      <c r="T209" s="237"/>
      <c r="U209" s="237"/>
      <c r="V209" s="237"/>
      <c r="W209" s="237"/>
      <c r="X209" s="237"/>
      <c r="Y209" s="237"/>
    </row>
    <row r="210" spans="3:27" x14ac:dyDescent="0.25">
      <c r="E210" s="96"/>
      <c r="F210" s="410" t="s">
        <v>267</v>
      </c>
      <c r="G210" s="91" t="s">
        <v>183</v>
      </c>
      <c r="H210" s="347"/>
      <c r="I210" s="347"/>
      <c r="J210" s="353">
        <f t="shared" ref="J210:Y210" si="60">hundred * $H18 * J55 / $H43 * J105 * (1 - J67) / hours_in_year</f>
        <v>0</v>
      </c>
      <c r="K210" s="353">
        <f t="shared" si="60"/>
        <v>0</v>
      </c>
      <c r="L210" s="353">
        <f t="shared" si="60"/>
        <v>0</v>
      </c>
      <c r="M210" s="353">
        <f t="shared" si="60"/>
        <v>0</v>
      </c>
      <c r="N210" s="353">
        <f t="shared" si="60"/>
        <v>0</v>
      </c>
      <c r="O210" s="353">
        <f t="shared" si="60"/>
        <v>0</v>
      </c>
      <c r="P210" s="353">
        <f t="shared" si="60"/>
        <v>0</v>
      </c>
      <c r="Q210" s="353">
        <f t="shared" si="60"/>
        <v>0</v>
      </c>
      <c r="R210" s="353">
        <f t="shared" si="60"/>
        <v>0</v>
      </c>
      <c r="S210" s="353">
        <f t="shared" si="60"/>
        <v>0</v>
      </c>
      <c r="T210" s="353">
        <f t="shared" si="60"/>
        <v>0</v>
      </c>
      <c r="U210" s="353">
        <f t="shared" si="60"/>
        <v>0</v>
      </c>
      <c r="V210" s="353">
        <f t="shared" si="60"/>
        <v>0</v>
      </c>
      <c r="W210" s="353">
        <f t="shared" si="60"/>
        <v>0</v>
      </c>
      <c r="X210" s="353">
        <f t="shared" si="60"/>
        <v>0</v>
      </c>
      <c r="Y210" s="353">
        <f t="shared" si="60"/>
        <v>0</v>
      </c>
      <c r="Z210" s="349"/>
      <c r="AA210" s="349"/>
    </row>
    <row r="211" spans="3:27" x14ac:dyDescent="0.25">
      <c r="E211" s="96"/>
      <c r="F211" s="411" t="s">
        <v>43</v>
      </c>
      <c r="G211" s="293" t="s">
        <v>183</v>
      </c>
      <c r="H211" s="349"/>
      <c r="I211" s="349"/>
      <c r="J211" s="354">
        <f t="shared" ref="J211:Y211" si="61">hundred * $H19 * J56 / $H44 * J106 * (1 - J68) / hours_in_year</f>
        <v>0</v>
      </c>
      <c r="K211" s="354">
        <f t="shared" si="61"/>
        <v>0</v>
      </c>
      <c r="L211" s="354">
        <f t="shared" si="61"/>
        <v>0</v>
      </c>
      <c r="M211" s="354">
        <f t="shared" si="61"/>
        <v>0</v>
      </c>
      <c r="N211" s="354">
        <f t="shared" si="61"/>
        <v>0</v>
      </c>
      <c r="O211" s="354">
        <f t="shared" si="61"/>
        <v>0</v>
      </c>
      <c r="P211" s="354">
        <f t="shared" si="61"/>
        <v>0</v>
      </c>
      <c r="Q211" s="354">
        <f t="shared" si="61"/>
        <v>0</v>
      </c>
      <c r="R211" s="354">
        <f t="shared" si="61"/>
        <v>0</v>
      </c>
      <c r="S211" s="354">
        <f t="shared" si="61"/>
        <v>0</v>
      </c>
      <c r="T211" s="354">
        <f t="shared" si="61"/>
        <v>0</v>
      </c>
      <c r="U211" s="354">
        <f t="shared" si="61"/>
        <v>0</v>
      </c>
      <c r="V211" s="354">
        <f t="shared" si="61"/>
        <v>0</v>
      </c>
      <c r="W211" s="354">
        <f t="shared" si="61"/>
        <v>0</v>
      </c>
      <c r="X211" s="354">
        <f t="shared" si="61"/>
        <v>0</v>
      </c>
      <c r="Y211" s="354">
        <f t="shared" si="61"/>
        <v>0</v>
      </c>
      <c r="Z211" s="349"/>
      <c r="AA211" s="349"/>
    </row>
    <row r="212" spans="3:27" x14ac:dyDescent="0.25">
      <c r="E212" s="96"/>
      <c r="F212" s="411" t="s">
        <v>44</v>
      </c>
      <c r="G212" s="293" t="s">
        <v>183</v>
      </c>
      <c r="H212" s="349"/>
      <c r="I212" s="349"/>
      <c r="J212" s="354">
        <f t="shared" ref="J212:Y212" si="62">hundred * $H20 * J57 / $H45 * J107 * (1 - J69) / hours_in_year</f>
        <v>4.1738758879350316E-3</v>
      </c>
      <c r="K212" s="354">
        <f t="shared" si="62"/>
        <v>4.1738758879350316E-3</v>
      </c>
      <c r="L212" s="354">
        <f t="shared" si="62"/>
        <v>3.6787809726934093E-3</v>
      </c>
      <c r="M212" s="354">
        <f t="shared" si="62"/>
        <v>3.6787809726934093E-3</v>
      </c>
      <c r="N212" s="354">
        <f t="shared" si="62"/>
        <v>3.2221938005092153E-3</v>
      </c>
      <c r="O212" s="354">
        <f t="shared" si="62"/>
        <v>2.5772701458639589E-3</v>
      </c>
      <c r="P212" s="354">
        <f t="shared" si="62"/>
        <v>2.6888386752495037E-3</v>
      </c>
      <c r="Q212" s="354">
        <f t="shared" si="62"/>
        <v>2.7593292462275822E-3</v>
      </c>
      <c r="R212" s="354">
        <f t="shared" si="62"/>
        <v>-2.8327838731644008E-3</v>
      </c>
      <c r="S212" s="354">
        <f t="shared" si="62"/>
        <v>-2.7182227606467229E-3</v>
      </c>
      <c r="T212" s="354">
        <f t="shared" si="62"/>
        <v>-2.8327838731644008E-3</v>
      </c>
      <c r="U212" s="354">
        <f t="shared" si="62"/>
        <v>-2.8327838731644008E-3</v>
      </c>
      <c r="V212" s="354">
        <f t="shared" si="62"/>
        <v>-2.7182227606467229E-3</v>
      </c>
      <c r="W212" s="354">
        <f t="shared" si="62"/>
        <v>-2.7182227606467229E-3</v>
      </c>
      <c r="X212" s="354">
        <f t="shared" si="62"/>
        <v>-2.6791678359247869E-3</v>
      </c>
      <c r="Y212" s="354">
        <f t="shared" si="62"/>
        <v>-2.6791678359247869E-3</v>
      </c>
      <c r="Z212" s="349"/>
      <c r="AA212" s="349"/>
    </row>
    <row r="213" spans="3:27" x14ac:dyDescent="0.25">
      <c r="E213" s="96"/>
      <c r="F213" s="411" t="s">
        <v>45</v>
      </c>
      <c r="G213" s="293" t="s">
        <v>183</v>
      </c>
      <c r="H213" s="349"/>
      <c r="I213" s="349"/>
      <c r="J213" s="354">
        <f t="shared" ref="J213:Y213" si="63">hundred * $H21 * J58 / $H46 * J108 * (1 - J70) / hours_in_year</f>
        <v>1.0799814723975805E-3</v>
      </c>
      <c r="K213" s="354">
        <f t="shared" si="63"/>
        <v>1.0799814723975805E-3</v>
      </c>
      <c r="L213" s="354">
        <f t="shared" si="63"/>
        <v>9.5187672038883435E-4</v>
      </c>
      <c r="M213" s="354">
        <f t="shared" si="63"/>
        <v>9.5187672038883435E-4</v>
      </c>
      <c r="N213" s="354">
        <f t="shared" si="63"/>
        <v>8.3373576466020316E-4</v>
      </c>
      <c r="O213" s="354">
        <f t="shared" si="63"/>
        <v>6.6686314630058088E-4</v>
      </c>
      <c r="P213" s="354">
        <f t="shared" si="63"/>
        <v>6.9573126501664675E-4</v>
      </c>
      <c r="Q213" s="354">
        <f t="shared" si="63"/>
        <v>7.1397054971965095E-4</v>
      </c>
      <c r="R213" s="354">
        <f t="shared" si="63"/>
        <v>-7.329767775720291E-4</v>
      </c>
      <c r="S213" s="354">
        <f t="shared" si="63"/>
        <v>-7.0333433436139557E-4</v>
      </c>
      <c r="T213" s="354">
        <f t="shared" si="63"/>
        <v>-7.329767775720291E-4</v>
      </c>
      <c r="U213" s="354">
        <f t="shared" si="63"/>
        <v>-7.329767775720291E-4</v>
      </c>
      <c r="V213" s="354">
        <f t="shared" si="63"/>
        <v>-7.0333433436139557E-4</v>
      </c>
      <c r="W213" s="354">
        <f t="shared" si="63"/>
        <v>-7.0333433436139557E-4</v>
      </c>
      <c r="X213" s="354">
        <f t="shared" si="63"/>
        <v>-6.9322895599413395E-4</v>
      </c>
      <c r="Y213" s="354">
        <f t="shared" si="63"/>
        <v>-6.9322895599413395E-4</v>
      </c>
      <c r="Z213" s="349"/>
      <c r="AA213" s="349"/>
    </row>
    <row r="214" spans="3:27" x14ac:dyDescent="0.25">
      <c r="E214" s="96"/>
      <c r="F214" s="411" t="s">
        <v>46</v>
      </c>
      <c r="G214" s="293" t="s">
        <v>183</v>
      </c>
      <c r="H214" s="349"/>
      <c r="I214" s="349"/>
      <c r="J214" s="354">
        <f t="shared" ref="J214:Y214" si="64">hundred * $H22 * J59 / $H47 * J109 * (1 - J71) / hours_in_year</f>
        <v>4.4752393774894926E-3</v>
      </c>
      <c r="K214" s="354">
        <f t="shared" si="64"/>
        <v>4.4752393774894926E-3</v>
      </c>
      <c r="L214" s="354">
        <f t="shared" si="64"/>
        <v>3.9443974646552558E-3</v>
      </c>
      <c r="M214" s="354">
        <f t="shared" si="64"/>
        <v>3.9443974646552558E-3</v>
      </c>
      <c r="N214" s="354">
        <f t="shared" si="64"/>
        <v>3.4548436429611955E-3</v>
      </c>
      <c r="O214" s="354">
        <f t="shared" si="64"/>
        <v>2.7633550093183815E-3</v>
      </c>
      <c r="P214" s="354">
        <f t="shared" si="64"/>
        <v>2.8182910557089619E-3</v>
      </c>
      <c r="Q214" s="354">
        <f t="shared" si="64"/>
        <v>2.9585591976682866E-3</v>
      </c>
      <c r="R214" s="354">
        <f t="shared" si="64"/>
        <v>-3.0373174185048639E-3</v>
      </c>
      <c r="S214" s="354">
        <f t="shared" si="64"/>
        <v>-2.9144847287859168E-3</v>
      </c>
      <c r="T214" s="354">
        <f t="shared" si="64"/>
        <v>-3.0373174185048639E-3</v>
      </c>
      <c r="U214" s="354">
        <f t="shared" si="64"/>
        <v>-3.0373174185048639E-3</v>
      </c>
      <c r="V214" s="354">
        <f t="shared" si="64"/>
        <v>-2.9144847287859168E-3</v>
      </c>
      <c r="W214" s="354">
        <f t="shared" si="64"/>
        <v>-2.9144847287859168E-3</v>
      </c>
      <c r="X214" s="354">
        <f t="shared" si="64"/>
        <v>-2.8081546201463043E-3</v>
      </c>
      <c r="Y214" s="354">
        <f t="shared" si="64"/>
        <v>-2.8081546201463043E-3</v>
      </c>
      <c r="Z214" s="349"/>
      <c r="AA214" s="349"/>
    </row>
    <row r="215" spans="3:27" x14ac:dyDescent="0.25">
      <c r="E215" s="96"/>
      <c r="F215" s="411" t="s">
        <v>47</v>
      </c>
      <c r="G215" s="293" t="s">
        <v>183</v>
      </c>
      <c r="H215" s="349"/>
      <c r="I215" s="349"/>
      <c r="J215" s="354">
        <f t="shared" ref="J215:Y215" si="65">hundred * $H23 * J60 / $H48 * J110 * (1 - J72) / hours_in_year</f>
        <v>3.1276286843639222E-3</v>
      </c>
      <c r="K215" s="354">
        <f t="shared" si="65"/>
        <v>3.1276286843639222E-3</v>
      </c>
      <c r="L215" s="354">
        <f t="shared" si="65"/>
        <v>2.756637044945887E-3</v>
      </c>
      <c r="M215" s="354">
        <f t="shared" si="65"/>
        <v>2.756637044945887E-3</v>
      </c>
      <c r="N215" s="354">
        <f t="shared" si="65"/>
        <v>2.4145005811464339E-3</v>
      </c>
      <c r="O215" s="354">
        <f t="shared" si="65"/>
        <v>1.9312371167669895E-3</v>
      </c>
      <c r="P215" s="354">
        <f t="shared" si="65"/>
        <v>1.9281405951457682E-3</v>
      </c>
      <c r="Q215" s="354">
        <f t="shared" si="65"/>
        <v>2.0676602591495168E-3</v>
      </c>
      <c r="R215" s="354">
        <f t="shared" si="65"/>
        <v>-2.1227023361961596E-3</v>
      </c>
      <c r="S215" s="354">
        <f t="shared" si="65"/>
        <v>-2.0368577564235206E-3</v>
      </c>
      <c r="T215" s="354">
        <f t="shared" si="65"/>
        <v>-2.1227023361961596E-3</v>
      </c>
      <c r="U215" s="354">
        <f t="shared" si="65"/>
        <v>-2.1227023361961596E-3</v>
      </c>
      <c r="V215" s="354">
        <f t="shared" si="65"/>
        <v>-2.0368577564235206E-3</v>
      </c>
      <c r="W215" s="354">
        <f t="shared" si="65"/>
        <v>-2.0368577564235206E-3</v>
      </c>
      <c r="X215" s="354">
        <f t="shared" si="65"/>
        <v>-1.921205728408407E-3</v>
      </c>
      <c r="Y215" s="354">
        <f t="shared" si="65"/>
        <v>-1.921205728408407E-3</v>
      </c>
      <c r="Z215" s="349"/>
      <c r="AA215" s="349"/>
    </row>
    <row r="216" spans="3:27" x14ac:dyDescent="0.25">
      <c r="E216" s="96"/>
      <c r="F216" s="411" t="s">
        <v>51</v>
      </c>
      <c r="G216" s="293" t="s">
        <v>183</v>
      </c>
      <c r="H216" s="349"/>
      <c r="I216" s="349"/>
      <c r="J216" s="354">
        <f t="shared" ref="J216:Y216" si="66">hundred * $H24 * J61 / $H49 * J111 * (1 - J73) / hours_in_year</f>
        <v>0</v>
      </c>
      <c r="K216" s="354">
        <f t="shared" si="66"/>
        <v>0</v>
      </c>
      <c r="L216" s="354">
        <f t="shared" si="66"/>
        <v>0</v>
      </c>
      <c r="M216" s="354">
        <f t="shared" si="66"/>
        <v>0</v>
      </c>
      <c r="N216" s="354">
        <f t="shared" si="66"/>
        <v>0</v>
      </c>
      <c r="O216" s="354">
        <f t="shared" si="66"/>
        <v>0</v>
      </c>
      <c r="P216" s="354">
        <f t="shared" si="66"/>
        <v>0</v>
      </c>
      <c r="Q216" s="354">
        <f t="shared" si="66"/>
        <v>0</v>
      </c>
      <c r="R216" s="354">
        <f t="shared" si="66"/>
        <v>0</v>
      </c>
      <c r="S216" s="354">
        <f t="shared" si="66"/>
        <v>0</v>
      </c>
      <c r="T216" s="354">
        <f t="shared" si="66"/>
        <v>0</v>
      </c>
      <c r="U216" s="354">
        <f t="shared" si="66"/>
        <v>0</v>
      </c>
      <c r="V216" s="354">
        <f t="shared" si="66"/>
        <v>0</v>
      </c>
      <c r="W216" s="354">
        <f t="shared" si="66"/>
        <v>0</v>
      </c>
      <c r="X216" s="354">
        <f t="shared" si="66"/>
        <v>0</v>
      </c>
      <c r="Y216" s="354">
        <f t="shared" si="66"/>
        <v>0</v>
      </c>
      <c r="Z216" s="349"/>
      <c r="AA216" s="349"/>
    </row>
    <row r="217" spans="3:27" x14ac:dyDescent="0.25">
      <c r="E217" s="96"/>
      <c r="F217" s="411" t="s">
        <v>48</v>
      </c>
      <c r="G217" s="293" t="s">
        <v>183</v>
      </c>
      <c r="H217" s="349"/>
      <c r="I217" s="349"/>
      <c r="J217" s="354">
        <f t="shared" ref="J217:Y217" si="67">hundred * $H25 * J62 / $H50 * J112 * (1 - J74) / hours_in_year</f>
        <v>1.3489343398189827E-2</v>
      </c>
      <c r="K217" s="354">
        <f t="shared" si="67"/>
        <v>1.3489343398189827E-2</v>
      </c>
      <c r="L217" s="354">
        <f t="shared" si="67"/>
        <v>1.1889270586802033E-2</v>
      </c>
      <c r="M217" s="354">
        <f t="shared" si="67"/>
        <v>1.1889270586802033E-2</v>
      </c>
      <c r="N217" s="354">
        <f t="shared" si="67"/>
        <v>1.0413649048891829E-2</v>
      </c>
      <c r="O217" s="354">
        <f t="shared" si="67"/>
        <v>8.3293521323801467E-3</v>
      </c>
      <c r="P217" s="354">
        <f t="shared" si="67"/>
        <v>8.1677174344873781E-3</v>
      </c>
      <c r="Q217" s="354">
        <f t="shared" si="67"/>
        <v>8.9177399497250027E-3</v>
      </c>
      <c r="R217" s="354">
        <f t="shared" si="67"/>
        <v>-9.1551343317191666E-3</v>
      </c>
      <c r="S217" s="354">
        <f t="shared" si="67"/>
        <v>-8.7848899285981712E-3</v>
      </c>
      <c r="T217" s="354">
        <f t="shared" si="67"/>
        <v>-9.1551343317191666E-3</v>
      </c>
      <c r="U217" s="354">
        <f t="shared" si="67"/>
        <v>-9.1551343317191666E-3</v>
      </c>
      <c r="V217" s="354">
        <f t="shared" si="67"/>
        <v>-8.7848899285981712E-3</v>
      </c>
      <c r="W217" s="354">
        <f t="shared" si="67"/>
        <v>-8.7848899285981712E-3</v>
      </c>
      <c r="X217" s="354">
        <f t="shared" si="67"/>
        <v>0</v>
      </c>
      <c r="Y217" s="354">
        <f t="shared" si="67"/>
        <v>0</v>
      </c>
      <c r="Z217" s="349"/>
      <c r="AA217" s="349"/>
    </row>
    <row r="218" spans="3:27" x14ac:dyDescent="0.25">
      <c r="E218" s="96"/>
      <c r="F218" s="411" t="s">
        <v>49</v>
      </c>
      <c r="G218" s="293" t="s">
        <v>183</v>
      </c>
      <c r="H218" s="349"/>
      <c r="I218" s="349"/>
      <c r="J218" s="354">
        <f t="shared" ref="J218:Y218" si="68">hundred * $H26 * J63 / $H51 * J113 * (1 - J75) / hours_in_year</f>
        <v>4.4674184010976767E-3</v>
      </c>
      <c r="K218" s="354">
        <f t="shared" si="68"/>
        <v>4.4674184010976767E-3</v>
      </c>
      <c r="L218" s="354">
        <f t="shared" si="68"/>
        <v>3.9375041932905586E-3</v>
      </c>
      <c r="M218" s="354">
        <f t="shared" si="68"/>
        <v>3.9375041932905586E-3</v>
      </c>
      <c r="N218" s="354">
        <f t="shared" si="68"/>
        <v>3.4488059211121866E-3</v>
      </c>
      <c r="O218" s="354">
        <f t="shared" si="68"/>
        <v>2.7585257404308229E-3</v>
      </c>
      <c r="P218" s="354">
        <f t="shared" si="68"/>
        <v>0</v>
      </c>
      <c r="Q218" s="354">
        <f t="shared" si="68"/>
        <v>2.9533887878450396E-3</v>
      </c>
      <c r="R218" s="354">
        <f t="shared" si="68"/>
        <v>-3.0320093699691664E-3</v>
      </c>
      <c r="S218" s="354">
        <f t="shared" si="68"/>
        <v>0</v>
      </c>
      <c r="T218" s="354">
        <f t="shared" si="68"/>
        <v>-3.0320093699691664E-3</v>
      </c>
      <c r="U218" s="354">
        <f t="shared" si="68"/>
        <v>-3.0320093699691664E-3</v>
      </c>
      <c r="V218" s="354">
        <f t="shared" si="68"/>
        <v>0</v>
      </c>
      <c r="W218" s="354">
        <f t="shared" si="68"/>
        <v>0</v>
      </c>
      <c r="X218" s="354">
        <f t="shared" si="68"/>
        <v>0</v>
      </c>
      <c r="Y218" s="354">
        <f t="shared" si="68"/>
        <v>0</v>
      </c>
      <c r="Z218" s="349"/>
      <c r="AA218" s="349"/>
    </row>
    <row r="219" spans="3:27" x14ac:dyDescent="0.25">
      <c r="E219" s="96"/>
      <c r="F219" s="413" t="s">
        <v>50</v>
      </c>
      <c r="G219" s="93" t="s">
        <v>183</v>
      </c>
      <c r="H219" s="351"/>
      <c r="I219" s="351"/>
      <c r="J219" s="355">
        <f t="shared" ref="J219:Y219" si="69">hundred * $H27 * J64 / $H52 * J114 * (1 - J76) / hours_in_year</f>
        <v>8.9842135939747266E-4</v>
      </c>
      <c r="K219" s="355">
        <f t="shared" si="69"/>
        <v>8.9842135939747266E-4</v>
      </c>
      <c r="L219" s="355">
        <f t="shared" si="69"/>
        <v>7.9185282244890131E-4</v>
      </c>
      <c r="M219" s="355">
        <f t="shared" si="69"/>
        <v>7.9185282244890131E-4</v>
      </c>
      <c r="N219" s="355">
        <f t="shared" si="69"/>
        <v>6.9357302713852478E-4</v>
      </c>
      <c r="O219" s="355">
        <f t="shared" si="69"/>
        <v>0</v>
      </c>
      <c r="P219" s="355">
        <f t="shared" si="69"/>
        <v>0</v>
      </c>
      <c r="Q219" s="355">
        <f t="shared" si="69"/>
        <v>5.9394203349143171E-4</v>
      </c>
      <c r="R219" s="355">
        <f t="shared" si="69"/>
        <v>0</v>
      </c>
      <c r="S219" s="355">
        <f t="shared" si="69"/>
        <v>0</v>
      </c>
      <c r="T219" s="355">
        <f t="shared" si="69"/>
        <v>0</v>
      </c>
      <c r="U219" s="355">
        <f t="shared" si="69"/>
        <v>0</v>
      </c>
      <c r="V219" s="355">
        <f t="shared" si="69"/>
        <v>0</v>
      </c>
      <c r="W219" s="355">
        <f t="shared" si="69"/>
        <v>0</v>
      </c>
      <c r="X219" s="355">
        <f t="shared" si="69"/>
        <v>0</v>
      </c>
      <c r="Y219" s="355">
        <f t="shared" si="69"/>
        <v>0</v>
      </c>
      <c r="Z219" s="349"/>
      <c r="AA219" s="349"/>
    </row>
    <row r="220" spans="3:27" x14ac:dyDescent="0.25">
      <c r="E220" s="96"/>
      <c r="F220" s="411"/>
      <c r="J220" s="237"/>
      <c r="K220" s="237"/>
      <c r="L220" s="237"/>
      <c r="M220" s="237"/>
      <c r="N220" s="237"/>
      <c r="O220" s="237"/>
      <c r="P220" s="237"/>
      <c r="Q220" s="237"/>
      <c r="R220" s="237"/>
      <c r="S220" s="237"/>
      <c r="T220" s="237"/>
      <c r="U220" s="237"/>
      <c r="V220" s="237"/>
      <c r="W220" s="237"/>
      <c r="X220" s="237"/>
      <c r="Y220" s="237"/>
    </row>
    <row r="221" spans="3:27" x14ac:dyDescent="0.25">
      <c r="E221" s="96" t="s">
        <v>116</v>
      </c>
      <c r="J221" s="237"/>
      <c r="K221" s="237"/>
      <c r="L221" s="237"/>
      <c r="M221" s="237"/>
      <c r="N221" s="237"/>
      <c r="O221" s="237"/>
      <c r="P221" s="237"/>
      <c r="Q221" s="237"/>
      <c r="R221" s="237"/>
      <c r="S221" s="237"/>
      <c r="T221" s="237"/>
      <c r="U221" s="237"/>
      <c r="V221" s="237"/>
      <c r="W221" s="237"/>
      <c r="X221" s="237"/>
      <c r="Y221" s="237"/>
    </row>
    <row r="222" spans="3:27" x14ac:dyDescent="0.25">
      <c r="C222" s="96"/>
      <c r="E222" s="96"/>
      <c r="F222" s="410" t="s">
        <v>267</v>
      </c>
      <c r="G222" s="91" t="s">
        <v>183</v>
      </c>
      <c r="H222" s="347"/>
      <c r="I222" s="347"/>
      <c r="J222" s="353">
        <f t="shared" ref="J222:Y222" si="70">hundred * $H30 * J55 / $H43 * J105 / hours_in_year</f>
        <v>0</v>
      </c>
      <c r="K222" s="353">
        <f t="shared" si="70"/>
        <v>0</v>
      </c>
      <c r="L222" s="353">
        <f t="shared" si="70"/>
        <v>0</v>
      </c>
      <c r="M222" s="353">
        <f t="shared" si="70"/>
        <v>0</v>
      </c>
      <c r="N222" s="353">
        <f t="shared" si="70"/>
        <v>0</v>
      </c>
      <c r="O222" s="353">
        <f t="shared" si="70"/>
        <v>0</v>
      </c>
      <c r="P222" s="353">
        <f t="shared" si="70"/>
        <v>0</v>
      </c>
      <c r="Q222" s="353">
        <f t="shared" si="70"/>
        <v>0</v>
      </c>
      <c r="R222" s="353">
        <f t="shared" si="70"/>
        <v>0</v>
      </c>
      <c r="S222" s="353">
        <f t="shared" si="70"/>
        <v>0</v>
      </c>
      <c r="T222" s="353">
        <f t="shared" si="70"/>
        <v>0</v>
      </c>
      <c r="U222" s="353">
        <f t="shared" si="70"/>
        <v>0</v>
      </c>
      <c r="V222" s="353">
        <f t="shared" si="70"/>
        <v>0</v>
      </c>
      <c r="W222" s="353">
        <f t="shared" si="70"/>
        <v>0</v>
      </c>
      <c r="X222" s="353">
        <f t="shared" si="70"/>
        <v>0</v>
      </c>
      <c r="Y222" s="353">
        <f t="shared" si="70"/>
        <v>0</v>
      </c>
      <c r="Z222" s="349"/>
      <c r="AA222" s="349"/>
    </row>
    <row r="223" spans="3:27" x14ac:dyDescent="0.25">
      <c r="C223" s="96"/>
      <c r="E223" s="96"/>
      <c r="F223" s="411" t="s">
        <v>43</v>
      </c>
      <c r="G223" s="293" t="s">
        <v>183</v>
      </c>
      <c r="H223" s="349"/>
      <c r="I223" s="349"/>
      <c r="J223" s="354">
        <f t="shared" ref="J223:Y223" si="71">hundred * $H31 * J56 / $H44 * J106 / hours_in_year</f>
        <v>0</v>
      </c>
      <c r="K223" s="354">
        <f t="shared" si="71"/>
        <v>0</v>
      </c>
      <c r="L223" s="354">
        <f t="shared" si="71"/>
        <v>0</v>
      </c>
      <c r="M223" s="354">
        <f t="shared" si="71"/>
        <v>0</v>
      </c>
      <c r="N223" s="354">
        <f t="shared" si="71"/>
        <v>0</v>
      </c>
      <c r="O223" s="354">
        <f t="shared" si="71"/>
        <v>0</v>
      </c>
      <c r="P223" s="354">
        <f t="shared" si="71"/>
        <v>0</v>
      </c>
      <c r="Q223" s="354">
        <f t="shared" si="71"/>
        <v>0</v>
      </c>
      <c r="R223" s="354">
        <f t="shared" si="71"/>
        <v>0</v>
      </c>
      <c r="S223" s="354">
        <f t="shared" si="71"/>
        <v>0</v>
      </c>
      <c r="T223" s="354">
        <f t="shared" si="71"/>
        <v>0</v>
      </c>
      <c r="U223" s="354">
        <f t="shared" si="71"/>
        <v>0</v>
      </c>
      <c r="V223" s="354">
        <f t="shared" si="71"/>
        <v>0</v>
      </c>
      <c r="W223" s="354">
        <f t="shared" si="71"/>
        <v>0</v>
      </c>
      <c r="X223" s="354">
        <f t="shared" si="71"/>
        <v>0</v>
      </c>
      <c r="Y223" s="354">
        <f t="shared" si="71"/>
        <v>0</v>
      </c>
      <c r="Z223" s="349"/>
      <c r="AA223" s="349"/>
    </row>
    <row r="224" spans="3:27" x14ac:dyDescent="0.25">
      <c r="C224" s="96"/>
      <c r="E224" s="96"/>
      <c r="F224" s="411" t="s">
        <v>44</v>
      </c>
      <c r="G224" s="293" t="s">
        <v>183</v>
      </c>
      <c r="H224" s="349"/>
      <c r="I224" s="349"/>
      <c r="J224" s="354">
        <f t="shared" ref="J224:Y224" si="72">hundred * $H32 * J57 / $H45 * J107 / hours_in_year</f>
        <v>2.3471446061362968E-3</v>
      </c>
      <c r="K224" s="354">
        <f t="shared" si="72"/>
        <v>2.3471446061362968E-3</v>
      </c>
      <c r="L224" s="354">
        <f t="shared" si="72"/>
        <v>2.0687320727895532E-3</v>
      </c>
      <c r="M224" s="354">
        <f t="shared" si="72"/>
        <v>2.0687320727895532E-3</v>
      </c>
      <c r="N224" s="354">
        <f t="shared" si="72"/>
        <v>1.8119740504628874E-3</v>
      </c>
      <c r="O224" s="354">
        <f t="shared" si="72"/>
        <v>1.449306563931749E-3</v>
      </c>
      <c r="P224" s="354">
        <f t="shared" si="72"/>
        <v>1.5120462042547383E-3</v>
      </c>
      <c r="Q224" s="354">
        <f t="shared" si="72"/>
        <v>1.5516859941998389E-3</v>
      </c>
      <c r="R224" s="354">
        <f t="shared" si="72"/>
        <v>-1.5929925965137387E-3</v>
      </c>
      <c r="S224" s="354">
        <f t="shared" si="72"/>
        <v>-1.5285701018017859E-3</v>
      </c>
      <c r="T224" s="354">
        <f t="shared" si="72"/>
        <v>-1.5929925965137387E-3</v>
      </c>
      <c r="U224" s="354">
        <f t="shared" si="72"/>
        <v>-1.5929925965137387E-3</v>
      </c>
      <c r="V224" s="354">
        <f t="shared" si="72"/>
        <v>-1.5285701018017859E-3</v>
      </c>
      <c r="W224" s="354">
        <f t="shared" si="72"/>
        <v>-1.5285701018017859E-3</v>
      </c>
      <c r="X224" s="354">
        <f t="shared" si="72"/>
        <v>-1.5066078876954383E-3</v>
      </c>
      <c r="Y224" s="354">
        <f t="shared" si="72"/>
        <v>-1.5066078876954383E-3</v>
      </c>
      <c r="Z224" s="349"/>
      <c r="AA224" s="349"/>
    </row>
    <row r="225" spans="2:27" x14ac:dyDescent="0.25">
      <c r="C225" s="96"/>
      <c r="E225" s="96"/>
      <c r="F225" s="411" t="s">
        <v>45</v>
      </c>
      <c r="G225" s="293" t="s">
        <v>183</v>
      </c>
      <c r="H225" s="349"/>
      <c r="I225" s="349"/>
      <c r="J225" s="354">
        <f t="shared" ref="J225:Y225" si="73">hundred * $H33 * J58 / $H46 * J108 / hours_in_year</f>
        <v>6.0731865434532893E-4</v>
      </c>
      <c r="K225" s="354">
        <f t="shared" si="73"/>
        <v>6.0731865434532893E-4</v>
      </c>
      <c r="L225" s="354">
        <f t="shared" si="73"/>
        <v>5.3528000591141151E-4</v>
      </c>
      <c r="M225" s="354">
        <f t="shared" si="73"/>
        <v>5.3528000591141151E-4</v>
      </c>
      <c r="N225" s="354">
        <f t="shared" si="73"/>
        <v>4.6884441595920729E-4</v>
      </c>
      <c r="O225" s="354">
        <f t="shared" si="73"/>
        <v>3.7500497832120802E-4</v>
      </c>
      <c r="P225" s="354">
        <f t="shared" si="73"/>
        <v>3.9123872626986556E-4</v>
      </c>
      <c r="Q225" s="354">
        <f t="shared" si="73"/>
        <v>4.0149543726460005E-4</v>
      </c>
      <c r="R225" s="354">
        <f t="shared" si="73"/>
        <v>-4.1218343240016623E-4</v>
      </c>
      <c r="S225" s="354">
        <f t="shared" si="73"/>
        <v>-3.955142494722184E-4</v>
      </c>
      <c r="T225" s="354">
        <f t="shared" si="73"/>
        <v>-4.1218343240016623E-4</v>
      </c>
      <c r="U225" s="354">
        <f t="shared" si="73"/>
        <v>-4.1218343240016623E-4</v>
      </c>
      <c r="V225" s="354">
        <f t="shared" si="73"/>
        <v>-3.955142494722184E-4</v>
      </c>
      <c r="W225" s="354">
        <f t="shared" si="73"/>
        <v>-3.955142494722184E-4</v>
      </c>
      <c r="X225" s="354">
        <f t="shared" si="73"/>
        <v>-3.8983157347405431E-4</v>
      </c>
      <c r="Y225" s="354">
        <f t="shared" si="73"/>
        <v>-3.8983157347405431E-4</v>
      </c>
      <c r="Z225" s="349"/>
      <c r="AA225" s="349"/>
    </row>
    <row r="226" spans="2:27" x14ac:dyDescent="0.25">
      <c r="C226" s="96"/>
      <c r="E226" s="96"/>
      <c r="F226" s="411" t="s">
        <v>46</v>
      </c>
      <c r="G226" s="293" t="s">
        <v>183</v>
      </c>
      <c r="H226" s="349"/>
      <c r="I226" s="349"/>
      <c r="J226" s="354">
        <f t="shared" ref="J226:Y226" si="74">hundred * $H34 * J59 / $H47 * J109 / hours_in_year</f>
        <v>2.548135360847512E-3</v>
      </c>
      <c r="K226" s="354">
        <f t="shared" si="74"/>
        <v>2.548135360847512E-3</v>
      </c>
      <c r="L226" s="354">
        <f t="shared" si="74"/>
        <v>2.2458817974031222E-3</v>
      </c>
      <c r="M226" s="354">
        <f t="shared" si="74"/>
        <v>2.2458817974031222E-3</v>
      </c>
      <c r="N226" s="354">
        <f t="shared" si="74"/>
        <v>1.9671370646919834E-3</v>
      </c>
      <c r="O226" s="354">
        <f t="shared" si="74"/>
        <v>1.5734136254783632E-3</v>
      </c>
      <c r="P226" s="354">
        <f t="shared" si="74"/>
        <v>1.6415257884937592E-3</v>
      </c>
      <c r="Q226" s="354">
        <f t="shared" si="74"/>
        <v>1.6845600140764554E-3</v>
      </c>
      <c r="R226" s="354">
        <f t="shared" si="74"/>
        <v>-1.7294037845528628E-3</v>
      </c>
      <c r="S226" s="354">
        <f t="shared" si="74"/>
        <v>-1.6594646609128575E-3</v>
      </c>
      <c r="T226" s="354">
        <f t="shared" si="74"/>
        <v>-1.7294037845528628E-3</v>
      </c>
      <c r="U226" s="354">
        <f t="shared" si="74"/>
        <v>-1.7294037845528628E-3</v>
      </c>
      <c r="V226" s="354">
        <f t="shared" si="74"/>
        <v>-1.6594646609128575E-3</v>
      </c>
      <c r="W226" s="354">
        <f t="shared" si="74"/>
        <v>-1.6594646609128575E-3</v>
      </c>
      <c r="X226" s="354">
        <f t="shared" si="74"/>
        <v>-1.6356217778537643E-3</v>
      </c>
      <c r="Y226" s="354">
        <f t="shared" si="74"/>
        <v>-1.6356217778537643E-3</v>
      </c>
      <c r="Z226" s="349"/>
      <c r="AA226" s="349"/>
    </row>
    <row r="227" spans="2:27" x14ac:dyDescent="0.25">
      <c r="C227" s="96"/>
      <c r="E227" s="96"/>
      <c r="F227" s="411" t="s">
        <v>47</v>
      </c>
      <c r="G227" s="293" t="s">
        <v>183</v>
      </c>
      <c r="H227" s="349"/>
      <c r="I227" s="349"/>
      <c r="J227" s="354">
        <f t="shared" ref="J227:Y227" si="75">hundred * $H35 * J60 / $H48 * J110 / hours_in_year</f>
        <v>1.8027857814506588E-3</v>
      </c>
      <c r="K227" s="354">
        <f t="shared" si="75"/>
        <v>1.8027857814506588E-3</v>
      </c>
      <c r="L227" s="354">
        <f t="shared" si="75"/>
        <v>1.5889437560454203E-3</v>
      </c>
      <c r="M227" s="354">
        <f t="shared" si="75"/>
        <v>1.5889437560454203E-3</v>
      </c>
      <c r="N227" s="354">
        <f t="shared" si="75"/>
        <v>1.3917340439919886E-3</v>
      </c>
      <c r="O227" s="354">
        <f t="shared" si="75"/>
        <v>1.1131777989257581E-3</v>
      </c>
      <c r="P227" s="354">
        <f t="shared" si="75"/>
        <v>1.1613666200200835E-3</v>
      </c>
      <c r="Q227" s="354">
        <f t="shared" si="75"/>
        <v>1.1918129970800607E-3</v>
      </c>
      <c r="R227" s="354">
        <f t="shared" si="75"/>
        <v>-1.2235396129591386E-3</v>
      </c>
      <c r="S227" s="354">
        <f t="shared" si="75"/>
        <v>-1.174058231552703E-3</v>
      </c>
      <c r="T227" s="354">
        <f t="shared" si="75"/>
        <v>-1.2235396129591386E-3</v>
      </c>
      <c r="U227" s="354">
        <f t="shared" si="75"/>
        <v>-1.2235396129591386E-3</v>
      </c>
      <c r="V227" s="354">
        <f t="shared" si="75"/>
        <v>-1.174058231552703E-3</v>
      </c>
      <c r="W227" s="354">
        <f t="shared" si="75"/>
        <v>-1.174058231552703E-3</v>
      </c>
      <c r="X227" s="354">
        <f t="shared" si="75"/>
        <v>-1.1571895788005087E-3</v>
      </c>
      <c r="Y227" s="354">
        <f t="shared" si="75"/>
        <v>-1.1571895788005087E-3</v>
      </c>
      <c r="Z227" s="349"/>
      <c r="AA227" s="349"/>
    </row>
    <row r="228" spans="2:27" x14ac:dyDescent="0.25">
      <c r="C228" s="96"/>
      <c r="E228" s="96"/>
      <c r="F228" s="411" t="s">
        <v>51</v>
      </c>
      <c r="G228" s="293" t="s">
        <v>183</v>
      </c>
      <c r="H228" s="349"/>
      <c r="I228" s="349"/>
      <c r="J228" s="354">
        <f t="shared" ref="J228:Y228" si="76">hundred * $H36 * J61 / $H49 * J111 / hours_in_year</f>
        <v>0</v>
      </c>
      <c r="K228" s="354">
        <f t="shared" si="76"/>
        <v>0</v>
      </c>
      <c r="L228" s="354">
        <f t="shared" si="76"/>
        <v>0</v>
      </c>
      <c r="M228" s="354">
        <f t="shared" si="76"/>
        <v>0</v>
      </c>
      <c r="N228" s="354">
        <f t="shared" si="76"/>
        <v>0</v>
      </c>
      <c r="O228" s="354">
        <f t="shared" si="76"/>
        <v>0</v>
      </c>
      <c r="P228" s="354">
        <f t="shared" si="76"/>
        <v>0</v>
      </c>
      <c r="Q228" s="354">
        <f t="shared" si="76"/>
        <v>0</v>
      </c>
      <c r="R228" s="354">
        <f t="shared" si="76"/>
        <v>0</v>
      </c>
      <c r="S228" s="354">
        <f t="shared" si="76"/>
        <v>0</v>
      </c>
      <c r="T228" s="354">
        <f t="shared" si="76"/>
        <v>0</v>
      </c>
      <c r="U228" s="354">
        <f t="shared" si="76"/>
        <v>0</v>
      </c>
      <c r="V228" s="354">
        <f t="shared" si="76"/>
        <v>0</v>
      </c>
      <c r="W228" s="354">
        <f t="shared" si="76"/>
        <v>0</v>
      </c>
      <c r="X228" s="354">
        <f t="shared" si="76"/>
        <v>0</v>
      </c>
      <c r="Y228" s="354">
        <f t="shared" si="76"/>
        <v>0</v>
      </c>
      <c r="Z228" s="349"/>
      <c r="AA228" s="349"/>
    </row>
    <row r="229" spans="2:27" x14ac:dyDescent="0.25">
      <c r="C229" s="96"/>
      <c r="E229" s="96"/>
      <c r="F229" s="411" t="s">
        <v>48</v>
      </c>
      <c r="G229" s="293" t="s">
        <v>183</v>
      </c>
      <c r="H229" s="349"/>
      <c r="I229" s="349"/>
      <c r="J229" s="354">
        <f t="shared" ref="J229:Y229" si="77">hundred * $H37 * J62 / $H50 * J112 / hours_in_year</f>
        <v>1.1559909900095651E-2</v>
      </c>
      <c r="K229" s="354">
        <f t="shared" si="77"/>
        <v>1.1559909900095651E-2</v>
      </c>
      <c r="L229" s="354">
        <f t="shared" si="77"/>
        <v>1.0188701755471074E-2</v>
      </c>
      <c r="M229" s="354">
        <f t="shared" si="77"/>
        <v>1.0188701755471074E-2</v>
      </c>
      <c r="N229" s="354">
        <f t="shared" si="77"/>
        <v>8.9241441323645553E-3</v>
      </c>
      <c r="O229" s="354">
        <f t="shared" si="77"/>
        <v>7.1379723485581236E-3</v>
      </c>
      <c r="P229" s="354">
        <f t="shared" si="77"/>
        <v>7.4469710303615632E-3</v>
      </c>
      <c r="Q229" s="354">
        <f t="shared" si="77"/>
        <v>7.642200757164967E-3</v>
      </c>
      <c r="R229" s="354">
        <f t="shared" si="77"/>
        <v>-7.8456396930445052E-3</v>
      </c>
      <c r="S229" s="354">
        <f t="shared" si="77"/>
        <v>-7.5283527936934403E-3</v>
      </c>
      <c r="T229" s="354">
        <f t="shared" si="77"/>
        <v>-7.8456396930445052E-3</v>
      </c>
      <c r="U229" s="354">
        <f t="shared" si="77"/>
        <v>-7.8456396930445052E-3</v>
      </c>
      <c r="V229" s="354">
        <f t="shared" si="77"/>
        <v>-7.5283527936934403E-3</v>
      </c>
      <c r="W229" s="354">
        <f t="shared" si="77"/>
        <v>-7.5283527936934403E-3</v>
      </c>
      <c r="X229" s="354">
        <f t="shared" si="77"/>
        <v>0</v>
      </c>
      <c r="Y229" s="354">
        <f t="shared" si="77"/>
        <v>0</v>
      </c>
      <c r="Z229" s="349"/>
      <c r="AA229" s="349"/>
    </row>
    <row r="230" spans="2:27" x14ac:dyDescent="0.25">
      <c r="C230" s="96"/>
      <c r="E230" s="96"/>
      <c r="F230" s="411" t="s">
        <v>49</v>
      </c>
      <c r="G230" s="293" t="s">
        <v>183</v>
      </c>
      <c r="H230" s="349"/>
      <c r="I230" s="349"/>
      <c r="J230" s="354">
        <f t="shared" ref="J230:Y230" si="78">hundred * $H38 * J63 / $H51 * J113 / hours_in_year</f>
        <v>4.3578522504080916E-3</v>
      </c>
      <c r="K230" s="354">
        <f t="shared" si="78"/>
        <v>4.3578522504080916E-3</v>
      </c>
      <c r="L230" s="354">
        <f t="shared" si="78"/>
        <v>3.8409345105232273E-3</v>
      </c>
      <c r="M230" s="354">
        <f t="shared" si="78"/>
        <v>3.8409345105232273E-3</v>
      </c>
      <c r="N230" s="354">
        <f t="shared" si="78"/>
        <v>3.3642218604030168E-3</v>
      </c>
      <c r="O230" s="354">
        <f t="shared" si="78"/>
        <v>2.6908712205669844E-3</v>
      </c>
      <c r="P230" s="354">
        <f t="shared" si="78"/>
        <v>0</v>
      </c>
      <c r="Q230" s="354">
        <f t="shared" si="78"/>
        <v>2.8809551333446128E-3</v>
      </c>
      <c r="R230" s="354">
        <f t="shared" si="78"/>
        <v>-2.9576474979222931E-3</v>
      </c>
      <c r="S230" s="354">
        <f t="shared" si="78"/>
        <v>0</v>
      </c>
      <c r="T230" s="354">
        <f t="shared" si="78"/>
        <v>-2.9576474979222931E-3</v>
      </c>
      <c r="U230" s="354">
        <f t="shared" si="78"/>
        <v>-2.9576474979222931E-3</v>
      </c>
      <c r="V230" s="354">
        <f t="shared" si="78"/>
        <v>0</v>
      </c>
      <c r="W230" s="354">
        <f t="shared" si="78"/>
        <v>0</v>
      </c>
      <c r="X230" s="354">
        <f t="shared" si="78"/>
        <v>0</v>
      </c>
      <c r="Y230" s="354">
        <f t="shared" si="78"/>
        <v>0</v>
      </c>
      <c r="Z230" s="349"/>
      <c r="AA230" s="349"/>
    </row>
    <row r="231" spans="2:27" x14ac:dyDescent="0.25">
      <c r="C231" s="96"/>
      <c r="E231" s="96"/>
      <c r="F231" s="413" t="s">
        <v>50</v>
      </c>
      <c r="G231" s="93" t="s">
        <v>183</v>
      </c>
      <c r="H231" s="351"/>
      <c r="I231" s="351"/>
      <c r="J231" s="355">
        <f t="shared" ref="J231:Y231" si="79">hundred * $H39 * J64 / $H52 * J114 / hours_in_year</f>
        <v>1.1470974726441466E-2</v>
      </c>
      <c r="K231" s="355">
        <f t="shared" si="79"/>
        <v>1.1470974726441466E-2</v>
      </c>
      <c r="L231" s="355">
        <f t="shared" si="79"/>
        <v>1.0110315853871095E-2</v>
      </c>
      <c r="M231" s="355">
        <f t="shared" si="79"/>
        <v>1.0110315853871095E-2</v>
      </c>
      <c r="N231" s="355">
        <f t="shared" si="79"/>
        <v>8.8554869961942947E-3</v>
      </c>
      <c r="O231" s="355">
        <f t="shared" si="79"/>
        <v>0</v>
      </c>
      <c r="P231" s="355">
        <f t="shared" si="79"/>
        <v>0</v>
      </c>
      <c r="Q231" s="355">
        <f t="shared" si="79"/>
        <v>7.583406142214465E-3</v>
      </c>
      <c r="R231" s="355">
        <f t="shared" si="79"/>
        <v>0</v>
      </c>
      <c r="S231" s="355">
        <f t="shared" si="79"/>
        <v>0</v>
      </c>
      <c r="T231" s="355">
        <f t="shared" si="79"/>
        <v>0</v>
      </c>
      <c r="U231" s="355">
        <f t="shared" si="79"/>
        <v>0</v>
      </c>
      <c r="V231" s="355">
        <f t="shared" si="79"/>
        <v>0</v>
      </c>
      <c r="W231" s="355">
        <f t="shared" si="79"/>
        <v>0</v>
      </c>
      <c r="X231" s="355">
        <f t="shared" si="79"/>
        <v>0</v>
      </c>
      <c r="Y231" s="355">
        <f t="shared" si="79"/>
        <v>0</v>
      </c>
      <c r="Z231" s="349"/>
      <c r="AA231" s="349"/>
    </row>
    <row r="232" spans="2:27" x14ac:dyDescent="0.25">
      <c r="J232" s="111"/>
      <c r="K232" s="111"/>
      <c r="L232" s="111"/>
      <c r="M232" s="111"/>
      <c r="N232" s="111"/>
      <c r="O232" s="111"/>
      <c r="P232" s="111"/>
      <c r="Q232" s="111"/>
      <c r="R232" s="111"/>
      <c r="S232" s="111"/>
      <c r="T232" s="111"/>
      <c r="U232" s="111"/>
      <c r="V232" s="111"/>
      <c r="W232" s="111"/>
      <c r="X232" s="111"/>
      <c r="Y232" s="111"/>
    </row>
    <row r="233" spans="2:27" x14ac:dyDescent="0.25">
      <c r="B233" s="95" t="s">
        <v>109</v>
      </c>
      <c r="C233" s="95"/>
      <c r="D233" s="95"/>
      <c r="E233" s="95"/>
      <c r="F233" s="95"/>
      <c r="G233" s="95"/>
      <c r="H233" s="95"/>
      <c r="I233" s="95"/>
      <c r="J233" s="160"/>
      <c r="K233" s="160"/>
      <c r="L233" s="160"/>
      <c r="M233" s="160"/>
      <c r="N233" s="160"/>
      <c r="O233" s="160"/>
      <c r="P233" s="160"/>
      <c r="Q233" s="160"/>
      <c r="R233" s="160"/>
      <c r="S233" s="160"/>
      <c r="T233" s="160"/>
      <c r="U233" s="160"/>
      <c r="V233" s="160"/>
      <c r="W233" s="160"/>
      <c r="X233" s="160"/>
      <c r="Y233" s="160"/>
      <c r="Z233" s="95"/>
      <c r="AA233" s="95"/>
    </row>
    <row r="234" spans="2:27" x14ac:dyDescent="0.25">
      <c r="C234" s="96"/>
      <c r="D234" s="96"/>
      <c r="E234" s="96"/>
      <c r="J234" s="173"/>
      <c r="K234" s="111"/>
      <c r="L234" s="173"/>
      <c r="M234" s="111"/>
      <c r="N234" s="111"/>
      <c r="O234" s="111"/>
      <c r="P234" s="111"/>
      <c r="Q234" s="111"/>
      <c r="R234" s="111"/>
      <c r="S234" s="111"/>
      <c r="T234" s="111"/>
      <c r="U234" s="111"/>
      <c r="V234" s="111"/>
      <c r="W234" s="111"/>
      <c r="X234" s="111"/>
      <c r="Y234" s="111"/>
    </row>
    <row r="235" spans="2:27" x14ac:dyDescent="0.25">
      <c r="D235" s="96" t="s">
        <v>800</v>
      </c>
      <c r="E235" s="96"/>
      <c r="J235" s="173"/>
      <c r="K235" s="111"/>
      <c r="L235" s="173"/>
      <c r="M235" s="111"/>
      <c r="N235" s="111"/>
      <c r="O235" s="111"/>
      <c r="P235" s="111"/>
      <c r="Q235" s="111"/>
      <c r="R235" s="111"/>
      <c r="S235" s="111"/>
      <c r="T235" s="111"/>
      <c r="U235" s="111"/>
      <c r="V235" s="111"/>
      <c r="W235" s="111"/>
      <c r="X235" s="111"/>
      <c r="Y235" s="111"/>
    </row>
    <row r="236" spans="2:27" x14ac:dyDescent="0.25">
      <c r="C236" s="96"/>
      <c r="D236" s="96"/>
      <c r="E236" s="96"/>
      <c r="J236" s="173"/>
      <c r="K236" s="111"/>
      <c r="L236" s="173"/>
      <c r="M236" s="111"/>
      <c r="N236" s="111"/>
      <c r="O236" s="111"/>
      <c r="P236" s="111"/>
      <c r="Q236" s="111"/>
      <c r="R236" s="111"/>
      <c r="S236" s="111"/>
      <c r="T236" s="111"/>
      <c r="U236" s="111"/>
      <c r="V236" s="111"/>
      <c r="W236" s="111"/>
      <c r="X236" s="111"/>
      <c r="Y236" s="111"/>
    </row>
    <row r="237" spans="2:27" x14ac:dyDescent="0.25">
      <c r="C237" s="96"/>
      <c r="D237" s="96"/>
      <c r="E237" s="293" t="s">
        <v>415</v>
      </c>
      <c r="G237" s="122" t="s">
        <v>588</v>
      </c>
      <c r="H237" s="415">
        <f t="array" ref="H237">SUM(IF(ISERROR(H18:Y232), 1))</f>
        <v>0</v>
      </c>
      <c r="J237" s="90"/>
      <c r="K237" s="90"/>
      <c r="L237" s="90"/>
      <c r="M237" s="90"/>
      <c r="N237" s="90"/>
      <c r="O237" s="90"/>
      <c r="P237" s="90"/>
      <c r="Q237" s="90"/>
      <c r="R237" s="90"/>
      <c r="S237" s="90"/>
      <c r="T237" s="90"/>
      <c r="U237" s="90"/>
      <c r="V237" s="90"/>
      <c r="W237" s="90"/>
      <c r="X237" s="90"/>
      <c r="Y237" s="90"/>
    </row>
    <row r="238" spans="2:27" x14ac:dyDescent="0.25">
      <c r="C238" s="96"/>
      <c r="D238" s="96"/>
      <c r="E238" s="96"/>
      <c r="J238" s="90"/>
      <c r="L238" s="90"/>
    </row>
    <row r="239" spans="2:27" x14ac:dyDescent="0.25">
      <c r="C239" s="96"/>
      <c r="D239" s="96"/>
      <c r="E239" s="293" t="s">
        <v>373</v>
      </c>
      <c r="G239" s="122" t="s">
        <v>588</v>
      </c>
      <c r="H239" s="415">
        <f>SUM(J239:Y239)</f>
        <v>0</v>
      </c>
      <c r="I239" s="133"/>
      <c r="J239" s="415">
        <f t="shared" ref="J239:K239" si="80">IF(ABS(IFERROR(SUM(J152:J231), 1)) &gt; 0, 0, 1)</f>
        <v>0</v>
      </c>
      <c r="K239" s="415">
        <f t="shared" si="80"/>
        <v>0</v>
      </c>
      <c r="L239" s="415">
        <f t="shared" ref="L239:Y239" si="81">IF(ABS(IFERROR(SUM(L152:L231), 1)) &gt; 0, 0, 1)</f>
        <v>0</v>
      </c>
      <c r="M239" s="415">
        <f t="shared" si="81"/>
        <v>0</v>
      </c>
      <c r="N239" s="415">
        <f t="shared" si="81"/>
        <v>0</v>
      </c>
      <c r="O239" s="415">
        <f t="shared" si="81"/>
        <v>0</v>
      </c>
      <c r="P239" s="415">
        <f t="shared" si="81"/>
        <v>0</v>
      </c>
      <c r="Q239" s="415">
        <f t="shared" si="81"/>
        <v>0</v>
      </c>
      <c r="R239" s="415">
        <f t="shared" si="81"/>
        <v>0</v>
      </c>
      <c r="S239" s="415">
        <f t="shared" si="81"/>
        <v>0</v>
      </c>
      <c r="T239" s="415">
        <f t="shared" si="81"/>
        <v>0</v>
      </c>
      <c r="U239" s="415">
        <f t="shared" si="81"/>
        <v>0</v>
      </c>
      <c r="V239" s="415">
        <f t="shared" si="81"/>
        <v>0</v>
      </c>
      <c r="W239" s="415">
        <f t="shared" si="81"/>
        <v>0</v>
      </c>
      <c r="X239" s="415">
        <f t="shared" si="81"/>
        <v>0</v>
      </c>
      <c r="Y239" s="415">
        <f t="shared" si="81"/>
        <v>0</v>
      </c>
    </row>
    <row r="240" spans="2:27" x14ac:dyDescent="0.25">
      <c r="C240" s="96"/>
      <c r="D240" s="96"/>
      <c r="E240" s="96"/>
      <c r="J240" s="173"/>
      <c r="K240" s="111"/>
      <c r="L240" s="173"/>
      <c r="M240" s="111"/>
      <c r="N240" s="111"/>
      <c r="O240" s="111"/>
      <c r="P240" s="111"/>
      <c r="Q240" s="111"/>
      <c r="R240" s="111"/>
      <c r="S240" s="111"/>
      <c r="T240" s="111"/>
      <c r="U240" s="111"/>
      <c r="V240" s="111"/>
      <c r="W240" s="111"/>
      <c r="X240" s="111"/>
      <c r="Y240" s="111"/>
    </row>
    <row r="241" spans="2:27" x14ac:dyDescent="0.25">
      <c r="C241" s="96"/>
      <c r="D241" s="96"/>
      <c r="E241" s="293" t="s">
        <v>375</v>
      </c>
      <c r="G241" s="122" t="s">
        <v>588</v>
      </c>
      <c r="H241" s="310">
        <f>SUM(H239, H237)</f>
        <v>0</v>
      </c>
      <c r="J241" s="173"/>
      <c r="K241" s="111"/>
      <c r="L241" s="173"/>
      <c r="M241" s="111"/>
      <c r="N241" s="111"/>
      <c r="O241" s="111"/>
      <c r="P241" s="111"/>
      <c r="Q241" s="111"/>
      <c r="R241" s="111"/>
      <c r="S241" s="111"/>
      <c r="T241" s="111"/>
      <c r="U241" s="111"/>
      <c r="V241" s="111"/>
      <c r="W241" s="111"/>
      <c r="X241" s="111"/>
      <c r="Y241" s="111"/>
    </row>
    <row r="242" spans="2:27" x14ac:dyDescent="0.25">
      <c r="C242" s="96"/>
      <c r="D242" s="96"/>
      <c r="E242" s="96"/>
      <c r="J242" s="90"/>
      <c r="L242" s="90"/>
    </row>
    <row r="243" spans="2:27" x14ac:dyDescent="0.25">
      <c r="B243" s="95" t="s">
        <v>110</v>
      </c>
      <c r="C243" s="95"/>
      <c r="D243" s="95"/>
      <c r="E243" s="95"/>
      <c r="F243" s="95"/>
      <c r="G243" s="95"/>
      <c r="H243" s="95"/>
      <c r="I243" s="95"/>
      <c r="J243" s="95"/>
      <c r="K243" s="95"/>
      <c r="L243" s="95"/>
      <c r="M243" s="95"/>
      <c r="N243" s="95"/>
      <c r="O243" s="95"/>
      <c r="P243" s="95"/>
      <c r="Q243" s="95"/>
      <c r="R243" s="95"/>
      <c r="S243" s="95"/>
      <c r="T243" s="95"/>
      <c r="U243" s="95"/>
      <c r="V243" s="95"/>
      <c r="W243" s="95"/>
      <c r="X243" s="95"/>
      <c r="Y243" s="95"/>
      <c r="Z243" s="95"/>
      <c r="AA243" s="95"/>
    </row>
  </sheetData>
  <sheetProtection sheet="1" objects="1" formatCells="0" formatColumns="0" formatRows="0" sort="0" autoFilter="0"/>
  <conditionalFormatting sqref="H239:H240">
    <cfRule type="cellIs" dxfId="119" priority="21" operator="greaterThan">
      <formula>0</formula>
    </cfRule>
  </conditionalFormatting>
  <conditionalFormatting sqref="H237">
    <cfRule type="cellIs" dxfId="118" priority="20" operator="greaterThan">
      <formula>0</formula>
    </cfRule>
  </conditionalFormatting>
  <conditionalFormatting sqref="A4:I4 Z4:XFD4">
    <cfRule type="expression" dxfId="117" priority="18">
      <formula>LEFT($A$4,1) &lt;&gt; "0"</formula>
    </cfRule>
  </conditionalFormatting>
  <conditionalFormatting sqref="N239:P241">
    <cfRule type="cellIs" dxfId="116" priority="17" operator="greaterThan">
      <formula>0</formula>
    </cfRule>
  </conditionalFormatting>
  <conditionalFormatting sqref="N4:P4">
    <cfRule type="expression" dxfId="115" priority="16">
      <formula>LEFT($A$4,1) &lt;&gt; "0"</formula>
    </cfRule>
  </conditionalFormatting>
  <conditionalFormatting sqref="L239:M241">
    <cfRule type="cellIs" dxfId="114" priority="15" operator="greaterThan">
      <formula>0</formula>
    </cfRule>
  </conditionalFormatting>
  <conditionalFormatting sqref="L4:M4">
    <cfRule type="expression" dxfId="113" priority="14">
      <formula>LEFT($A$4,1) &lt;&gt; "0"</formula>
    </cfRule>
  </conditionalFormatting>
  <conditionalFormatting sqref="J239:K241">
    <cfRule type="cellIs" dxfId="112" priority="13" operator="greaterThan">
      <formula>0</formula>
    </cfRule>
  </conditionalFormatting>
  <conditionalFormatting sqref="J4:K4">
    <cfRule type="expression" dxfId="111" priority="12">
      <formula>LEFT($A$4,1) &lt;&gt; "0"</formula>
    </cfRule>
  </conditionalFormatting>
  <conditionalFormatting sqref="Q239:Q241">
    <cfRule type="cellIs" dxfId="110" priority="11" operator="greaterThan">
      <formula>0</formula>
    </cfRule>
  </conditionalFormatting>
  <conditionalFormatting sqref="Q4">
    <cfRule type="expression" dxfId="109" priority="10">
      <formula>LEFT($A$4,1) &lt;&gt; "0"</formula>
    </cfRule>
  </conditionalFormatting>
  <conditionalFormatting sqref="R239:S241">
    <cfRule type="cellIs" dxfId="108" priority="9" operator="greaterThan">
      <formula>0</formula>
    </cfRule>
  </conditionalFormatting>
  <conditionalFormatting sqref="R4:S4">
    <cfRule type="expression" dxfId="107" priority="8">
      <formula>LEFT($A$4,1) &lt;&gt; "0"</formula>
    </cfRule>
  </conditionalFormatting>
  <conditionalFormatting sqref="T239:U241">
    <cfRule type="cellIs" dxfId="106" priority="7" operator="greaterThan">
      <formula>0</formula>
    </cfRule>
  </conditionalFormatting>
  <conditionalFormatting sqref="T4:U4">
    <cfRule type="expression" dxfId="105" priority="6">
      <formula>LEFT($A$4,1) &lt;&gt; "0"</formula>
    </cfRule>
  </conditionalFormatting>
  <conditionalFormatting sqref="V239:W241">
    <cfRule type="cellIs" dxfId="104" priority="5" operator="greaterThan">
      <formula>0</formula>
    </cfRule>
  </conditionalFormatting>
  <conditionalFormatting sqref="V4:W4">
    <cfRule type="expression" dxfId="103" priority="4">
      <formula>LEFT($A$4,1) &lt;&gt; "0"</formula>
    </cfRule>
  </conditionalFormatting>
  <conditionalFormatting sqref="X239:Y241">
    <cfRule type="cellIs" dxfId="102" priority="3" operator="greaterThan">
      <formula>0</formula>
    </cfRule>
  </conditionalFormatting>
  <conditionalFormatting sqref="X4:Y4">
    <cfRule type="expression" dxfId="101" priority="2">
      <formula>LEFT($A$4,1) &lt;&gt; "0"</formula>
    </cfRule>
  </conditionalFormatting>
  <conditionalFormatting sqref="H241">
    <cfRule type="cellIs" dxfId="100" priority="1" operator="greaterThan">
      <formula>0</formula>
    </cfRule>
  </conditionalFormatting>
  <hyperlinks>
    <hyperlink ref="B5:F5" location="'Model map'!A1" display="Click here to return to model map" xr:uid="{331B0F93-9B28-487E-B7E9-E0176B4C0AB4}"/>
  </hyperlinks>
  <pageMargins left="0.7" right="0.7" top="0.75" bottom="0.75" header="0.3" footer="0.3"/>
  <pageSetup paperSize="9" fitToHeight="0" orientation="portrait" r:id="rId1"/>
  <headerFooter>
    <oddHeader>&amp;L&amp;A&amp;C&amp;R&amp;P of &amp;N</oddHeader>
    <oddFooter>&amp;F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31BBCC-A58A-4AE1-8E93-15E3CEBF19B0}">
  <sheetPr codeName="Sheet48">
    <tabColor theme="4" tint="0.59999389629810485"/>
    <pageSetUpPr fitToPage="1"/>
  </sheetPr>
  <dimension ref="A1:LC50"/>
  <sheetViews>
    <sheetView showGridLines="0" zoomScale="80" zoomScaleNormal="80" workbookViewId="0">
      <pane xSplit="9" ySplit="5" topLeftCell="J6" activePane="bottomRight" state="frozen"/>
      <selection pane="topRight"/>
      <selection pane="bottomLeft"/>
      <selection pane="bottomRight"/>
    </sheetView>
  </sheetViews>
  <sheetFormatPr defaultColWidth="0" defaultRowHeight="15" x14ac:dyDescent="0.25"/>
  <cols>
    <col min="1" max="3" width="2.5703125" style="293" customWidth="1"/>
    <col min="4" max="5" width="2.5703125" style="98" customWidth="1"/>
    <col min="6" max="6" width="59.5703125" style="293" customWidth="1"/>
    <col min="7" max="8" width="20.5703125" style="293" customWidth="1"/>
    <col min="9" max="9" width="2.42578125" style="293" customWidth="1"/>
    <col min="10" max="25" width="17" style="293" customWidth="1"/>
    <col min="26" max="26" width="2.42578125" style="293" customWidth="1"/>
    <col min="27" max="27" width="50.5703125" style="293" customWidth="1"/>
    <col min="28" max="28" width="2.42578125" style="293" customWidth="1"/>
    <col min="29" max="29" width="24.5703125" style="293" hidden="1" customWidth="1"/>
    <col min="30" max="30" width="3.5703125" style="293" hidden="1" customWidth="1"/>
    <col min="31" max="31" width="15.42578125" style="293" hidden="1" customWidth="1"/>
    <col min="32" max="315" width="24.5703125" style="293" hidden="1" customWidth="1"/>
    <col min="316" max="16384" width="8.5703125" style="293" hidden="1"/>
  </cols>
  <sheetData>
    <row r="1" spans="1:27" s="10" customFormat="1" x14ac:dyDescent="0.25">
      <c r="A1" s="10" t="str">
        <f ca="1">MID(CELL("filename",A1),FIND("]",CELL("filename",A1))+1,255)</f>
        <v>Service model charges</v>
      </c>
    </row>
    <row r="2" spans="1:27" s="10" customFormat="1" x14ac:dyDescent="0.25">
      <c r="A2" s="10" t="str">
        <f>Cover!D21&amp;" - "&amp;Cover!D23</f>
        <v>Southern Electric Power Distribution plc - Final</v>
      </c>
    </row>
    <row r="3" spans="1:27" s="46" customFormat="1" x14ac:dyDescent="0.25">
      <c r="A3" s="46" t="str">
        <f>Cover!D2&amp;" - "&amp;Cover!D8&amp;" v"&amp;Cover!D10&amp;" - "&amp;Cover!D19</f>
        <v>ARP model - Release for charge setting v7 - 2023/24</v>
      </c>
    </row>
    <row r="4" spans="1:27" x14ac:dyDescent="0.25">
      <c r="A4" s="366" t="str">
        <f>H48 &amp; IF(H48 = 1, " issue", " issues") &amp;" identified in checks on this sheet"</f>
        <v>0 issues identified in checks on this sheet</v>
      </c>
      <c r="B4" s="108"/>
      <c r="C4" s="108"/>
      <c r="D4" s="108"/>
      <c r="E4" s="108"/>
      <c r="F4" s="108"/>
      <c r="G4" s="108"/>
      <c r="H4" s="111"/>
      <c r="I4" s="111"/>
    </row>
    <row r="5" spans="1:27" ht="60" x14ac:dyDescent="0.25">
      <c r="B5" s="367" t="s">
        <v>451</v>
      </c>
      <c r="C5" s="368"/>
      <c r="D5" s="368"/>
      <c r="E5" s="368"/>
      <c r="F5" s="368"/>
      <c r="G5" s="1" t="s">
        <v>91</v>
      </c>
      <c r="H5" s="2" t="s">
        <v>92</v>
      </c>
      <c r="I5" s="111"/>
      <c r="J5" s="2" t="s">
        <v>926</v>
      </c>
      <c r="K5" s="2" t="s">
        <v>927</v>
      </c>
      <c r="L5" s="2" t="s">
        <v>928</v>
      </c>
      <c r="M5" s="2" t="s">
        <v>929</v>
      </c>
      <c r="N5" s="2" t="s">
        <v>930</v>
      </c>
      <c r="O5" s="2" t="s">
        <v>931</v>
      </c>
      <c r="P5" s="2" t="s">
        <v>932</v>
      </c>
      <c r="Q5" s="2" t="s">
        <v>933</v>
      </c>
      <c r="R5" s="2" t="s">
        <v>934</v>
      </c>
      <c r="S5" s="2" t="s">
        <v>935</v>
      </c>
      <c r="T5" s="2" t="s">
        <v>936</v>
      </c>
      <c r="U5" s="2" t="s">
        <v>937</v>
      </c>
      <c r="V5" s="2" t="s">
        <v>938</v>
      </c>
      <c r="W5" s="2" t="s">
        <v>939</v>
      </c>
      <c r="X5" s="2" t="s">
        <v>940</v>
      </c>
      <c r="Y5" s="2" t="s">
        <v>941</v>
      </c>
      <c r="AA5" s="1" t="s">
        <v>93</v>
      </c>
    </row>
    <row r="7" spans="1:27" x14ac:dyDescent="0.25">
      <c r="B7" s="95" t="s">
        <v>90</v>
      </c>
      <c r="C7" s="95"/>
      <c r="D7" s="95"/>
      <c r="E7" s="95"/>
      <c r="F7" s="95"/>
      <c r="G7" s="95"/>
      <c r="H7" s="95"/>
      <c r="I7" s="95"/>
      <c r="J7" s="95"/>
      <c r="K7" s="95"/>
      <c r="L7" s="95"/>
      <c r="M7" s="95"/>
      <c r="N7" s="95"/>
      <c r="O7" s="95"/>
      <c r="P7" s="95"/>
      <c r="Q7" s="95"/>
      <c r="R7" s="95"/>
      <c r="S7" s="95"/>
      <c r="T7" s="95"/>
      <c r="U7" s="95"/>
      <c r="V7" s="95"/>
      <c r="W7" s="95"/>
      <c r="X7" s="95"/>
      <c r="Y7" s="95"/>
      <c r="Z7" s="95"/>
      <c r="AA7" s="95"/>
    </row>
    <row r="9" spans="1:27" x14ac:dyDescent="0.25">
      <c r="C9" s="82" t="s">
        <v>378</v>
      </c>
      <c r="D9" s="293"/>
      <c r="F9" s="82"/>
    </row>
    <row r="10" spans="1:27" x14ac:dyDescent="0.25">
      <c r="C10" s="82" t="s">
        <v>379</v>
      </c>
      <c r="D10" s="293"/>
      <c r="E10" s="293"/>
      <c r="F10" s="82"/>
    </row>
    <row r="11" spans="1:27" x14ac:dyDescent="0.25">
      <c r="C11" s="82" t="s">
        <v>407</v>
      </c>
    </row>
    <row r="13" spans="1:27" x14ac:dyDescent="0.25">
      <c r="B13" s="95" t="s">
        <v>663</v>
      </c>
      <c r="C13" s="95"/>
      <c r="D13" s="95"/>
      <c r="E13" s="95"/>
      <c r="F13" s="95"/>
      <c r="G13" s="95"/>
      <c r="H13" s="95"/>
      <c r="I13" s="95"/>
      <c r="J13" s="95"/>
      <c r="K13" s="95"/>
      <c r="L13" s="95"/>
      <c r="M13" s="95"/>
      <c r="N13" s="95"/>
      <c r="O13" s="95"/>
      <c r="P13" s="95"/>
      <c r="Q13" s="95"/>
      <c r="R13" s="95"/>
      <c r="S13" s="95"/>
      <c r="T13" s="95"/>
      <c r="U13" s="95"/>
      <c r="V13" s="95"/>
      <c r="W13" s="95"/>
      <c r="X13" s="95"/>
      <c r="Y13" s="95"/>
      <c r="Z13" s="95"/>
      <c r="AA13" s="95"/>
    </row>
    <row r="14" spans="1:27" x14ac:dyDescent="0.25">
      <c r="C14" s="86"/>
    </row>
    <row r="15" spans="1:27" x14ac:dyDescent="0.25">
      <c r="B15" s="98"/>
      <c r="C15" s="82" t="s">
        <v>380</v>
      </c>
    </row>
    <row r="16" spans="1:27" x14ac:dyDescent="0.25">
      <c r="C16" s="86"/>
    </row>
    <row r="17" spans="2:27" x14ac:dyDescent="0.25">
      <c r="C17" s="7" t="str">
        <f ca="1">INDEX('Version control'!$H$35:$H$61,MATCH($A$1,'Version control'!$F$35:$F$61,0),1)&amp;"-A: Inputs to service model charge calculation"</f>
        <v>Section 513-A: Inputs to service model charge calculation</v>
      </c>
      <c r="D17" s="7"/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</row>
    <row r="18" spans="2:27" x14ac:dyDescent="0.25">
      <c r="C18" s="86"/>
    </row>
    <row r="19" spans="2:27" x14ac:dyDescent="0.25">
      <c r="D19" s="293"/>
      <c r="E19" s="14" t="s">
        <v>97</v>
      </c>
      <c r="F19" s="14"/>
      <c r="G19" s="14" t="s">
        <v>94</v>
      </c>
      <c r="H19" s="404">
        <f>'Unit costs'!$H$121</f>
        <v>4.8585551125484371E-2</v>
      </c>
      <c r="I19" s="88"/>
      <c r="J19" s="88"/>
      <c r="K19" s="88"/>
      <c r="L19" s="88"/>
      <c r="M19" s="88"/>
      <c r="N19" s="88"/>
      <c r="P19" s="88"/>
    </row>
    <row r="20" spans="2:27" x14ac:dyDescent="0.25">
      <c r="C20" s="86"/>
      <c r="E20" s="293" t="s">
        <v>131</v>
      </c>
      <c r="G20" s="293" t="s">
        <v>505</v>
      </c>
      <c r="H20" s="273">
        <f>'Unit costs'!$H$122</f>
        <v>241353139.97294909</v>
      </c>
    </row>
    <row r="21" spans="2:27" x14ac:dyDescent="0.25">
      <c r="C21" s="86"/>
      <c r="E21" s="293" t="s">
        <v>121</v>
      </c>
      <c r="G21" s="293" t="s">
        <v>505</v>
      </c>
      <c r="H21" s="273">
        <f>'Unit costs'!$H$123</f>
        <v>8833758125.0880795</v>
      </c>
    </row>
    <row r="22" spans="2:27" x14ac:dyDescent="0.25">
      <c r="D22" s="86"/>
      <c r="E22" s="293"/>
    </row>
    <row r="23" spans="2:27" x14ac:dyDescent="0.25">
      <c r="D23" s="293"/>
      <c r="E23" s="96" t="s">
        <v>382</v>
      </c>
      <c r="H23" s="90"/>
      <c r="J23" s="90"/>
      <c r="K23" s="90"/>
      <c r="L23" s="90"/>
      <c r="M23" s="90"/>
      <c r="N23" s="90"/>
    </row>
    <row r="24" spans="2:27" x14ac:dyDescent="0.25">
      <c r="D24" s="293"/>
      <c r="E24" s="82" t="s">
        <v>383</v>
      </c>
      <c r="H24" s="90"/>
    </row>
    <row r="25" spans="2:27" x14ac:dyDescent="0.25">
      <c r="E25" s="86"/>
      <c r="F25" s="91" t="s">
        <v>124</v>
      </c>
      <c r="G25" s="91" t="s">
        <v>509</v>
      </c>
      <c r="H25" s="141"/>
      <c r="I25" s="91"/>
      <c r="J25" s="272">
        <f>'Inputs by customer type'!J190</f>
        <v>379.45506561896252</v>
      </c>
      <c r="K25" s="272">
        <f>'Inputs by customer type'!K190</f>
        <v>0</v>
      </c>
      <c r="L25" s="272">
        <f>'Inputs by customer type'!L190</f>
        <v>789.60088178174999</v>
      </c>
      <c r="M25" s="272">
        <f>'Inputs by customer type'!M190</f>
        <v>0</v>
      </c>
      <c r="N25" s="272">
        <f>'Inputs by customer type'!N190</f>
        <v>2290.8202987987502</v>
      </c>
      <c r="O25" s="272">
        <f>'Inputs by customer type'!O190</f>
        <v>5371.7792662500005</v>
      </c>
      <c r="P25" s="272">
        <f>'Inputs by customer type'!P190</f>
        <v>0</v>
      </c>
      <c r="Q25" s="238"/>
      <c r="R25" s="272">
        <f>'Inputs by customer type'!R190</f>
        <v>0</v>
      </c>
      <c r="S25" s="272">
        <f>'Inputs by customer type'!S190</f>
        <v>0</v>
      </c>
      <c r="T25" s="272">
        <f>'Inputs by customer type'!T190</f>
        <v>0</v>
      </c>
      <c r="U25" s="272">
        <f>'Inputs by customer type'!U190</f>
        <v>0</v>
      </c>
      <c r="V25" s="272">
        <f>'Inputs by customer type'!V190</f>
        <v>0</v>
      </c>
      <c r="W25" s="272">
        <f>'Inputs by customer type'!W190</f>
        <v>0</v>
      </c>
      <c r="X25" s="272">
        <f>'Inputs by customer type'!X190</f>
        <v>0</v>
      </c>
      <c r="Y25" s="272">
        <f>'Inputs by customer type'!Y190</f>
        <v>0</v>
      </c>
    </row>
    <row r="26" spans="2:27" x14ac:dyDescent="0.25">
      <c r="E26" s="86"/>
      <c r="F26" s="293" t="s">
        <v>123</v>
      </c>
      <c r="G26" s="293" t="s">
        <v>509</v>
      </c>
      <c r="H26" s="380"/>
      <c r="J26" s="273">
        <f>'Inputs by customer type'!J191</f>
        <v>0</v>
      </c>
      <c r="K26" s="273">
        <f>'Inputs by customer type'!K191</f>
        <v>0</v>
      </c>
      <c r="L26" s="273">
        <f>'Inputs by customer type'!L191</f>
        <v>0</v>
      </c>
      <c r="M26" s="273">
        <f>'Inputs by customer type'!M191</f>
        <v>0</v>
      </c>
      <c r="N26" s="273">
        <f>'Inputs by customer type'!N191</f>
        <v>0</v>
      </c>
      <c r="O26" s="273">
        <f>'Inputs by customer type'!O191</f>
        <v>0</v>
      </c>
      <c r="P26" s="273">
        <f>'Inputs by customer type'!P191</f>
        <v>23333.1646654</v>
      </c>
      <c r="Q26" s="279"/>
      <c r="R26" s="273">
        <f>'Inputs by customer type'!R191</f>
        <v>0</v>
      </c>
      <c r="S26" s="273">
        <f>'Inputs by customer type'!S191</f>
        <v>0</v>
      </c>
      <c r="T26" s="273">
        <f>'Inputs by customer type'!T191</f>
        <v>0</v>
      </c>
      <c r="U26" s="273">
        <f>'Inputs by customer type'!U191</f>
        <v>0</v>
      </c>
      <c r="V26" s="273">
        <f>'Inputs by customer type'!V191</f>
        <v>0</v>
      </c>
      <c r="W26" s="273">
        <f>'Inputs by customer type'!W191</f>
        <v>0</v>
      </c>
      <c r="X26" s="273">
        <f>'Inputs by customer type'!X191</f>
        <v>46691.536333672499</v>
      </c>
      <c r="Y26" s="273">
        <f>'Inputs by customer type'!Y191</f>
        <v>46691.536333672499</v>
      </c>
    </row>
    <row r="27" spans="2:27" x14ac:dyDescent="0.25">
      <c r="E27" s="86"/>
      <c r="F27" s="93" t="s">
        <v>381</v>
      </c>
      <c r="G27" s="93" t="s">
        <v>271</v>
      </c>
      <c r="H27" s="93"/>
      <c r="I27" s="93"/>
      <c r="J27" s="240"/>
      <c r="K27" s="240"/>
      <c r="L27" s="240"/>
      <c r="M27" s="240"/>
      <c r="N27" s="240"/>
      <c r="O27" s="240"/>
      <c r="P27" s="240"/>
      <c r="Q27" s="274">
        <f>'Inputs by customer type'!Q193</f>
        <v>808.07138150962226</v>
      </c>
      <c r="R27" s="240"/>
      <c r="S27" s="240"/>
      <c r="T27" s="240"/>
      <c r="U27" s="240"/>
      <c r="V27" s="240"/>
      <c r="W27" s="240"/>
      <c r="X27" s="240"/>
      <c r="Y27" s="240"/>
    </row>
    <row r="28" spans="2:27" x14ac:dyDescent="0.25">
      <c r="D28" s="86"/>
      <c r="E28" s="293"/>
    </row>
    <row r="29" spans="2:27" x14ac:dyDescent="0.25">
      <c r="B29" s="95" t="s">
        <v>417</v>
      </c>
      <c r="C29" s="95"/>
      <c r="D29" s="95"/>
      <c r="E29" s="95"/>
      <c r="F29" s="95"/>
      <c r="G29" s="95"/>
      <c r="H29" s="95"/>
      <c r="I29" s="95"/>
      <c r="J29" s="95"/>
      <c r="K29" s="95"/>
      <c r="L29" s="95"/>
      <c r="M29" s="95"/>
      <c r="N29" s="95"/>
      <c r="O29" s="95"/>
      <c r="P29" s="95"/>
      <c r="Q29" s="95"/>
      <c r="R29" s="95"/>
      <c r="S29" s="95"/>
      <c r="T29" s="95"/>
      <c r="U29" s="95"/>
      <c r="V29" s="95"/>
      <c r="W29" s="95"/>
      <c r="X29" s="95"/>
      <c r="Y29" s="95"/>
      <c r="Z29" s="95"/>
      <c r="AA29" s="95"/>
    </row>
    <row r="30" spans="2:27" x14ac:dyDescent="0.25">
      <c r="C30" s="86"/>
    </row>
    <row r="31" spans="2:27" x14ac:dyDescent="0.25">
      <c r="C31" s="82" t="s">
        <v>384</v>
      </c>
    </row>
    <row r="32" spans="2:27" x14ac:dyDescent="0.25">
      <c r="C32" s="86"/>
    </row>
    <row r="33" spans="2:27" x14ac:dyDescent="0.25">
      <c r="C33" s="7" t="str">
        <f ca="1">INDEX('Version control'!$H$35:$H$61,MATCH($A$1,'Version control'!$F$35:$F$61,0),1)&amp;"-B: Calculation of other operating expenditure per £ of notional asset value"</f>
        <v>Section 513-B: Calculation of other operating expenditure per £ of notional asset value</v>
      </c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</row>
    <row r="34" spans="2:27" x14ac:dyDescent="0.25">
      <c r="C34" s="86"/>
    </row>
    <row r="35" spans="2:27" x14ac:dyDescent="0.25">
      <c r="D35" s="293"/>
      <c r="E35" s="293" t="s">
        <v>385</v>
      </c>
      <c r="G35" s="293" t="s">
        <v>107</v>
      </c>
      <c r="H35" s="275">
        <f>IF(H21 &lt;&gt; 0, H20  /H21, 0)</f>
        <v>2.7321683088367625E-2</v>
      </c>
      <c r="I35" s="293" t="s">
        <v>359</v>
      </c>
      <c r="J35" s="90"/>
      <c r="K35" s="90"/>
      <c r="L35" s="90"/>
      <c r="M35" s="90"/>
      <c r="N35" s="90"/>
      <c r="O35" s="90"/>
      <c r="P35" s="90"/>
      <c r="Q35" s="90"/>
      <c r="R35" s="90"/>
      <c r="S35" s="90"/>
      <c r="T35" s="90"/>
      <c r="U35" s="90"/>
      <c r="V35" s="90"/>
      <c r="W35" s="90"/>
      <c r="X35" s="90"/>
      <c r="Y35" s="90"/>
      <c r="AA35" s="293" t="s">
        <v>802</v>
      </c>
    </row>
    <row r="36" spans="2:27" x14ac:dyDescent="0.25">
      <c r="D36" s="86"/>
      <c r="E36" s="293"/>
      <c r="J36" s="90"/>
      <c r="K36" s="90"/>
      <c r="L36" s="90"/>
      <c r="M36" s="90"/>
      <c r="N36" s="90"/>
      <c r="O36" s="90"/>
      <c r="P36" s="90"/>
      <c r="Q36" s="90"/>
      <c r="R36" s="90"/>
      <c r="S36" s="90"/>
      <c r="T36" s="90"/>
      <c r="U36" s="90"/>
      <c r="V36" s="90"/>
      <c r="W36" s="90"/>
      <c r="X36" s="90"/>
      <c r="Y36" s="90"/>
    </row>
    <row r="37" spans="2:27" x14ac:dyDescent="0.25">
      <c r="C37" s="7" t="str">
        <f ca="1">INDEX('Version control'!$H$35:$H$61,MATCH($A$1,'Version control'!$F$35:$F$61,0),1)&amp;"-C: Calculation of service model charges"</f>
        <v>Section 513-C: Calculation of service model charges</v>
      </c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</row>
    <row r="38" spans="2:27" x14ac:dyDescent="0.25">
      <c r="C38" s="86"/>
    </row>
    <row r="39" spans="2:27" x14ac:dyDescent="0.25">
      <c r="D39" s="293"/>
      <c r="E39" s="82" t="s">
        <v>804</v>
      </c>
      <c r="H39" s="90"/>
      <c r="J39" s="90"/>
      <c r="K39" s="90"/>
      <c r="L39" s="90"/>
      <c r="M39" s="90"/>
      <c r="N39" s="90"/>
      <c r="O39" s="90"/>
      <c r="P39" s="90"/>
      <c r="Q39" s="90"/>
      <c r="R39" s="90"/>
      <c r="S39" s="90"/>
      <c r="T39" s="90"/>
      <c r="U39" s="90"/>
      <c r="V39" s="90"/>
      <c r="W39" s="90"/>
      <c r="X39" s="90"/>
      <c r="Y39" s="90"/>
    </row>
    <row r="40" spans="2:27" x14ac:dyDescent="0.25">
      <c r="D40" s="293"/>
      <c r="E40" s="82"/>
      <c r="H40" s="90"/>
      <c r="J40" s="90"/>
      <c r="K40" s="90"/>
      <c r="L40" s="90"/>
      <c r="M40" s="90"/>
      <c r="N40" s="90"/>
      <c r="O40" s="90"/>
      <c r="P40" s="90"/>
      <c r="Q40" s="90"/>
      <c r="R40" s="90"/>
      <c r="S40" s="90"/>
      <c r="T40" s="90"/>
      <c r="U40" s="90"/>
      <c r="V40" s="90"/>
      <c r="W40" s="90"/>
      <c r="X40" s="90"/>
      <c r="Y40" s="90"/>
    </row>
    <row r="41" spans="2:27" x14ac:dyDescent="0.25">
      <c r="D41" s="293"/>
      <c r="E41" s="96" t="s">
        <v>662</v>
      </c>
      <c r="H41" s="90"/>
      <c r="I41" s="293" t="s">
        <v>359</v>
      </c>
      <c r="J41" s="90"/>
      <c r="K41" s="90"/>
      <c r="L41" s="90"/>
      <c r="M41" s="90"/>
      <c r="N41" s="90"/>
      <c r="O41" s="90"/>
      <c r="P41" s="90"/>
      <c r="Q41" s="90"/>
      <c r="R41" s="90"/>
      <c r="S41" s="90"/>
      <c r="T41" s="90"/>
      <c r="U41" s="90"/>
      <c r="V41" s="90"/>
      <c r="W41" s="90"/>
      <c r="X41" s="90"/>
      <c r="Y41" s="90"/>
      <c r="AA41" s="293" t="s">
        <v>803</v>
      </c>
    </row>
    <row r="42" spans="2:27" x14ac:dyDescent="0.25">
      <c r="D42" s="293"/>
      <c r="E42" s="86"/>
      <c r="F42" s="91" t="s">
        <v>124</v>
      </c>
      <c r="G42" s="91" t="s">
        <v>252</v>
      </c>
      <c r="H42" s="141"/>
      <c r="I42" s="91"/>
      <c r="J42" s="254">
        <f t="shared" ref="J42:K42" si="0">J25 * $H$35 / days_in_year * hundred</f>
        <v>2.8326095762614849</v>
      </c>
      <c r="K42" s="254">
        <f t="shared" si="0"/>
        <v>0</v>
      </c>
      <c r="L42" s="254">
        <f t="shared" ref="L42:M42" si="1">L25 * $H$35 / days_in_year * hundred</f>
        <v>5.8943237864307658</v>
      </c>
      <c r="M42" s="254">
        <f t="shared" si="1"/>
        <v>0</v>
      </c>
      <c r="N42" s="254">
        <f t="shared" ref="N42:P42" si="2">N25 * $H$35 / days_in_year * hundred</f>
        <v>17.100837763983357</v>
      </c>
      <c r="O42" s="254">
        <f t="shared" si="2"/>
        <v>40.100013861515436</v>
      </c>
      <c r="P42" s="254">
        <f t="shared" si="2"/>
        <v>0</v>
      </c>
      <c r="Q42" s="254">
        <f t="shared" ref="Q42:S42" si="3">Q25 * $H$35 / days_in_year * hundred</f>
        <v>0</v>
      </c>
      <c r="R42" s="254">
        <f t="shared" si="3"/>
        <v>0</v>
      </c>
      <c r="S42" s="254">
        <f t="shared" si="3"/>
        <v>0</v>
      </c>
      <c r="T42" s="254">
        <f t="shared" ref="T42:U42" si="4">T25 * $H$35 / days_in_year * hundred</f>
        <v>0</v>
      </c>
      <c r="U42" s="254">
        <f t="shared" si="4"/>
        <v>0</v>
      </c>
      <c r="V42" s="254">
        <f t="shared" ref="V42:W42" si="5">V25 * $H$35 / days_in_year * hundred</f>
        <v>0</v>
      </c>
      <c r="W42" s="254">
        <f t="shared" si="5"/>
        <v>0</v>
      </c>
      <c r="X42" s="254">
        <f t="shared" ref="X42:Y42" si="6">X25 * $H$35 / days_in_year * hundred</f>
        <v>0</v>
      </c>
      <c r="Y42" s="254">
        <f t="shared" si="6"/>
        <v>0</v>
      </c>
    </row>
    <row r="43" spans="2:27" x14ac:dyDescent="0.25">
      <c r="D43" s="293"/>
      <c r="E43" s="86"/>
      <c r="F43" s="293" t="s">
        <v>123</v>
      </c>
      <c r="G43" s="293" t="s">
        <v>252</v>
      </c>
      <c r="H43" s="380"/>
      <c r="J43" s="256">
        <f t="shared" ref="J43:K43" si="7">J26 * $H$35 / days_in_year * hundred</f>
        <v>0</v>
      </c>
      <c r="K43" s="256">
        <f t="shared" si="7"/>
        <v>0</v>
      </c>
      <c r="L43" s="256">
        <f t="shared" ref="L43:M43" si="8">L26 * $H$35 / days_in_year * hundred</f>
        <v>0</v>
      </c>
      <c r="M43" s="256">
        <f t="shared" si="8"/>
        <v>0</v>
      </c>
      <c r="N43" s="256">
        <f t="shared" ref="N43:P43" si="9">N26 * $H$35 / days_in_year * hundred</f>
        <v>0</v>
      </c>
      <c r="O43" s="256">
        <f t="shared" si="9"/>
        <v>0</v>
      </c>
      <c r="P43" s="256">
        <f t="shared" si="9"/>
        <v>174.18069137616291</v>
      </c>
      <c r="Q43" s="256">
        <f t="shared" ref="Q43:S43" si="10">Q26 * $H$35 / days_in_year * hundred</f>
        <v>0</v>
      </c>
      <c r="R43" s="256">
        <f t="shared" si="10"/>
        <v>0</v>
      </c>
      <c r="S43" s="256">
        <f t="shared" si="10"/>
        <v>0</v>
      </c>
      <c r="T43" s="256">
        <f t="shared" ref="T43:U43" si="11">T26 * $H$35 / days_in_year * hundred</f>
        <v>0</v>
      </c>
      <c r="U43" s="256">
        <f t="shared" si="11"/>
        <v>0</v>
      </c>
      <c r="V43" s="256">
        <f t="shared" ref="V43:W43" si="12">V26 * $H$35 / days_in_year * hundred</f>
        <v>0</v>
      </c>
      <c r="W43" s="256">
        <f t="shared" si="12"/>
        <v>0</v>
      </c>
      <c r="X43" s="256">
        <f t="shared" ref="X43:Y43" si="13">X26 * $H$35 / days_in_year * hundred</f>
        <v>348.54955153486407</v>
      </c>
      <c r="Y43" s="256">
        <f t="shared" si="13"/>
        <v>348.54955153486407</v>
      </c>
    </row>
    <row r="44" spans="2:27" x14ac:dyDescent="0.25">
      <c r="D44" s="293"/>
      <c r="E44" s="86"/>
      <c r="F44" s="93" t="s">
        <v>381</v>
      </c>
      <c r="G44" s="93" t="s">
        <v>183</v>
      </c>
      <c r="H44" s="351"/>
      <c r="I44" s="351"/>
      <c r="J44" s="356"/>
      <c r="K44" s="356"/>
      <c r="L44" s="356"/>
      <c r="M44" s="356"/>
      <c r="N44" s="356"/>
      <c r="O44" s="356"/>
      <c r="P44" s="356"/>
      <c r="Q44" s="357">
        <f t="shared" ref="Q44" si="14">Q27*$H$35/ten</f>
        <v>2.207787019838531</v>
      </c>
      <c r="R44" s="356"/>
      <c r="S44" s="356"/>
      <c r="T44" s="356"/>
      <c r="U44" s="356"/>
      <c r="V44" s="356"/>
      <c r="W44" s="356"/>
      <c r="X44" s="356"/>
      <c r="Y44" s="356"/>
      <c r="Z44" s="349"/>
      <c r="AA44" s="349"/>
    </row>
    <row r="45" spans="2:27" x14ac:dyDescent="0.25">
      <c r="D45" s="86"/>
      <c r="E45" s="293"/>
    </row>
    <row r="46" spans="2:27" x14ac:dyDescent="0.25">
      <c r="B46" s="95" t="s">
        <v>109</v>
      </c>
      <c r="C46" s="95"/>
      <c r="D46" s="95"/>
      <c r="E46" s="95"/>
      <c r="F46" s="95"/>
      <c r="G46" s="95"/>
      <c r="H46" s="95"/>
      <c r="I46" s="95"/>
      <c r="J46" s="95"/>
      <c r="K46" s="95"/>
      <c r="L46" s="95"/>
      <c r="M46" s="95"/>
      <c r="N46" s="95"/>
      <c r="O46" s="95"/>
      <c r="P46" s="95"/>
      <c r="Q46" s="95"/>
      <c r="R46" s="95"/>
      <c r="S46" s="95"/>
      <c r="T46" s="95"/>
      <c r="U46" s="95"/>
      <c r="V46" s="95"/>
      <c r="W46" s="95"/>
      <c r="X46" s="95"/>
      <c r="Y46" s="95"/>
      <c r="Z46" s="95"/>
      <c r="AA46" s="95"/>
    </row>
    <row r="48" spans="2:27" x14ac:dyDescent="0.25">
      <c r="E48" s="293" t="s">
        <v>415</v>
      </c>
      <c r="G48" s="122" t="s">
        <v>588</v>
      </c>
      <c r="H48" s="310">
        <f t="array" ref="H48">SUM(IF(ISERROR(H19:Y45), 1))</f>
        <v>0</v>
      </c>
    </row>
    <row r="50" spans="2:27" x14ac:dyDescent="0.25">
      <c r="B50" s="95" t="s">
        <v>110</v>
      </c>
      <c r="C50" s="71"/>
      <c r="D50" s="78"/>
      <c r="E50" s="78"/>
      <c r="F50" s="71"/>
      <c r="G50" s="71"/>
      <c r="H50" s="71"/>
      <c r="I50" s="71"/>
      <c r="J50" s="71"/>
      <c r="K50" s="71"/>
      <c r="L50" s="71"/>
      <c r="M50" s="71"/>
      <c r="N50" s="71"/>
      <c r="O50" s="71"/>
      <c r="P50" s="71"/>
      <c r="Q50" s="71"/>
      <c r="R50" s="71"/>
      <c r="S50" s="71"/>
      <c r="T50" s="71"/>
      <c r="U50" s="71"/>
      <c r="V50" s="71"/>
      <c r="W50" s="71"/>
      <c r="X50" s="71"/>
      <c r="Y50" s="71"/>
      <c r="Z50" s="72"/>
      <c r="AA50" s="72"/>
    </row>
  </sheetData>
  <sheetProtection sheet="1" objects="1" formatCells="0" formatColumns="0" formatRows="0" sort="0" autoFilter="0"/>
  <conditionalFormatting sqref="A4:I4 Z4:XFD4">
    <cfRule type="expression" dxfId="99" priority="10">
      <formula>LEFT($A$4,1) &lt;&gt; "0"</formula>
    </cfRule>
  </conditionalFormatting>
  <conditionalFormatting sqref="N4:P4">
    <cfRule type="expression" dxfId="98" priority="9">
      <formula>LEFT($A$4,1) &lt;&gt; "0"</formula>
    </cfRule>
  </conditionalFormatting>
  <conditionalFormatting sqref="L4:M4">
    <cfRule type="expression" dxfId="97" priority="8">
      <formula>LEFT($A$4,1) &lt;&gt; "0"</formula>
    </cfRule>
  </conditionalFormatting>
  <conditionalFormatting sqref="J4:K4">
    <cfRule type="expression" dxfId="96" priority="7">
      <formula>LEFT($A$4,1) &lt;&gt; "0"</formula>
    </cfRule>
  </conditionalFormatting>
  <conditionalFormatting sqref="Q4">
    <cfRule type="expression" dxfId="95" priority="6">
      <formula>LEFT($A$4,1) &lt;&gt; "0"</formula>
    </cfRule>
  </conditionalFormatting>
  <conditionalFormatting sqref="R4:S4">
    <cfRule type="expression" dxfId="94" priority="5">
      <formula>LEFT($A$4,1) &lt;&gt; "0"</formula>
    </cfRule>
  </conditionalFormatting>
  <conditionalFormatting sqref="T4:U4">
    <cfRule type="expression" dxfId="93" priority="4">
      <formula>LEFT($A$4,1) &lt;&gt; "0"</formula>
    </cfRule>
  </conditionalFormatting>
  <conditionalFormatting sqref="V4:W4">
    <cfRule type="expression" dxfId="92" priority="3">
      <formula>LEFT($A$4,1) &lt;&gt; "0"</formula>
    </cfRule>
  </conditionalFormatting>
  <conditionalFormatting sqref="X4:Y4">
    <cfRule type="expression" dxfId="91" priority="2">
      <formula>LEFT($A$4,1) &lt;&gt; "0"</formula>
    </cfRule>
  </conditionalFormatting>
  <conditionalFormatting sqref="H48">
    <cfRule type="cellIs" dxfId="90" priority="1" operator="greaterThan">
      <formula>0</formula>
    </cfRule>
  </conditionalFormatting>
  <hyperlinks>
    <hyperlink ref="B5:F5" location="'Model map'!A1" display="Click here to return to model map" xr:uid="{955CCE68-44A5-427B-BD20-105959E4AF64}"/>
  </hyperlinks>
  <pageMargins left="0.7" right="0.7" top="0.75" bottom="0.75" header="0.3" footer="0.3"/>
  <pageSetup paperSize="9" scale="32" fitToHeight="0" orientation="portrait" r:id="rId1"/>
  <headerFooter>
    <oddHeader>&amp;L&amp;A&amp;C&amp;R&amp;P of &amp;N</oddHeader>
    <oddFooter>&amp;F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219D4B-0ED2-4136-8367-ADAB4F4EBF4C}">
  <sheetPr codeName="Sheet50">
    <tabColor theme="4" tint="0.59999389629810485"/>
    <pageSetUpPr fitToPage="1"/>
  </sheetPr>
  <dimension ref="A1:LC225"/>
  <sheetViews>
    <sheetView showGridLines="0" zoomScale="80" zoomScaleNormal="80" workbookViewId="0">
      <pane xSplit="9" ySplit="5" topLeftCell="J6" activePane="bottomRight" state="frozen"/>
      <selection pane="topRight"/>
      <selection pane="bottomLeft"/>
      <selection pane="bottomRight"/>
    </sheetView>
  </sheetViews>
  <sheetFormatPr defaultColWidth="0" defaultRowHeight="15" x14ac:dyDescent="0.25"/>
  <cols>
    <col min="1" max="3" width="2.5703125" style="293" customWidth="1"/>
    <col min="4" max="5" width="2.5703125" style="98" customWidth="1"/>
    <col min="6" max="6" width="59.5703125" style="293" customWidth="1"/>
    <col min="7" max="8" width="20.5703125" style="293" customWidth="1"/>
    <col min="9" max="9" width="2.42578125" style="293" customWidth="1"/>
    <col min="10" max="25" width="17" style="293" customWidth="1"/>
    <col min="26" max="26" width="2.42578125" style="293" customWidth="1"/>
    <col min="27" max="27" width="50.5703125" style="293" customWidth="1"/>
    <col min="28" max="28" width="2.42578125" style="293" customWidth="1"/>
    <col min="29" max="29" width="24.5703125" style="293" hidden="1" customWidth="1"/>
    <col min="30" max="30" width="3.5703125" style="293" hidden="1" customWidth="1"/>
    <col min="31" max="31" width="15.42578125" style="293" hidden="1" customWidth="1"/>
    <col min="32" max="315" width="24.5703125" style="293" hidden="1" customWidth="1"/>
    <col min="316" max="16384" width="8.5703125" style="293" hidden="1"/>
  </cols>
  <sheetData>
    <row r="1" spans="1:27" s="10" customFormat="1" x14ac:dyDescent="0.25">
      <c r="A1" s="10" t="str">
        <f ca="1">MID(CELL("filename",A1),FIND("]",CELL("filename",A1))+1,255)</f>
        <v>Unit rate charges</v>
      </c>
    </row>
    <row r="2" spans="1:27" s="10" customFormat="1" x14ac:dyDescent="0.25">
      <c r="A2" s="10" t="str">
        <f>Cover!D21&amp;" - "&amp;Cover!D23</f>
        <v>Southern Electric Power Distribution plc - Final</v>
      </c>
    </row>
    <row r="3" spans="1:27" s="46" customFormat="1" x14ac:dyDescent="0.25">
      <c r="A3" s="46" t="str">
        <f>Cover!D2&amp;" - "&amp;Cover!D8&amp;" v"&amp;Cover!D10&amp;" - "&amp;Cover!D19</f>
        <v>ARP model - Release for charge setting v7 - 2023/24</v>
      </c>
    </row>
    <row r="4" spans="1:27" x14ac:dyDescent="0.25">
      <c r="A4" s="366" t="str">
        <f>H223 &amp; IF(H223 = 1, " issue", " issues") &amp;" identified in checks on this sheet"</f>
        <v>0 issues identified in checks on this sheet</v>
      </c>
      <c r="B4" s="108"/>
      <c r="C4" s="108"/>
      <c r="D4" s="108"/>
      <c r="E4" s="108"/>
      <c r="F4" s="108"/>
      <c r="G4" s="108"/>
      <c r="H4" s="111"/>
      <c r="I4" s="111"/>
    </row>
    <row r="5" spans="1:27" ht="60" x14ac:dyDescent="0.25">
      <c r="B5" s="367" t="s">
        <v>451</v>
      </c>
      <c r="C5" s="368"/>
      <c r="D5" s="368"/>
      <c r="E5" s="368"/>
      <c r="F5" s="368"/>
      <c r="G5" s="1" t="s">
        <v>91</v>
      </c>
      <c r="H5" s="2" t="s">
        <v>92</v>
      </c>
      <c r="I5" s="111"/>
      <c r="J5" s="2" t="s">
        <v>926</v>
      </c>
      <c r="K5" s="2" t="s">
        <v>927</v>
      </c>
      <c r="L5" s="2" t="s">
        <v>928</v>
      </c>
      <c r="M5" s="2" t="s">
        <v>929</v>
      </c>
      <c r="N5" s="2" t="s">
        <v>930</v>
      </c>
      <c r="O5" s="2" t="s">
        <v>931</v>
      </c>
      <c r="P5" s="2" t="s">
        <v>932</v>
      </c>
      <c r="Q5" s="2" t="s">
        <v>933</v>
      </c>
      <c r="R5" s="2" t="s">
        <v>934</v>
      </c>
      <c r="S5" s="2" t="s">
        <v>935</v>
      </c>
      <c r="T5" s="2" t="s">
        <v>936</v>
      </c>
      <c r="U5" s="2" t="s">
        <v>937</v>
      </c>
      <c r="V5" s="2" t="s">
        <v>938</v>
      </c>
      <c r="W5" s="2" t="s">
        <v>939</v>
      </c>
      <c r="X5" s="2" t="s">
        <v>940</v>
      </c>
      <c r="Y5" s="2" t="s">
        <v>941</v>
      </c>
      <c r="AA5" s="1" t="s">
        <v>93</v>
      </c>
    </row>
    <row r="7" spans="1:27" x14ac:dyDescent="0.25">
      <c r="B7" s="95" t="s">
        <v>90</v>
      </c>
      <c r="C7" s="95"/>
      <c r="D7" s="95"/>
      <c r="E7" s="95"/>
      <c r="F7" s="95"/>
      <c r="G7" s="95"/>
      <c r="H7" s="95"/>
      <c r="I7" s="95"/>
      <c r="J7" s="95"/>
      <c r="K7" s="95"/>
      <c r="L7" s="95"/>
      <c r="M7" s="95"/>
      <c r="N7" s="95"/>
      <c r="O7" s="95"/>
      <c r="P7" s="95"/>
      <c r="Q7" s="95"/>
      <c r="R7" s="95"/>
      <c r="S7" s="95"/>
      <c r="T7" s="95"/>
      <c r="U7" s="95"/>
      <c r="V7" s="95"/>
      <c r="W7" s="95"/>
      <c r="X7" s="95"/>
      <c r="Y7" s="95"/>
      <c r="Z7" s="95"/>
      <c r="AA7" s="95"/>
    </row>
    <row r="9" spans="1:27" x14ac:dyDescent="0.25">
      <c r="C9" s="82" t="s">
        <v>386</v>
      </c>
      <c r="D9" s="293"/>
    </row>
    <row r="10" spans="1:27" x14ac:dyDescent="0.25">
      <c r="C10" s="82" t="s">
        <v>387</v>
      </c>
      <c r="D10" s="293"/>
      <c r="E10" s="293"/>
    </row>
    <row r="11" spans="1:27" x14ac:dyDescent="0.25">
      <c r="C11" s="82" t="s">
        <v>389</v>
      </c>
      <c r="D11" s="293"/>
      <c r="E11" s="293"/>
    </row>
    <row r="12" spans="1:27" x14ac:dyDescent="0.25">
      <c r="C12" s="82" t="s">
        <v>388</v>
      </c>
    </row>
    <row r="13" spans="1:27" x14ac:dyDescent="0.25">
      <c r="C13" s="82" t="s">
        <v>390</v>
      </c>
      <c r="D13" s="293"/>
    </row>
    <row r="15" spans="1:27" x14ac:dyDescent="0.25">
      <c r="B15" s="95" t="s">
        <v>661</v>
      </c>
      <c r="C15" s="95"/>
      <c r="D15" s="95"/>
      <c r="E15" s="95"/>
      <c r="F15" s="95"/>
      <c r="G15" s="95"/>
      <c r="H15" s="95"/>
      <c r="I15" s="95"/>
      <c r="J15" s="95"/>
      <c r="K15" s="95"/>
      <c r="L15" s="95"/>
      <c r="M15" s="95"/>
      <c r="N15" s="95"/>
      <c r="O15" s="95"/>
      <c r="P15" s="95"/>
      <c r="Q15" s="95"/>
      <c r="R15" s="95"/>
      <c r="S15" s="95"/>
      <c r="T15" s="95"/>
      <c r="U15" s="95"/>
      <c r="V15" s="95"/>
      <c r="W15" s="95"/>
      <c r="X15" s="95"/>
      <c r="Y15" s="95"/>
      <c r="Z15" s="95"/>
      <c r="AA15" s="95"/>
    </row>
    <row r="17" spans="3:27" x14ac:dyDescent="0.25">
      <c r="C17" s="82" t="s">
        <v>419</v>
      </c>
    </row>
    <row r="19" spans="3:27" x14ac:dyDescent="0.25">
      <c r="C19" s="7" t="str">
        <f ca="1">INDEX('Version control'!$H$35:$H$61,MATCH($A$1,'Version control'!$F$35:$F$61,0),1)&amp;"-A: Initial unit rate 1"</f>
        <v>Section 514-A: Initial unit rate 1</v>
      </c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</row>
    <row r="20" spans="3:27" x14ac:dyDescent="0.25">
      <c r="C20" s="96"/>
      <c r="D20" s="293"/>
      <c r="E20" s="96"/>
    </row>
    <row r="21" spans="3:27" x14ac:dyDescent="0.25">
      <c r="D21" s="293"/>
      <c r="E21" s="96" t="s">
        <v>139</v>
      </c>
    </row>
    <row r="22" spans="3:27" x14ac:dyDescent="0.25">
      <c r="D22" s="293"/>
      <c r="F22" s="91" t="s">
        <v>267</v>
      </c>
      <c r="G22" s="91" t="s">
        <v>183</v>
      </c>
      <c r="H22" s="347"/>
      <c r="I22" s="347"/>
      <c r="J22" s="358">
        <f>'Initial unit rates'!J152</f>
        <v>0</v>
      </c>
      <c r="K22" s="358">
        <f>'Initial unit rates'!K152</f>
        <v>0</v>
      </c>
      <c r="L22" s="358">
        <f>'Initial unit rates'!L152</f>
        <v>0</v>
      </c>
      <c r="M22" s="358">
        <f>'Initial unit rates'!M152</f>
        <v>0</v>
      </c>
      <c r="N22" s="358">
        <f>'Initial unit rates'!N152</f>
        <v>0</v>
      </c>
      <c r="O22" s="358">
        <f>'Initial unit rates'!O152</f>
        <v>0</v>
      </c>
      <c r="P22" s="358">
        <f>'Initial unit rates'!P152</f>
        <v>0</v>
      </c>
      <c r="Q22" s="358">
        <f>'Initial unit rates'!Q152</f>
        <v>0</v>
      </c>
      <c r="R22" s="358">
        <f>'Initial unit rates'!R152</f>
        <v>0</v>
      </c>
      <c r="S22" s="358">
        <f>'Initial unit rates'!S152</f>
        <v>0</v>
      </c>
      <c r="T22" s="358">
        <f>'Initial unit rates'!T152</f>
        <v>0</v>
      </c>
      <c r="U22" s="358">
        <f>'Initial unit rates'!U152</f>
        <v>0</v>
      </c>
      <c r="V22" s="358">
        <f>'Initial unit rates'!V152</f>
        <v>0</v>
      </c>
      <c r="W22" s="358">
        <f>'Initial unit rates'!W152</f>
        <v>0</v>
      </c>
      <c r="X22" s="358">
        <f>'Initial unit rates'!X152</f>
        <v>0</v>
      </c>
      <c r="Y22" s="358">
        <f>'Initial unit rates'!Y152</f>
        <v>0</v>
      </c>
      <c r="Z22" s="349"/>
      <c r="AA22" s="349"/>
    </row>
    <row r="23" spans="3:27" x14ac:dyDescent="0.25">
      <c r="D23" s="293"/>
      <c r="F23" s="293" t="s">
        <v>43</v>
      </c>
      <c r="G23" s="293" t="s">
        <v>183</v>
      </c>
      <c r="H23" s="349"/>
      <c r="I23" s="349"/>
      <c r="J23" s="416">
        <f>'Initial unit rates'!J153</f>
        <v>0</v>
      </c>
      <c r="K23" s="416">
        <f>'Initial unit rates'!K153</f>
        <v>0</v>
      </c>
      <c r="L23" s="416">
        <f>'Initial unit rates'!L153</f>
        <v>0</v>
      </c>
      <c r="M23" s="416">
        <f>'Initial unit rates'!M153</f>
        <v>0</v>
      </c>
      <c r="N23" s="416">
        <f>'Initial unit rates'!N153</f>
        <v>0</v>
      </c>
      <c r="O23" s="416">
        <f>'Initial unit rates'!O153</f>
        <v>0</v>
      </c>
      <c r="P23" s="416">
        <f>'Initial unit rates'!P153</f>
        <v>0</v>
      </c>
      <c r="Q23" s="416">
        <f>'Initial unit rates'!Q153</f>
        <v>0</v>
      </c>
      <c r="R23" s="416">
        <f>'Initial unit rates'!R153</f>
        <v>0</v>
      </c>
      <c r="S23" s="416">
        <f>'Initial unit rates'!S153</f>
        <v>0</v>
      </c>
      <c r="T23" s="416">
        <f>'Initial unit rates'!T153</f>
        <v>0</v>
      </c>
      <c r="U23" s="416">
        <f>'Initial unit rates'!U153</f>
        <v>0</v>
      </c>
      <c r="V23" s="416">
        <f>'Initial unit rates'!V153</f>
        <v>0</v>
      </c>
      <c r="W23" s="416">
        <f>'Initial unit rates'!W153</f>
        <v>0</v>
      </c>
      <c r="X23" s="416">
        <f>'Initial unit rates'!X153</f>
        <v>0</v>
      </c>
      <c r="Y23" s="416">
        <f>'Initial unit rates'!Y153</f>
        <v>0</v>
      </c>
      <c r="Z23" s="349"/>
      <c r="AA23" s="349"/>
    </row>
    <row r="24" spans="3:27" x14ac:dyDescent="0.25">
      <c r="D24" s="293"/>
      <c r="F24" s="293" t="s">
        <v>44</v>
      </c>
      <c r="G24" s="293" t="s">
        <v>183</v>
      </c>
      <c r="H24" s="349"/>
      <c r="I24" s="349"/>
      <c r="J24" s="416">
        <f>'Initial unit rates'!J154</f>
        <v>1.6592053345614883</v>
      </c>
      <c r="K24" s="416">
        <f>'Initial unit rates'!K154</f>
        <v>1.6592053345614883</v>
      </c>
      <c r="L24" s="416">
        <f>'Initial unit rates'!L154</f>
        <v>1.4623944694234796</v>
      </c>
      <c r="M24" s="416">
        <f>'Initial unit rates'!M154</f>
        <v>1.4623944694234796</v>
      </c>
      <c r="N24" s="416">
        <f>'Initial unit rates'!N154</f>
        <v>1.2808912594286184</v>
      </c>
      <c r="O24" s="416">
        <f>'Initial unit rates'!O154</f>
        <v>1.0245202515446972</v>
      </c>
      <c r="P24" s="416">
        <f>'Initial unit rates'!P154</f>
        <v>1.0688711388484549</v>
      </c>
      <c r="Q24" s="416">
        <f>'Initial unit rates'!Q154</f>
        <v>3.0454112307686705</v>
      </c>
      <c r="R24" s="416">
        <f>'Initial unit rates'!R154</f>
        <v>-1.1260924474540315</v>
      </c>
      <c r="S24" s="416">
        <f>'Initial unit rates'!S154</f>
        <v>-1.0805519440643465</v>
      </c>
      <c r="T24" s="416">
        <f>'Initial unit rates'!T154</f>
        <v>-1.1260924474540315</v>
      </c>
      <c r="U24" s="416">
        <f>'Initial unit rates'!U154</f>
        <v>-1.1260924474540315</v>
      </c>
      <c r="V24" s="416">
        <f>'Initial unit rates'!V154</f>
        <v>-1.0805519440643465</v>
      </c>
      <c r="W24" s="416">
        <f>'Initial unit rates'!W154</f>
        <v>-1.0805519440643465</v>
      </c>
      <c r="X24" s="416">
        <f>'Initial unit rates'!X154</f>
        <v>-1.0650267724542264</v>
      </c>
      <c r="Y24" s="416">
        <f>'Initial unit rates'!Y154</f>
        <v>-1.0650267724542264</v>
      </c>
      <c r="Z24" s="349"/>
      <c r="AA24" s="349"/>
    </row>
    <row r="25" spans="3:27" x14ac:dyDescent="0.25">
      <c r="D25" s="293"/>
      <c r="F25" s="293" t="s">
        <v>45</v>
      </c>
      <c r="G25" s="293" t="s">
        <v>183</v>
      </c>
      <c r="H25" s="349"/>
      <c r="I25" s="349"/>
      <c r="J25" s="416">
        <f>'Initial unit rates'!J155</f>
        <v>0.42931583696806086</v>
      </c>
      <c r="K25" s="416">
        <f>'Initial unit rates'!K155</f>
        <v>0.42931583696806086</v>
      </c>
      <c r="L25" s="416">
        <f>'Initial unit rates'!L155</f>
        <v>0.3783914459170501</v>
      </c>
      <c r="M25" s="416">
        <f>'Initial unit rates'!M155</f>
        <v>0.3783914459170501</v>
      </c>
      <c r="N25" s="416">
        <f>'Initial unit rates'!N155</f>
        <v>0.33142787794375428</v>
      </c>
      <c r="O25" s="416">
        <f>'Initial unit rates'!O155</f>
        <v>0.2650924271521139</v>
      </c>
      <c r="P25" s="416">
        <f>'Initial unit rates'!P155</f>
        <v>0.27656812452752094</v>
      </c>
      <c r="Q25" s="416">
        <f>'Initial unit rates'!Q155</f>
        <v>0.78799365227145235</v>
      </c>
      <c r="R25" s="416">
        <f>'Initial unit rates'!R155</f>
        <v>-0.29137401592908369</v>
      </c>
      <c r="S25" s="416">
        <f>'Initial unit rates'!S155</f>
        <v>-0.27959050793195162</v>
      </c>
      <c r="T25" s="416">
        <f>'Initial unit rates'!T155</f>
        <v>-0.29137401592908369</v>
      </c>
      <c r="U25" s="416">
        <f>'Initial unit rates'!U155</f>
        <v>-0.29137401592908369</v>
      </c>
      <c r="V25" s="416">
        <f>'Initial unit rates'!V155</f>
        <v>-0.27959050793195162</v>
      </c>
      <c r="W25" s="416">
        <f>'Initial unit rates'!W155</f>
        <v>-0.27959050793195162</v>
      </c>
      <c r="X25" s="416">
        <f>'Initial unit rates'!X155</f>
        <v>-0.27557340293292926</v>
      </c>
      <c r="Y25" s="416">
        <f>'Initial unit rates'!Y155</f>
        <v>-0.27557340293292926</v>
      </c>
      <c r="Z25" s="349"/>
      <c r="AA25" s="349"/>
    </row>
    <row r="26" spans="3:27" x14ac:dyDescent="0.25">
      <c r="D26" s="293"/>
      <c r="F26" s="293" t="s">
        <v>46</v>
      </c>
      <c r="G26" s="293" t="s">
        <v>183</v>
      </c>
      <c r="H26" s="349"/>
      <c r="I26" s="349"/>
      <c r="J26" s="416">
        <f>'Initial unit rates'!J156</f>
        <v>0.96461743858537041</v>
      </c>
      <c r="K26" s="416">
        <f>'Initial unit rates'!K156</f>
        <v>0.96461743858537041</v>
      </c>
      <c r="L26" s="416">
        <f>'Initial unit rates'!L156</f>
        <v>0.85019688516702463</v>
      </c>
      <c r="M26" s="416">
        <f>'Initial unit rates'!M156</f>
        <v>0.85019688516702463</v>
      </c>
      <c r="N26" s="416">
        <f>'Initial unit rates'!N156</f>
        <v>0.74467579150049679</v>
      </c>
      <c r="O26" s="416">
        <f>'Initial unit rates'!O156</f>
        <v>0.59562857003776171</v>
      </c>
      <c r="P26" s="416">
        <f>'Initial unit rates'!P156</f>
        <v>0.60746978430259868</v>
      </c>
      <c r="Q26" s="416">
        <f>'Initial unit rates'!Q156</f>
        <v>1.7761189452365282</v>
      </c>
      <c r="R26" s="416">
        <f>'Initial unit rates'!R156</f>
        <v>-0.65467991793826008</v>
      </c>
      <c r="S26" s="416">
        <f>'Initial unit rates'!S156</f>
        <v>-0.62820389184516856</v>
      </c>
      <c r="T26" s="416">
        <f>'Initial unit rates'!T156</f>
        <v>-0.65467991793826008</v>
      </c>
      <c r="U26" s="416">
        <f>'Initial unit rates'!U156</f>
        <v>-0.65467991793826008</v>
      </c>
      <c r="V26" s="416">
        <f>'Initial unit rates'!V156</f>
        <v>-0.62820389184516856</v>
      </c>
      <c r="W26" s="416">
        <f>'Initial unit rates'!W156</f>
        <v>-0.62820389184516856</v>
      </c>
      <c r="X26" s="416">
        <f>'Initial unit rates'!X156</f>
        <v>-0.60528492184406324</v>
      </c>
      <c r="Y26" s="416">
        <f>'Initial unit rates'!Y156</f>
        <v>-0.60528492184406324</v>
      </c>
      <c r="Z26" s="349"/>
      <c r="AA26" s="349"/>
    </row>
    <row r="27" spans="3:27" x14ac:dyDescent="0.25">
      <c r="D27" s="293"/>
      <c r="F27" s="293" t="s">
        <v>47</v>
      </c>
      <c r="G27" s="293" t="s">
        <v>183</v>
      </c>
      <c r="H27" s="349"/>
      <c r="I27" s="349"/>
      <c r="J27" s="416">
        <f>'Initial unit rates'!J157</f>
        <v>0.67414609943160331</v>
      </c>
      <c r="K27" s="416">
        <f>'Initial unit rates'!K157</f>
        <v>0.67414609943160331</v>
      </c>
      <c r="L27" s="416">
        <f>'Initial unit rates'!L157</f>
        <v>0.59418054345440197</v>
      </c>
      <c r="M27" s="416">
        <f>'Initial unit rates'!M157</f>
        <v>0.59418054345440197</v>
      </c>
      <c r="N27" s="416">
        <f>'Initial unit rates'!N157</f>
        <v>0.5204345889883808</v>
      </c>
      <c r="O27" s="416">
        <f>'Initial unit rates'!O157</f>
        <v>0.4162693531539795</v>
      </c>
      <c r="P27" s="416">
        <f>'Initial unit rates'!P157</f>
        <v>0.41560191204014529</v>
      </c>
      <c r="Q27" s="416">
        <f>'Initial unit rates'!Q157</f>
        <v>1.2412834468488725</v>
      </c>
      <c r="R27" s="416">
        <f>'Initial unit rates'!R157</f>
        <v>-0.4575388080289407</v>
      </c>
      <c r="S27" s="416">
        <f>'Initial unit rates'!S157</f>
        <v>-0.43903540035129968</v>
      </c>
      <c r="T27" s="416">
        <f>'Initial unit rates'!T157</f>
        <v>-0.4575388080289407</v>
      </c>
      <c r="U27" s="416">
        <f>'Initial unit rates'!U157</f>
        <v>-0.4575388080289407</v>
      </c>
      <c r="V27" s="416">
        <f>'Initial unit rates'!V157</f>
        <v>-0.43903540035129968</v>
      </c>
      <c r="W27" s="416">
        <f>'Initial unit rates'!W157</f>
        <v>-0.43903540035129968</v>
      </c>
      <c r="X27" s="416">
        <f>'Initial unit rates'!X157</f>
        <v>-0.41410713314121689</v>
      </c>
      <c r="Y27" s="416">
        <f>'Initial unit rates'!Y157</f>
        <v>-0.41410713314121689</v>
      </c>
      <c r="Z27" s="349"/>
      <c r="AA27" s="349"/>
    </row>
    <row r="28" spans="3:27" x14ac:dyDescent="0.25">
      <c r="D28" s="293"/>
      <c r="F28" s="293" t="s">
        <v>51</v>
      </c>
      <c r="G28" s="293" t="s">
        <v>183</v>
      </c>
      <c r="H28" s="349"/>
      <c r="I28" s="349"/>
      <c r="J28" s="416">
        <f>'Initial unit rates'!J158</f>
        <v>0</v>
      </c>
      <c r="K28" s="416">
        <f>'Initial unit rates'!K158</f>
        <v>0</v>
      </c>
      <c r="L28" s="416">
        <f>'Initial unit rates'!L158</f>
        <v>0</v>
      </c>
      <c r="M28" s="416">
        <f>'Initial unit rates'!M158</f>
        <v>0</v>
      </c>
      <c r="N28" s="416">
        <f>'Initial unit rates'!N158</f>
        <v>0</v>
      </c>
      <c r="O28" s="416">
        <f>'Initial unit rates'!O158</f>
        <v>0</v>
      </c>
      <c r="P28" s="416">
        <f>'Initial unit rates'!P158</f>
        <v>0</v>
      </c>
      <c r="Q28" s="416">
        <f>'Initial unit rates'!Q158</f>
        <v>0</v>
      </c>
      <c r="R28" s="416">
        <f>'Initial unit rates'!R158</f>
        <v>0</v>
      </c>
      <c r="S28" s="416">
        <f>'Initial unit rates'!S158</f>
        <v>0</v>
      </c>
      <c r="T28" s="416">
        <f>'Initial unit rates'!T158</f>
        <v>0</v>
      </c>
      <c r="U28" s="416">
        <f>'Initial unit rates'!U158</f>
        <v>0</v>
      </c>
      <c r="V28" s="416">
        <f>'Initial unit rates'!V158</f>
        <v>0</v>
      </c>
      <c r="W28" s="416">
        <f>'Initial unit rates'!W158</f>
        <v>0</v>
      </c>
      <c r="X28" s="416">
        <f>'Initial unit rates'!X158</f>
        <v>0</v>
      </c>
      <c r="Y28" s="416">
        <f>'Initial unit rates'!Y158</f>
        <v>0</v>
      </c>
      <c r="Z28" s="349"/>
      <c r="AA28" s="349"/>
    </row>
    <row r="29" spans="3:27" x14ac:dyDescent="0.25">
      <c r="D29" s="293"/>
      <c r="F29" s="293" t="s">
        <v>48</v>
      </c>
      <c r="G29" s="293" t="s">
        <v>183</v>
      </c>
      <c r="H29" s="349"/>
      <c r="I29" s="349"/>
      <c r="J29" s="416">
        <f>'Initial unit rates'!J159</f>
        <v>0.9066245278468652</v>
      </c>
      <c r="K29" s="416">
        <f>'Initial unit rates'!K159</f>
        <v>0.9066245278468652</v>
      </c>
      <c r="L29" s="416">
        <f>'Initial unit rates'!L159</f>
        <v>0.79908295118719364</v>
      </c>
      <c r="M29" s="416">
        <f>'Initial unit rates'!M159</f>
        <v>0.79908295118719364</v>
      </c>
      <c r="N29" s="416">
        <f>'Initial unit rates'!N159</f>
        <v>0.69990579774116057</v>
      </c>
      <c r="O29" s="416">
        <f>'Initial unit rates'!O159</f>
        <v>0.55981931228044801</v>
      </c>
      <c r="P29" s="416">
        <f>'Initial unit rates'!P159</f>
        <v>0.54895577523976691</v>
      </c>
      <c r="Q29" s="416">
        <f>'Initial unit rates'!Q159</f>
        <v>1.5910359590991647</v>
      </c>
      <c r="R29" s="416">
        <f>'Initial unit rates'!R159</f>
        <v>-0.61532048639100922</v>
      </c>
      <c r="S29" s="416">
        <f>'Initial unit rates'!S159</f>
        <v>-0.59043620201490232</v>
      </c>
      <c r="T29" s="416">
        <f>'Initial unit rates'!T159</f>
        <v>-0.61532048639100922</v>
      </c>
      <c r="U29" s="416">
        <f>'Initial unit rates'!U159</f>
        <v>-0.61532048639100922</v>
      </c>
      <c r="V29" s="416">
        <f>'Initial unit rates'!V159</f>
        <v>-0.59043620201490232</v>
      </c>
      <c r="W29" s="416">
        <f>'Initial unit rates'!W159</f>
        <v>-0.59043620201490232</v>
      </c>
      <c r="X29" s="416">
        <f>'Initial unit rates'!X159</f>
        <v>0</v>
      </c>
      <c r="Y29" s="416">
        <f>'Initial unit rates'!Y159</f>
        <v>0</v>
      </c>
      <c r="Z29" s="349"/>
      <c r="AA29" s="349"/>
    </row>
    <row r="30" spans="3:27" x14ac:dyDescent="0.25">
      <c r="D30" s="293"/>
      <c r="F30" s="293" t="s">
        <v>49</v>
      </c>
      <c r="G30" s="293" t="s">
        <v>183</v>
      </c>
      <c r="H30" s="349"/>
      <c r="I30" s="349"/>
      <c r="J30" s="416">
        <f>'Initial unit rates'!J160</f>
        <v>0.30025709769780901</v>
      </c>
      <c r="K30" s="416">
        <f>'Initial unit rates'!K160</f>
        <v>0.30025709769780901</v>
      </c>
      <c r="L30" s="416">
        <f>'Initial unit rates'!L160</f>
        <v>0.26464133759217312</v>
      </c>
      <c r="M30" s="416">
        <f>'Initial unit rates'!M160</f>
        <v>0.26464133759217312</v>
      </c>
      <c r="N30" s="416">
        <f>'Initial unit rates'!N160</f>
        <v>0.23179571811355912</v>
      </c>
      <c r="O30" s="416">
        <f>'Initial unit rates'!O160</f>
        <v>0.18540169251730432</v>
      </c>
      <c r="P30" s="416">
        <f>'Initial unit rates'!P160</f>
        <v>0</v>
      </c>
      <c r="Q30" s="416">
        <f>'Initial unit rates'!Q160</f>
        <v>0.52692137123898231</v>
      </c>
      <c r="R30" s="416">
        <f>'Initial unit rates'!R160</f>
        <v>-0.20378264399766474</v>
      </c>
      <c r="S30" s="416">
        <f>'Initial unit rates'!S160</f>
        <v>0</v>
      </c>
      <c r="T30" s="416">
        <f>'Initial unit rates'!T160</f>
        <v>-0.20378264399766474</v>
      </c>
      <c r="U30" s="416">
        <f>'Initial unit rates'!U160</f>
        <v>-0.20378264399766474</v>
      </c>
      <c r="V30" s="416">
        <f>'Initial unit rates'!V160</f>
        <v>0</v>
      </c>
      <c r="W30" s="416">
        <f>'Initial unit rates'!W160</f>
        <v>0</v>
      </c>
      <c r="X30" s="416">
        <f>'Initial unit rates'!X160</f>
        <v>0</v>
      </c>
      <c r="Y30" s="416">
        <f>'Initial unit rates'!Y160</f>
        <v>0</v>
      </c>
      <c r="Z30" s="349"/>
      <c r="AA30" s="349"/>
    </row>
    <row r="31" spans="3:27" x14ac:dyDescent="0.25">
      <c r="D31" s="293"/>
      <c r="F31" s="293" t="s">
        <v>50</v>
      </c>
      <c r="G31" s="293" t="s">
        <v>183</v>
      </c>
      <c r="H31" s="349"/>
      <c r="I31" s="349"/>
      <c r="J31" s="416">
        <f>'Initial unit rates'!J161</f>
        <v>6.0383283064806295E-2</v>
      </c>
      <c r="K31" s="416">
        <f>'Initial unit rates'!K161</f>
        <v>6.0383283064806295E-2</v>
      </c>
      <c r="L31" s="416">
        <f>'Initial unit rates'!L161</f>
        <v>5.3220766206699251E-2</v>
      </c>
      <c r="M31" s="416">
        <f>'Initial unit rates'!M161</f>
        <v>5.3220766206699251E-2</v>
      </c>
      <c r="N31" s="416">
        <f>'Initial unit rates'!N161</f>
        <v>4.6615339212223474E-2</v>
      </c>
      <c r="O31" s="416">
        <f>'Initial unit rates'!O161</f>
        <v>0</v>
      </c>
      <c r="P31" s="416">
        <f>'Initial unit rates'!P161</f>
        <v>0</v>
      </c>
      <c r="Q31" s="416">
        <f>'Initial unit rates'!Q161</f>
        <v>0.10596666175878888</v>
      </c>
      <c r="R31" s="416">
        <f>'Initial unit rates'!R161</f>
        <v>0</v>
      </c>
      <c r="S31" s="416">
        <f>'Initial unit rates'!S161</f>
        <v>0</v>
      </c>
      <c r="T31" s="416">
        <f>'Initial unit rates'!T161</f>
        <v>0</v>
      </c>
      <c r="U31" s="416">
        <f>'Initial unit rates'!U161</f>
        <v>0</v>
      </c>
      <c r="V31" s="416">
        <f>'Initial unit rates'!V161</f>
        <v>0</v>
      </c>
      <c r="W31" s="416">
        <f>'Initial unit rates'!W161</f>
        <v>0</v>
      </c>
      <c r="X31" s="416">
        <f>'Initial unit rates'!X161</f>
        <v>0</v>
      </c>
      <c r="Y31" s="416">
        <f>'Initial unit rates'!Y161</f>
        <v>0</v>
      </c>
      <c r="Z31" s="349"/>
      <c r="AA31" s="349"/>
    </row>
    <row r="32" spans="3:27" x14ac:dyDescent="0.25">
      <c r="D32" s="293"/>
      <c r="F32" s="91" t="s">
        <v>124</v>
      </c>
      <c r="G32" s="91" t="s">
        <v>183</v>
      </c>
      <c r="H32" s="347"/>
      <c r="I32" s="347"/>
      <c r="J32" s="359"/>
      <c r="K32" s="359"/>
      <c r="L32" s="359"/>
      <c r="M32" s="359"/>
      <c r="N32" s="359"/>
      <c r="O32" s="359"/>
      <c r="P32" s="359"/>
      <c r="Q32" s="359"/>
      <c r="R32" s="359"/>
      <c r="S32" s="359"/>
      <c r="T32" s="359"/>
      <c r="U32" s="359"/>
      <c r="V32" s="359"/>
      <c r="W32" s="359"/>
      <c r="X32" s="359"/>
      <c r="Y32" s="359"/>
      <c r="Z32" s="349"/>
      <c r="AA32" s="349"/>
    </row>
    <row r="33" spans="4:27" x14ac:dyDescent="0.25">
      <c r="D33" s="293"/>
      <c r="F33" s="93" t="s">
        <v>123</v>
      </c>
      <c r="G33" s="93" t="s">
        <v>183</v>
      </c>
      <c r="H33" s="351"/>
      <c r="I33" s="351"/>
      <c r="J33" s="356"/>
      <c r="K33" s="356"/>
      <c r="L33" s="356"/>
      <c r="M33" s="356"/>
      <c r="N33" s="356"/>
      <c r="O33" s="356"/>
      <c r="P33" s="356"/>
      <c r="Q33" s="356"/>
      <c r="R33" s="356"/>
      <c r="S33" s="356"/>
      <c r="T33" s="356"/>
      <c r="U33" s="356"/>
      <c r="V33" s="356"/>
      <c r="W33" s="356"/>
      <c r="X33" s="356"/>
      <c r="Y33" s="356"/>
      <c r="Z33" s="349"/>
      <c r="AA33" s="349"/>
    </row>
    <row r="34" spans="4:27" x14ac:dyDescent="0.25">
      <c r="D34" s="293"/>
      <c r="J34" s="252"/>
      <c r="K34" s="252"/>
      <c r="L34" s="252"/>
      <c r="M34" s="252"/>
      <c r="N34" s="252"/>
      <c r="O34" s="252"/>
      <c r="P34" s="252"/>
      <c r="Q34" s="252"/>
      <c r="R34" s="252"/>
      <c r="S34" s="252"/>
      <c r="T34" s="252"/>
      <c r="U34" s="252"/>
      <c r="V34" s="252"/>
      <c r="W34" s="252"/>
      <c r="X34" s="252"/>
      <c r="Y34" s="252"/>
    </row>
    <row r="35" spans="4:27" x14ac:dyDescent="0.25">
      <c r="D35" s="293"/>
      <c r="E35" s="96" t="s">
        <v>116</v>
      </c>
      <c r="J35" s="252"/>
      <c r="K35" s="252"/>
      <c r="L35" s="252"/>
      <c r="M35" s="252"/>
      <c r="N35" s="252"/>
      <c r="O35" s="252"/>
      <c r="P35" s="252"/>
      <c r="Q35" s="252"/>
      <c r="R35" s="252"/>
      <c r="S35" s="252"/>
      <c r="T35" s="252"/>
      <c r="U35" s="252"/>
      <c r="V35" s="252"/>
      <c r="W35" s="252"/>
      <c r="X35" s="252"/>
      <c r="Y35" s="252"/>
    </row>
    <row r="36" spans="4:27" x14ac:dyDescent="0.25">
      <c r="D36" s="293"/>
      <c r="F36" s="91" t="s">
        <v>267</v>
      </c>
      <c r="G36" s="91" t="s">
        <v>183</v>
      </c>
      <c r="H36" s="347"/>
      <c r="I36" s="347"/>
      <c r="J36" s="358">
        <f>'Initial unit rates'!J164</f>
        <v>0.4826510535818303</v>
      </c>
      <c r="K36" s="358">
        <f>'Initial unit rates'!K164</f>
        <v>0.4826510535818303</v>
      </c>
      <c r="L36" s="358">
        <f>'Initial unit rates'!L164</f>
        <v>0.4254001700193587</v>
      </c>
      <c r="M36" s="358">
        <f>'Initial unit rates'!M164</f>
        <v>0.4254001700193587</v>
      </c>
      <c r="N36" s="358">
        <f>'Initial unit rates'!N164</f>
        <v>0.37260217467319717</v>
      </c>
      <c r="O36" s="358">
        <f>'Initial unit rates'!O164</f>
        <v>0.29802566838700395</v>
      </c>
      <c r="P36" s="358">
        <f>'Initial unit rates'!P164</f>
        <v>0.31092702666892202</v>
      </c>
      <c r="Q36" s="358">
        <f>'Initial unit rates'!Q164</f>
        <v>0.75276451585019666</v>
      </c>
      <c r="R36" s="358">
        <f>'Initial unit rates'!R164</f>
        <v>-0.32757229914396008</v>
      </c>
      <c r="S36" s="358">
        <f>'Initial unit rates'!S164</f>
        <v>-0.31432488998740282</v>
      </c>
      <c r="T36" s="358">
        <f>'Initial unit rates'!T164</f>
        <v>-0.32757229914396008</v>
      </c>
      <c r="U36" s="358">
        <f>'Initial unit rates'!U164</f>
        <v>-0.32757229914396008</v>
      </c>
      <c r="V36" s="358">
        <f>'Initial unit rates'!V164</f>
        <v>-0.31432488998740282</v>
      </c>
      <c r="W36" s="358">
        <f>'Initial unit rates'!W164</f>
        <v>-0.31432488998740282</v>
      </c>
      <c r="X36" s="358">
        <f>'Initial unit rates'!X164</f>
        <v>-0.30980872777494017</v>
      </c>
      <c r="Y36" s="358">
        <f>'Initial unit rates'!Y164</f>
        <v>-0.30980872777494017</v>
      </c>
      <c r="Z36" s="349"/>
      <c r="AA36" s="349"/>
    </row>
    <row r="37" spans="4:27" x14ac:dyDescent="0.25">
      <c r="D37" s="293"/>
      <c r="F37" s="293" t="s">
        <v>43</v>
      </c>
      <c r="G37" s="293" t="s">
        <v>183</v>
      </c>
      <c r="H37" s="349"/>
      <c r="I37" s="349"/>
      <c r="J37" s="416">
        <f>'Initial unit rates'!J165</f>
        <v>0</v>
      </c>
      <c r="K37" s="416">
        <f>'Initial unit rates'!K165</f>
        <v>0</v>
      </c>
      <c r="L37" s="416">
        <f>'Initial unit rates'!L165</f>
        <v>0</v>
      </c>
      <c r="M37" s="416">
        <f>'Initial unit rates'!M165</f>
        <v>0</v>
      </c>
      <c r="N37" s="416">
        <f>'Initial unit rates'!N165</f>
        <v>0</v>
      </c>
      <c r="O37" s="416">
        <f>'Initial unit rates'!O165</f>
        <v>0</v>
      </c>
      <c r="P37" s="416">
        <f>'Initial unit rates'!P165</f>
        <v>0</v>
      </c>
      <c r="Q37" s="416">
        <f>'Initial unit rates'!Q165</f>
        <v>0</v>
      </c>
      <c r="R37" s="416">
        <f>'Initial unit rates'!R165</f>
        <v>0</v>
      </c>
      <c r="S37" s="416">
        <f>'Initial unit rates'!S165</f>
        <v>0</v>
      </c>
      <c r="T37" s="416">
        <f>'Initial unit rates'!T165</f>
        <v>0</v>
      </c>
      <c r="U37" s="416">
        <f>'Initial unit rates'!U165</f>
        <v>0</v>
      </c>
      <c r="V37" s="416">
        <f>'Initial unit rates'!V165</f>
        <v>0</v>
      </c>
      <c r="W37" s="416">
        <f>'Initial unit rates'!W165</f>
        <v>0</v>
      </c>
      <c r="X37" s="416">
        <f>'Initial unit rates'!X165</f>
        <v>0</v>
      </c>
      <c r="Y37" s="416">
        <f>'Initial unit rates'!Y165</f>
        <v>0</v>
      </c>
      <c r="Z37" s="349"/>
      <c r="AA37" s="349"/>
    </row>
    <row r="38" spans="4:27" x14ac:dyDescent="0.25">
      <c r="D38" s="293"/>
      <c r="F38" s="293" t="s">
        <v>44</v>
      </c>
      <c r="G38" s="293" t="s">
        <v>183</v>
      </c>
      <c r="H38" s="349"/>
      <c r="I38" s="349"/>
      <c r="J38" s="416">
        <f>'Initial unit rates'!J166</f>
        <v>0.93304040562050983</v>
      </c>
      <c r="K38" s="416">
        <f>'Initial unit rates'!K166</f>
        <v>0.93304040562050983</v>
      </c>
      <c r="L38" s="416">
        <f>'Initial unit rates'!L166</f>
        <v>0.82236544236322051</v>
      </c>
      <c r="M38" s="416">
        <f>'Initial unit rates'!M166</f>
        <v>0.82236544236322051</v>
      </c>
      <c r="N38" s="416">
        <f>'Initial unit rates'!N166</f>
        <v>0.72029861244925619</v>
      </c>
      <c r="O38" s="416">
        <f>'Initial unit rates'!O166</f>
        <v>0.57613049521705595</v>
      </c>
      <c r="P38" s="416">
        <f>'Initial unit rates'!P166</f>
        <v>0.60107085010716599</v>
      </c>
      <c r="Q38" s="416">
        <f>'Initial unit rates'!Q166</f>
        <v>1.7125618335771773</v>
      </c>
      <c r="R38" s="416">
        <f>'Initial unit rates'!R166</f>
        <v>-0.63324878003504559</v>
      </c>
      <c r="S38" s="416">
        <f>'Initial unit rates'!S166</f>
        <v>-0.60763945437186373</v>
      </c>
      <c r="T38" s="416">
        <f>'Initial unit rates'!T166</f>
        <v>-0.63324878003504559</v>
      </c>
      <c r="U38" s="416">
        <f>'Initial unit rates'!U166</f>
        <v>-0.63324878003504559</v>
      </c>
      <c r="V38" s="416">
        <f>'Initial unit rates'!V166</f>
        <v>-0.60763945437186373</v>
      </c>
      <c r="W38" s="416">
        <f>'Initial unit rates'!W166</f>
        <v>-0.60763945437186373</v>
      </c>
      <c r="X38" s="416">
        <f>'Initial unit rates'!X166</f>
        <v>-0.59890900244123335</v>
      </c>
      <c r="Y38" s="416">
        <f>'Initial unit rates'!Y166</f>
        <v>-0.59890900244123335</v>
      </c>
      <c r="Z38" s="349"/>
      <c r="AA38" s="349"/>
    </row>
    <row r="39" spans="4:27" x14ac:dyDescent="0.25">
      <c r="D39" s="293"/>
      <c r="F39" s="293" t="s">
        <v>45</v>
      </c>
      <c r="G39" s="293" t="s">
        <v>183</v>
      </c>
      <c r="H39" s="349"/>
      <c r="I39" s="349"/>
      <c r="J39" s="416">
        <f>'Initial unit rates'!J167</f>
        <v>0.24142221238087741</v>
      </c>
      <c r="K39" s="416">
        <f>'Initial unit rates'!K167</f>
        <v>0.24142221238087741</v>
      </c>
      <c r="L39" s="416">
        <f>'Initial unit rates'!L167</f>
        <v>0.21278530199222428</v>
      </c>
      <c r="M39" s="416">
        <f>'Initial unit rates'!M167</f>
        <v>0.21278530199222428</v>
      </c>
      <c r="N39" s="416">
        <f>'Initial unit rates'!N167</f>
        <v>0.18637572772288211</v>
      </c>
      <c r="O39" s="416">
        <f>'Initial unit rates'!O167</f>
        <v>0.1490725352702075</v>
      </c>
      <c r="P39" s="416">
        <f>'Initial unit rates'!P167</f>
        <v>0.15552579883614095</v>
      </c>
      <c r="Q39" s="416">
        <f>'Initial unit rates'!Q167</f>
        <v>0.44312171714181309</v>
      </c>
      <c r="R39" s="416">
        <f>'Initial unit rates'!R167</f>
        <v>-0.1638517694867466</v>
      </c>
      <c r="S39" s="416">
        <f>'Initial unit rates'!S167</f>
        <v>-0.15722541116191491</v>
      </c>
      <c r="T39" s="416">
        <f>'Initial unit rates'!T167</f>
        <v>-0.1638517694867466</v>
      </c>
      <c r="U39" s="416">
        <f>'Initial unit rates'!U167</f>
        <v>-0.1638517694867466</v>
      </c>
      <c r="V39" s="416">
        <f>'Initial unit rates'!V167</f>
        <v>-0.15722541116191491</v>
      </c>
      <c r="W39" s="416">
        <f>'Initial unit rates'!W167</f>
        <v>-0.15722541116191491</v>
      </c>
      <c r="X39" s="416">
        <f>'Initial unit rates'!X167</f>
        <v>-0.15496642536935867</v>
      </c>
      <c r="Y39" s="416">
        <f>'Initial unit rates'!Y167</f>
        <v>-0.15496642536935867</v>
      </c>
      <c r="Z39" s="349"/>
      <c r="AA39" s="349"/>
    </row>
    <row r="40" spans="4:27" x14ac:dyDescent="0.25">
      <c r="D40" s="293"/>
      <c r="F40" s="293" t="s">
        <v>46</v>
      </c>
      <c r="G40" s="293" t="s">
        <v>183</v>
      </c>
      <c r="H40" s="349"/>
      <c r="I40" s="349"/>
      <c r="J40" s="416">
        <f>'Initial unit rates'!J168</f>
        <v>0.54923895631442277</v>
      </c>
      <c r="K40" s="416">
        <f>'Initial unit rates'!K168</f>
        <v>0.54923895631442277</v>
      </c>
      <c r="L40" s="416">
        <f>'Initial unit rates'!L168</f>
        <v>0.48408957913483008</v>
      </c>
      <c r="M40" s="416">
        <f>'Initial unit rates'!M168</f>
        <v>0.48408957913483008</v>
      </c>
      <c r="N40" s="416">
        <f>'Initial unit rates'!N168</f>
        <v>0.42400742320827522</v>
      </c>
      <c r="O40" s="416">
        <f>'Initial unit rates'!O168</f>
        <v>0.33914213145301708</v>
      </c>
      <c r="P40" s="416">
        <f>'Initial unit rates'!P168</f>
        <v>0.35382339756693792</v>
      </c>
      <c r="Q40" s="416">
        <f>'Initial unit rates'!Q168</f>
        <v>1.0112959570817976</v>
      </c>
      <c r="R40" s="416">
        <f>'Initial unit rates'!R168</f>
        <v>-0.37276509885177533</v>
      </c>
      <c r="S40" s="416">
        <f>'Initial unit rates'!S168</f>
        <v>-0.35769003970703445</v>
      </c>
      <c r="T40" s="416">
        <f>'Initial unit rates'!T168</f>
        <v>-0.37276509885177533</v>
      </c>
      <c r="U40" s="416">
        <f>'Initial unit rates'!U168</f>
        <v>-0.37276509885177533</v>
      </c>
      <c r="V40" s="416">
        <f>'Initial unit rates'!V168</f>
        <v>-0.35769003970703445</v>
      </c>
      <c r="W40" s="416">
        <f>'Initial unit rates'!W168</f>
        <v>-0.35769003970703445</v>
      </c>
      <c r="X40" s="416">
        <f>'Initial unit rates'!X168</f>
        <v>-0.35255081499859997</v>
      </c>
      <c r="Y40" s="416">
        <f>'Initial unit rates'!Y168</f>
        <v>-0.35255081499859997</v>
      </c>
      <c r="Z40" s="349"/>
      <c r="AA40" s="349"/>
    </row>
    <row r="41" spans="4:27" x14ac:dyDescent="0.25">
      <c r="D41" s="293"/>
      <c r="F41" s="293" t="s">
        <v>47</v>
      </c>
      <c r="G41" s="293" t="s">
        <v>183</v>
      </c>
      <c r="H41" s="349"/>
      <c r="I41" s="349"/>
      <c r="J41" s="416">
        <f>'Initial unit rates'!J169</f>
        <v>0.3885822536260839</v>
      </c>
      <c r="K41" s="416">
        <f>'Initial unit rates'!K169</f>
        <v>0.3885822536260839</v>
      </c>
      <c r="L41" s="416">
        <f>'Initial unit rates'!L169</f>
        <v>0.34248958027192133</v>
      </c>
      <c r="M41" s="416">
        <f>'Initial unit rates'!M169</f>
        <v>0.34248958027192133</v>
      </c>
      <c r="N41" s="416">
        <f>'Initial unit rates'!N169</f>
        <v>0.29998192620943515</v>
      </c>
      <c r="O41" s="416">
        <f>'Initial unit rates'!O169</f>
        <v>0.23994039793514624</v>
      </c>
      <c r="P41" s="416">
        <f>'Initial unit rates'!P169</f>
        <v>0.25032727855795073</v>
      </c>
      <c r="Q41" s="416">
        <f>'Initial unit rates'!Q169</f>
        <v>0.71548395751598504</v>
      </c>
      <c r="R41" s="416">
        <f>'Initial unit rates'!R169</f>
        <v>-0.263728383647373</v>
      </c>
      <c r="S41" s="416">
        <f>'Initial unit rates'!S169</f>
        <v>-0.25306289754398664</v>
      </c>
      <c r="T41" s="416">
        <f>'Initial unit rates'!T169</f>
        <v>-0.263728383647373</v>
      </c>
      <c r="U41" s="416">
        <f>'Initial unit rates'!U169</f>
        <v>-0.263728383647373</v>
      </c>
      <c r="V41" s="416">
        <f>'Initial unit rates'!V169</f>
        <v>-0.25306289754398664</v>
      </c>
      <c r="W41" s="416">
        <f>'Initial unit rates'!W169</f>
        <v>-0.25306289754398664</v>
      </c>
      <c r="X41" s="416">
        <f>'Initial unit rates'!X169</f>
        <v>-0.24942693637237756</v>
      </c>
      <c r="Y41" s="416">
        <f>'Initial unit rates'!Y169</f>
        <v>-0.24942693637237756</v>
      </c>
      <c r="Z41" s="349"/>
      <c r="AA41" s="349"/>
    </row>
    <row r="42" spans="4:27" x14ac:dyDescent="0.25">
      <c r="D42" s="293"/>
      <c r="F42" s="293" t="s">
        <v>51</v>
      </c>
      <c r="G42" s="293" t="s">
        <v>183</v>
      </c>
      <c r="H42" s="349"/>
      <c r="I42" s="349"/>
      <c r="J42" s="416">
        <f>'Initial unit rates'!J170</f>
        <v>0</v>
      </c>
      <c r="K42" s="416">
        <f>'Initial unit rates'!K170</f>
        <v>0</v>
      </c>
      <c r="L42" s="416">
        <f>'Initial unit rates'!L170</f>
        <v>0</v>
      </c>
      <c r="M42" s="416">
        <f>'Initial unit rates'!M170</f>
        <v>0</v>
      </c>
      <c r="N42" s="416">
        <f>'Initial unit rates'!N170</f>
        <v>0</v>
      </c>
      <c r="O42" s="416">
        <f>'Initial unit rates'!O170</f>
        <v>0</v>
      </c>
      <c r="P42" s="416">
        <f>'Initial unit rates'!P170</f>
        <v>0</v>
      </c>
      <c r="Q42" s="416">
        <f>'Initial unit rates'!Q170</f>
        <v>0</v>
      </c>
      <c r="R42" s="416">
        <f>'Initial unit rates'!R170</f>
        <v>0</v>
      </c>
      <c r="S42" s="416">
        <f>'Initial unit rates'!S170</f>
        <v>0</v>
      </c>
      <c r="T42" s="416">
        <f>'Initial unit rates'!T170</f>
        <v>0</v>
      </c>
      <c r="U42" s="416">
        <f>'Initial unit rates'!U170</f>
        <v>0</v>
      </c>
      <c r="V42" s="416">
        <f>'Initial unit rates'!V170</f>
        <v>0</v>
      </c>
      <c r="W42" s="416">
        <f>'Initial unit rates'!W170</f>
        <v>0</v>
      </c>
      <c r="X42" s="416">
        <f>'Initial unit rates'!X170</f>
        <v>0</v>
      </c>
      <c r="Y42" s="416">
        <f>'Initial unit rates'!Y170</f>
        <v>0</v>
      </c>
      <c r="Z42" s="349"/>
      <c r="AA42" s="349"/>
    </row>
    <row r="43" spans="4:27" x14ac:dyDescent="0.25">
      <c r="D43" s="293"/>
      <c r="F43" s="293" t="s">
        <v>48</v>
      </c>
      <c r="G43" s="293" t="s">
        <v>183</v>
      </c>
      <c r="H43" s="349"/>
      <c r="I43" s="349"/>
      <c r="J43" s="416">
        <f>'Initial unit rates'!J171</f>
        <v>0.77694647884291601</v>
      </c>
      <c r="K43" s="416">
        <f>'Initial unit rates'!K171</f>
        <v>0.77694647884291601</v>
      </c>
      <c r="L43" s="416">
        <f>'Initial unit rates'!L171</f>
        <v>0.6847869941294602</v>
      </c>
      <c r="M43" s="416">
        <f>'Initial unit rates'!M171</f>
        <v>0.6847869941294602</v>
      </c>
      <c r="N43" s="416">
        <f>'Initial unit rates'!N171</f>
        <v>0.59979553649202222</v>
      </c>
      <c r="O43" s="416">
        <f>'Initial unit rates'!O171</f>
        <v>0.47974616845797791</v>
      </c>
      <c r="P43" s="416">
        <f>'Initial unit rates'!P171</f>
        <v>0.50051410176101319</v>
      </c>
      <c r="Q43" s="416">
        <f>'Initial unit rates'!Q171</f>
        <v>1.3634638686317913</v>
      </c>
      <c r="R43" s="416">
        <f>'Initial unit rates'!R171</f>
        <v>-0.52730879275544418</v>
      </c>
      <c r="S43" s="416">
        <f>'Initial unit rates'!S171</f>
        <v>-0.50598380481312843</v>
      </c>
      <c r="T43" s="416">
        <f>'Initial unit rates'!T171</f>
        <v>-0.52730879275544418</v>
      </c>
      <c r="U43" s="416">
        <f>'Initial unit rates'!U171</f>
        <v>-0.52730879275544418</v>
      </c>
      <c r="V43" s="416">
        <f>'Initial unit rates'!V171</f>
        <v>-0.50598380481312843</v>
      </c>
      <c r="W43" s="416">
        <f>'Initial unit rates'!W171</f>
        <v>-0.50598380481312843</v>
      </c>
      <c r="X43" s="416">
        <f>'Initial unit rates'!X171</f>
        <v>0</v>
      </c>
      <c r="Y43" s="416">
        <f>'Initial unit rates'!Y171</f>
        <v>0</v>
      </c>
      <c r="Z43" s="349"/>
      <c r="AA43" s="349"/>
    </row>
    <row r="44" spans="4:27" x14ac:dyDescent="0.25">
      <c r="D44" s="293"/>
      <c r="F44" s="293" t="s">
        <v>49</v>
      </c>
      <c r="G44" s="293" t="s">
        <v>183</v>
      </c>
      <c r="H44" s="349"/>
      <c r="I44" s="349"/>
      <c r="J44" s="416">
        <f>'Initial unit rates'!J172</f>
        <v>0.29289310994060852</v>
      </c>
      <c r="K44" s="416">
        <f>'Initial unit rates'!K172</f>
        <v>0.29289310994060852</v>
      </c>
      <c r="L44" s="416">
        <f>'Initial unit rates'!L172</f>
        <v>0.25815084799169313</v>
      </c>
      <c r="M44" s="416">
        <f>'Initial unit rates'!M172</f>
        <v>0.25815084799169313</v>
      </c>
      <c r="N44" s="416">
        <f>'Initial unit rates'!N172</f>
        <v>0.226110787287785</v>
      </c>
      <c r="O44" s="416">
        <f>'Initial unit rates'!O172</f>
        <v>0.18085460335828046</v>
      </c>
      <c r="P44" s="416">
        <f>'Initial unit rates'!P172</f>
        <v>0</v>
      </c>
      <c r="Q44" s="416">
        <f>'Initial unit rates'!Q172</f>
        <v>0.51399830445201045</v>
      </c>
      <c r="R44" s="416">
        <f>'Initial unit rates'!R172</f>
        <v>-0.19878475083532204</v>
      </c>
      <c r="S44" s="416">
        <f>'Initial unit rates'!S172</f>
        <v>0</v>
      </c>
      <c r="T44" s="416">
        <f>'Initial unit rates'!T172</f>
        <v>-0.19878475083532204</v>
      </c>
      <c r="U44" s="416">
        <f>'Initial unit rates'!U172</f>
        <v>-0.19878475083532204</v>
      </c>
      <c r="V44" s="416">
        <f>'Initial unit rates'!V172</f>
        <v>0</v>
      </c>
      <c r="W44" s="416">
        <f>'Initial unit rates'!W172</f>
        <v>0</v>
      </c>
      <c r="X44" s="416">
        <f>'Initial unit rates'!X172</f>
        <v>0</v>
      </c>
      <c r="Y44" s="416">
        <f>'Initial unit rates'!Y172</f>
        <v>0</v>
      </c>
      <c r="Z44" s="349"/>
      <c r="AA44" s="349"/>
    </row>
    <row r="45" spans="4:27" x14ac:dyDescent="0.25">
      <c r="D45" s="293"/>
      <c r="F45" s="293" t="s">
        <v>50</v>
      </c>
      <c r="G45" s="293" t="s">
        <v>183</v>
      </c>
      <c r="H45" s="349"/>
      <c r="I45" s="349"/>
      <c r="J45" s="416">
        <f>'Initial unit rates'!J173</f>
        <v>0.77096910785879347</v>
      </c>
      <c r="K45" s="416">
        <f>'Initial unit rates'!K173</f>
        <v>0.77096910785879347</v>
      </c>
      <c r="L45" s="416">
        <f>'Initial unit rates'!L173</f>
        <v>0.679518644223158</v>
      </c>
      <c r="M45" s="416">
        <f>'Initial unit rates'!M173</f>
        <v>0.679518644223158</v>
      </c>
      <c r="N45" s="416">
        <f>'Initial unit rates'!N173</f>
        <v>0.59518106106306745</v>
      </c>
      <c r="O45" s="416">
        <f>'Initial unit rates'!O173</f>
        <v>0</v>
      </c>
      <c r="P45" s="416">
        <f>'Initial unit rates'!P173</f>
        <v>0</v>
      </c>
      <c r="Q45" s="416">
        <f>'Initial unit rates'!Q173</f>
        <v>1.3529741764995908</v>
      </c>
      <c r="R45" s="416">
        <f>'Initial unit rates'!R173</f>
        <v>0</v>
      </c>
      <c r="S45" s="416">
        <f>'Initial unit rates'!S173</f>
        <v>0</v>
      </c>
      <c r="T45" s="416">
        <f>'Initial unit rates'!T173</f>
        <v>0</v>
      </c>
      <c r="U45" s="416">
        <f>'Initial unit rates'!U173</f>
        <v>0</v>
      </c>
      <c r="V45" s="416">
        <f>'Initial unit rates'!V173</f>
        <v>0</v>
      </c>
      <c r="W45" s="416">
        <f>'Initial unit rates'!W173</f>
        <v>0</v>
      </c>
      <c r="X45" s="416">
        <f>'Initial unit rates'!X173</f>
        <v>0</v>
      </c>
      <c r="Y45" s="416">
        <f>'Initial unit rates'!Y173</f>
        <v>0</v>
      </c>
      <c r="Z45" s="349"/>
      <c r="AA45" s="349"/>
    </row>
    <row r="46" spans="4:27" x14ac:dyDescent="0.25">
      <c r="D46" s="293"/>
      <c r="F46" s="91" t="s">
        <v>124</v>
      </c>
      <c r="G46" s="91" t="s">
        <v>183</v>
      </c>
      <c r="H46" s="347"/>
      <c r="I46" s="347" t="s">
        <v>359</v>
      </c>
      <c r="J46" s="359"/>
      <c r="K46" s="359"/>
      <c r="L46" s="359"/>
      <c r="M46" s="359"/>
      <c r="N46" s="359"/>
      <c r="O46" s="359"/>
      <c r="P46" s="359"/>
      <c r="Q46" s="358">
        <f>'Service model charges'!$Q$44</f>
        <v>2.207787019838531</v>
      </c>
      <c r="R46" s="359"/>
      <c r="S46" s="359"/>
      <c r="T46" s="359"/>
      <c r="U46" s="359"/>
      <c r="V46" s="359"/>
      <c r="W46" s="359"/>
      <c r="X46" s="359"/>
      <c r="Y46" s="359"/>
      <c r="Z46" s="349"/>
      <c r="AA46" s="349" t="s">
        <v>729</v>
      </c>
    </row>
    <row r="47" spans="4:27" x14ac:dyDescent="0.25">
      <c r="D47" s="293"/>
      <c r="F47" s="93" t="s">
        <v>123</v>
      </c>
      <c r="G47" s="93" t="s">
        <v>183</v>
      </c>
      <c r="H47" s="351"/>
      <c r="I47" s="351"/>
      <c r="J47" s="356"/>
      <c r="K47" s="356"/>
      <c r="L47" s="356"/>
      <c r="M47" s="356"/>
      <c r="N47" s="356"/>
      <c r="O47" s="356"/>
      <c r="P47" s="356"/>
      <c r="Q47" s="356"/>
      <c r="R47" s="356"/>
      <c r="S47" s="356"/>
      <c r="T47" s="356"/>
      <c r="U47" s="356"/>
      <c r="V47" s="356"/>
      <c r="W47" s="356"/>
      <c r="X47" s="356"/>
      <c r="Y47" s="356"/>
      <c r="Z47" s="349"/>
      <c r="AA47" s="349"/>
    </row>
    <row r="48" spans="4:27" x14ac:dyDescent="0.25">
      <c r="J48" s="252"/>
      <c r="K48" s="252"/>
      <c r="L48" s="252"/>
      <c r="M48" s="252"/>
      <c r="N48" s="252"/>
      <c r="O48" s="252"/>
      <c r="P48" s="252"/>
      <c r="Q48" s="252"/>
      <c r="R48" s="252"/>
      <c r="S48" s="252"/>
      <c r="T48" s="252"/>
      <c r="U48" s="252"/>
      <c r="V48" s="252"/>
      <c r="W48" s="252"/>
      <c r="X48" s="252"/>
      <c r="Y48" s="252"/>
    </row>
    <row r="49" spans="3:27" x14ac:dyDescent="0.25">
      <c r="C49" s="7" t="str">
        <f ca="1">INDEX('Version control'!$H$35:$H$61,MATCH($A$1,'Version control'!$F$35:$F$61,0),1)&amp;"-B: Initial unit rate 2"</f>
        <v>Section 514-B: Initial unit rate 2</v>
      </c>
      <c r="D49" s="7"/>
      <c r="E49" s="7"/>
      <c r="F49" s="7"/>
      <c r="G49" s="7"/>
      <c r="H49" s="7"/>
      <c r="I49" s="7"/>
      <c r="J49" s="242"/>
      <c r="K49" s="242"/>
      <c r="L49" s="242"/>
      <c r="M49" s="242"/>
      <c r="N49" s="242"/>
      <c r="O49" s="242"/>
      <c r="P49" s="242"/>
      <c r="Q49" s="242"/>
      <c r="R49" s="242"/>
      <c r="S49" s="242"/>
      <c r="T49" s="242"/>
      <c r="U49" s="242"/>
      <c r="V49" s="242"/>
      <c r="W49" s="242"/>
      <c r="X49" s="242"/>
      <c r="Y49" s="242"/>
      <c r="Z49" s="7"/>
      <c r="AA49" s="7"/>
    </row>
    <row r="50" spans="3:27" x14ac:dyDescent="0.25">
      <c r="C50" s="96"/>
      <c r="D50" s="293"/>
      <c r="E50" s="96"/>
      <c r="J50" s="252"/>
      <c r="K50" s="252"/>
      <c r="L50" s="252"/>
      <c r="M50" s="252"/>
      <c r="N50" s="252"/>
      <c r="O50" s="252"/>
      <c r="P50" s="252"/>
      <c r="Q50" s="252"/>
      <c r="R50" s="252"/>
      <c r="S50" s="252"/>
      <c r="T50" s="252"/>
      <c r="U50" s="252"/>
      <c r="V50" s="252"/>
      <c r="W50" s="252"/>
      <c r="X50" s="252"/>
      <c r="Y50" s="252"/>
    </row>
    <row r="51" spans="3:27" x14ac:dyDescent="0.25">
      <c r="D51" s="293"/>
      <c r="E51" s="96" t="s">
        <v>139</v>
      </c>
      <c r="J51" s="252"/>
      <c r="K51" s="252"/>
      <c r="L51" s="252"/>
      <c r="M51" s="252"/>
      <c r="N51" s="252"/>
      <c r="O51" s="252"/>
      <c r="P51" s="252"/>
      <c r="Q51" s="252"/>
      <c r="R51" s="252"/>
      <c r="S51" s="252"/>
      <c r="T51" s="252"/>
      <c r="U51" s="252"/>
      <c r="V51" s="252"/>
      <c r="W51" s="252"/>
      <c r="X51" s="252"/>
      <c r="Y51" s="252"/>
    </row>
    <row r="52" spans="3:27" x14ac:dyDescent="0.25">
      <c r="D52" s="293"/>
      <c r="F52" s="91" t="s">
        <v>267</v>
      </c>
      <c r="G52" s="91" t="s">
        <v>183</v>
      </c>
      <c r="H52" s="347"/>
      <c r="I52" s="347"/>
      <c r="J52" s="358">
        <f>'Initial unit rates'!J181</f>
        <v>0</v>
      </c>
      <c r="K52" s="358">
        <f>'Initial unit rates'!K181</f>
        <v>0</v>
      </c>
      <c r="L52" s="358">
        <f>'Initial unit rates'!L181</f>
        <v>0</v>
      </c>
      <c r="M52" s="358">
        <f>'Initial unit rates'!M181</f>
        <v>0</v>
      </c>
      <c r="N52" s="358">
        <f>'Initial unit rates'!N181</f>
        <v>0</v>
      </c>
      <c r="O52" s="358">
        <f>'Initial unit rates'!O181</f>
        <v>0</v>
      </c>
      <c r="P52" s="358">
        <f>'Initial unit rates'!P181</f>
        <v>0</v>
      </c>
      <c r="Q52" s="358">
        <f>'Initial unit rates'!Q181</f>
        <v>0</v>
      </c>
      <c r="R52" s="358">
        <f>'Initial unit rates'!R181</f>
        <v>0</v>
      </c>
      <c r="S52" s="358">
        <f>'Initial unit rates'!S181</f>
        <v>0</v>
      </c>
      <c r="T52" s="358">
        <f>'Initial unit rates'!T181</f>
        <v>0</v>
      </c>
      <c r="U52" s="358">
        <f>'Initial unit rates'!U181</f>
        <v>0</v>
      </c>
      <c r="V52" s="358">
        <f>'Initial unit rates'!V181</f>
        <v>0</v>
      </c>
      <c r="W52" s="358">
        <f>'Initial unit rates'!W181</f>
        <v>0</v>
      </c>
      <c r="X52" s="358">
        <f>'Initial unit rates'!X181</f>
        <v>0</v>
      </c>
      <c r="Y52" s="358">
        <f>'Initial unit rates'!Y181</f>
        <v>0</v>
      </c>
      <c r="Z52" s="349"/>
      <c r="AA52" s="349"/>
    </row>
    <row r="53" spans="3:27" x14ac:dyDescent="0.25">
      <c r="D53" s="293"/>
      <c r="F53" s="293" t="s">
        <v>43</v>
      </c>
      <c r="G53" s="293" t="s">
        <v>183</v>
      </c>
      <c r="H53" s="349"/>
      <c r="I53" s="349"/>
      <c r="J53" s="416">
        <f>'Initial unit rates'!J182</f>
        <v>0</v>
      </c>
      <c r="K53" s="416">
        <f>'Initial unit rates'!K182</f>
        <v>0</v>
      </c>
      <c r="L53" s="416">
        <f>'Initial unit rates'!L182</f>
        <v>0</v>
      </c>
      <c r="M53" s="416">
        <f>'Initial unit rates'!M182</f>
        <v>0</v>
      </c>
      <c r="N53" s="416">
        <f>'Initial unit rates'!N182</f>
        <v>0</v>
      </c>
      <c r="O53" s="416">
        <f>'Initial unit rates'!O182</f>
        <v>0</v>
      </c>
      <c r="P53" s="416">
        <f>'Initial unit rates'!P182</f>
        <v>0</v>
      </c>
      <c r="Q53" s="416">
        <f>'Initial unit rates'!Q182</f>
        <v>0</v>
      </c>
      <c r="R53" s="416">
        <f>'Initial unit rates'!R182</f>
        <v>0</v>
      </c>
      <c r="S53" s="416">
        <f>'Initial unit rates'!S182</f>
        <v>0</v>
      </c>
      <c r="T53" s="416">
        <f>'Initial unit rates'!T182</f>
        <v>0</v>
      </c>
      <c r="U53" s="416">
        <f>'Initial unit rates'!U182</f>
        <v>0</v>
      </c>
      <c r="V53" s="416">
        <f>'Initial unit rates'!V182</f>
        <v>0</v>
      </c>
      <c r="W53" s="416">
        <f>'Initial unit rates'!W182</f>
        <v>0</v>
      </c>
      <c r="X53" s="416">
        <f>'Initial unit rates'!X182</f>
        <v>0</v>
      </c>
      <c r="Y53" s="416">
        <f>'Initial unit rates'!Y182</f>
        <v>0</v>
      </c>
      <c r="Z53" s="349"/>
      <c r="AA53" s="349"/>
    </row>
    <row r="54" spans="3:27" x14ac:dyDescent="0.25">
      <c r="D54" s="293"/>
      <c r="F54" s="293" t="s">
        <v>44</v>
      </c>
      <c r="G54" s="293" t="s">
        <v>183</v>
      </c>
      <c r="H54" s="349"/>
      <c r="I54" s="349"/>
      <c r="J54" s="416">
        <f>'Initial unit rates'!J183</f>
        <v>9.7569452457066774E-2</v>
      </c>
      <c r="K54" s="416">
        <f>'Initial unit rates'!K183</f>
        <v>9.7569452457066774E-2</v>
      </c>
      <c r="L54" s="416">
        <f>'Initial unit rates'!L183</f>
        <v>8.5996003439563345E-2</v>
      </c>
      <c r="M54" s="416">
        <f>'Initial unit rates'!M183</f>
        <v>8.5996003439563345E-2</v>
      </c>
      <c r="N54" s="416">
        <f>'Initial unit rates'!N183</f>
        <v>7.53227200010919E-2</v>
      </c>
      <c r="O54" s="416">
        <f>'Initial unit rates'!O183</f>
        <v>6.0246840998019933E-2</v>
      </c>
      <c r="P54" s="416">
        <f>'Initial unit rates'!P183</f>
        <v>6.2854891792020265E-2</v>
      </c>
      <c r="Q54" s="416">
        <f>'Initial unit rates'!Q183</f>
        <v>7.0050860641687335E-2</v>
      </c>
      <c r="R54" s="416">
        <f>'Initial unit rates'!R183</f>
        <v>-6.6219786801231723E-2</v>
      </c>
      <c r="S54" s="416">
        <f>'Initial unit rates'!S183</f>
        <v>-6.3541780717358373E-2</v>
      </c>
      <c r="T54" s="416">
        <f>'Initial unit rates'!T183</f>
        <v>-6.6219786801231723E-2</v>
      </c>
      <c r="U54" s="416">
        <f>'Initial unit rates'!U183</f>
        <v>-6.6219786801231723E-2</v>
      </c>
      <c r="V54" s="416">
        <f>'Initial unit rates'!V183</f>
        <v>-6.3541780717358373E-2</v>
      </c>
      <c r="W54" s="416">
        <f>'Initial unit rates'!W183</f>
        <v>-6.3541780717358373E-2</v>
      </c>
      <c r="X54" s="416">
        <f>'Initial unit rates'!X183</f>
        <v>-6.2628824097856084E-2</v>
      </c>
      <c r="Y54" s="416">
        <f>'Initial unit rates'!Y183</f>
        <v>-6.2628824097856084E-2</v>
      </c>
      <c r="Z54" s="349"/>
      <c r="AA54" s="349"/>
    </row>
    <row r="55" spans="3:27" x14ac:dyDescent="0.25">
      <c r="D55" s="293"/>
      <c r="F55" s="293" t="s">
        <v>45</v>
      </c>
      <c r="G55" s="293" t="s">
        <v>183</v>
      </c>
      <c r="H55" s="349"/>
      <c r="I55" s="349"/>
      <c r="J55" s="416">
        <f>'Initial unit rates'!J184</f>
        <v>2.5245887456835876E-2</v>
      </c>
      <c r="K55" s="416">
        <f>'Initial unit rates'!K184</f>
        <v>2.5245887456835876E-2</v>
      </c>
      <c r="L55" s="416">
        <f>'Initial unit rates'!L184</f>
        <v>2.2251282239471478E-2</v>
      </c>
      <c r="M55" s="416">
        <f>'Initial unit rates'!M184</f>
        <v>2.2251282239471478E-2</v>
      </c>
      <c r="N55" s="416">
        <f>'Initial unit rates'!N184</f>
        <v>1.9489592943314687E-2</v>
      </c>
      <c r="O55" s="416">
        <f>'Initial unit rates'!O184</f>
        <v>1.5588741446870084E-2</v>
      </c>
      <c r="P55" s="416">
        <f>'Initial unit rates'!P184</f>
        <v>1.626356902014171E-2</v>
      </c>
      <c r="Q55" s="416">
        <f>'Initial unit rates'!Q184</f>
        <v>1.8125510592495318E-2</v>
      </c>
      <c r="R55" s="416">
        <f>'Initial unit rates'!R184</f>
        <v>-1.7134228417805146E-2</v>
      </c>
      <c r="S55" s="416">
        <f>'Initial unit rates'!S184</f>
        <v>-1.6441300062673324E-2</v>
      </c>
      <c r="T55" s="416">
        <f>'Initial unit rates'!T184</f>
        <v>-1.7134228417805146E-2</v>
      </c>
      <c r="U55" s="416">
        <f>'Initial unit rates'!U184</f>
        <v>-1.7134228417805146E-2</v>
      </c>
      <c r="V55" s="416">
        <f>'Initial unit rates'!V184</f>
        <v>-1.6441300062673324E-2</v>
      </c>
      <c r="W55" s="416">
        <f>'Initial unit rates'!W184</f>
        <v>-1.6441300062673324E-2</v>
      </c>
      <c r="X55" s="416">
        <f>'Initial unit rates'!X184</f>
        <v>-1.6205074487060194E-2</v>
      </c>
      <c r="Y55" s="416">
        <f>'Initial unit rates'!Y184</f>
        <v>-1.6205074487060194E-2</v>
      </c>
      <c r="Z55" s="349"/>
      <c r="AA55" s="349"/>
    </row>
    <row r="56" spans="3:27" x14ac:dyDescent="0.25">
      <c r="D56" s="293"/>
      <c r="F56" s="293" t="s">
        <v>46</v>
      </c>
      <c r="G56" s="293" t="s">
        <v>183</v>
      </c>
      <c r="H56" s="349"/>
      <c r="I56" s="349"/>
      <c r="J56" s="416">
        <f>'Initial unit rates'!J185</f>
        <v>0.10356999237063987</v>
      </c>
      <c r="K56" s="416">
        <f>'Initial unit rates'!K185</f>
        <v>0.10356999237063987</v>
      </c>
      <c r="L56" s="416">
        <f>'Initial unit rates'!L185</f>
        <v>9.1284774033760646E-2</v>
      </c>
      <c r="M56" s="416">
        <f>'Initial unit rates'!M185</f>
        <v>9.1284774033760646E-2</v>
      </c>
      <c r="N56" s="416">
        <f>'Initial unit rates'!N185</f>
        <v>7.9955081630509892E-2</v>
      </c>
      <c r="O56" s="416">
        <f>'Initial unit rates'!O185</f>
        <v>6.3952033196719466E-2</v>
      </c>
      <c r="P56" s="416">
        <f>'Initial unit rates'!P185</f>
        <v>6.5223412317614082E-2</v>
      </c>
      <c r="Q56" s="416">
        <f>'Initial unit rates'!Q185</f>
        <v>6.8124743485273684E-2</v>
      </c>
      <c r="R56" s="416">
        <f>'Initial unit rates'!R185</f>
        <v>-7.0292316304704519E-2</v>
      </c>
      <c r="S56" s="416">
        <f>'Initial unit rates'!S185</f>
        <v>-6.7449612336499543E-2</v>
      </c>
      <c r="T56" s="416">
        <f>'Initial unit rates'!T185</f>
        <v>-7.0292316304704519E-2</v>
      </c>
      <c r="U56" s="416">
        <f>'Initial unit rates'!U185</f>
        <v>-7.0292316304704519E-2</v>
      </c>
      <c r="V56" s="416">
        <f>'Initial unit rates'!V185</f>
        <v>-6.7449612336499543E-2</v>
      </c>
      <c r="W56" s="416">
        <f>'Initial unit rates'!W185</f>
        <v>-6.7449612336499543E-2</v>
      </c>
      <c r="X56" s="416">
        <f>'Initial unit rates'!X185</f>
        <v>-6.4988825859698424E-2</v>
      </c>
      <c r="Y56" s="416">
        <f>'Initial unit rates'!Y185</f>
        <v>-6.4988825859698424E-2</v>
      </c>
      <c r="Z56" s="349"/>
      <c r="AA56" s="349"/>
    </row>
    <row r="57" spans="3:27" x14ac:dyDescent="0.25">
      <c r="D57" s="293"/>
      <c r="F57" s="293" t="s">
        <v>47</v>
      </c>
      <c r="G57" s="293" t="s">
        <v>183</v>
      </c>
      <c r="H57" s="349"/>
      <c r="I57" s="349"/>
      <c r="J57" s="416">
        <f>'Initial unit rates'!J186</f>
        <v>7.2382380394472284E-2</v>
      </c>
      <c r="K57" s="416">
        <f>'Initial unit rates'!K186</f>
        <v>7.2382380394472284E-2</v>
      </c>
      <c r="L57" s="416">
        <f>'Initial unit rates'!L186</f>
        <v>6.379656005659981E-2</v>
      </c>
      <c r="M57" s="416">
        <f>'Initial unit rates'!M186</f>
        <v>6.379656005659981E-2</v>
      </c>
      <c r="N57" s="416">
        <f>'Initial unit rates'!N186</f>
        <v>5.587853200123679E-2</v>
      </c>
      <c r="O57" s="416">
        <f>'Initial unit rates'!O186</f>
        <v>4.4694416673116438E-2</v>
      </c>
      <c r="P57" s="416">
        <f>'Initial unit rates'!P186</f>
        <v>4.462275420019967E-2</v>
      </c>
      <c r="Q57" s="416">
        <f>'Initial unit rates'!Q186</f>
        <v>4.761061562677861E-2</v>
      </c>
      <c r="R57" s="416">
        <f>'Initial unit rates'!R186</f>
        <v>-4.9125476029464488E-2</v>
      </c>
      <c r="S57" s="416">
        <f>'Initial unit rates'!S186</f>
        <v>-4.7138783984155261E-2</v>
      </c>
      <c r="T57" s="416">
        <f>'Initial unit rates'!T186</f>
        <v>-4.9125476029464488E-2</v>
      </c>
      <c r="U57" s="416">
        <f>'Initial unit rates'!U186</f>
        <v>-4.9125476029464488E-2</v>
      </c>
      <c r="V57" s="416">
        <f>'Initial unit rates'!V186</f>
        <v>-4.7138783984155261E-2</v>
      </c>
      <c r="W57" s="416">
        <f>'Initial unit rates'!W186</f>
        <v>-4.7138783984155261E-2</v>
      </c>
      <c r="X57" s="416">
        <f>'Initial unit rates'!X186</f>
        <v>-4.4462261311552703E-2</v>
      </c>
      <c r="Y57" s="416">
        <f>'Initial unit rates'!Y186</f>
        <v>-4.4462261311552703E-2</v>
      </c>
      <c r="Z57" s="349"/>
      <c r="AA57" s="349"/>
    </row>
    <row r="58" spans="3:27" x14ac:dyDescent="0.25">
      <c r="D58" s="293"/>
      <c r="F58" s="293" t="s">
        <v>51</v>
      </c>
      <c r="G58" s="293" t="s">
        <v>183</v>
      </c>
      <c r="H58" s="349"/>
      <c r="I58" s="349"/>
      <c r="J58" s="416">
        <f>'Initial unit rates'!J187</f>
        <v>0</v>
      </c>
      <c r="K58" s="416">
        <f>'Initial unit rates'!K187</f>
        <v>0</v>
      </c>
      <c r="L58" s="416">
        <f>'Initial unit rates'!L187</f>
        <v>0</v>
      </c>
      <c r="M58" s="416">
        <f>'Initial unit rates'!M187</f>
        <v>0</v>
      </c>
      <c r="N58" s="416">
        <f>'Initial unit rates'!N187</f>
        <v>0</v>
      </c>
      <c r="O58" s="416">
        <f>'Initial unit rates'!O187</f>
        <v>0</v>
      </c>
      <c r="P58" s="416">
        <f>'Initial unit rates'!P187</f>
        <v>0</v>
      </c>
      <c r="Q58" s="416">
        <f>'Initial unit rates'!Q187</f>
        <v>0</v>
      </c>
      <c r="R58" s="416">
        <f>'Initial unit rates'!R187</f>
        <v>0</v>
      </c>
      <c r="S58" s="416">
        <f>'Initial unit rates'!S187</f>
        <v>0</v>
      </c>
      <c r="T58" s="416">
        <f>'Initial unit rates'!T187</f>
        <v>0</v>
      </c>
      <c r="U58" s="416">
        <f>'Initial unit rates'!U187</f>
        <v>0</v>
      </c>
      <c r="V58" s="416">
        <f>'Initial unit rates'!V187</f>
        <v>0</v>
      </c>
      <c r="W58" s="416">
        <f>'Initial unit rates'!W187</f>
        <v>0</v>
      </c>
      <c r="X58" s="416">
        <f>'Initial unit rates'!X187</f>
        <v>0</v>
      </c>
      <c r="Y58" s="416">
        <f>'Initial unit rates'!Y187</f>
        <v>0</v>
      </c>
      <c r="Z58" s="349"/>
      <c r="AA58" s="349"/>
    </row>
    <row r="59" spans="3:27" x14ac:dyDescent="0.25">
      <c r="D59" s="293"/>
      <c r="F59" s="293" t="s">
        <v>48</v>
      </c>
      <c r="G59" s="293" t="s">
        <v>183</v>
      </c>
      <c r="H59" s="349"/>
      <c r="I59" s="349"/>
      <c r="J59" s="416">
        <f>'Initial unit rates'!J188</f>
        <v>0.25167474982228627</v>
      </c>
      <c r="K59" s="416">
        <f>'Initial unit rates'!K188</f>
        <v>0.25167474982228627</v>
      </c>
      <c r="L59" s="416">
        <f>'Initial unit rates'!L188</f>
        <v>0.22182170860179923</v>
      </c>
      <c r="M59" s="416">
        <f>'Initial unit rates'!M188</f>
        <v>0.22182170860179923</v>
      </c>
      <c r="N59" s="416">
        <f>'Initial unit rates'!N188</f>
        <v>0.19429059234036838</v>
      </c>
      <c r="O59" s="416">
        <f>'Initial unit rates'!O188</f>
        <v>0.15540323588913948</v>
      </c>
      <c r="P59" s="416">
        <f>'Initial unit rates'!P188</f>
        <v>0.15238756856168284</v>
      </c>
      <c r="Q59" s="416">
        <f>'Initial unit rates'!Q188</f>
        <v>0.15943587810582294</v>
      </c>
      <c r="R59" s="416">
        <f>'Initial unit rates'!R188</f>
        <v>-0.17081010353951256</v>
      </c>
      <c r="S59" s="416">
        <f>'Initial unit rates'!S188</f>
        <v>-0.1639023419993117</v>
      </c>
      <c r="T59" s="416">
        <f>'Initial unit rates'!T188</f>
        <v>-0.17081010353951256</v>
      </c>
      <c r="U59" s="416">
        <f>'Initial unit rates'!U188</f>
        <v>-0.17081010353951256</v>
      </c>
      <c r="V59" s="416">
        <f>'Initial unit rates'!V188</f>
        <v>-0.1639023419993117</v>
      </c>
      <c r="W59" s="416">
        <f>'Initial unit rates'!W188</f>
        <v>-0.1639023419993117</v>
      </c>
      <c r="X59" s="416">
        <f>'Initial unit rates'!X188</f>
        <v>0</v>
      </c>
      <c r="Y59" s="416">
        <f>'Initial unit rates'!Y188</f>
        <v>0</v>
      </c>
      <c r="Z59" s="349"/>
      <c r="AA59" s="349"/>
    </row>
    <row r="60" spans="3:27" x14ac:dyDescent="0.25">
      <c r="D60" s="293"/>
      <c r="F60" s="293" t="s">
        <v>49</v>
      </c>
      <c r="G60" s="293" t="s">
        <v>183</v>
      </c>
      <c r="H60" s="349"/>
      <c r="I60" s="349"/>
      <c r="J60" s="416">
        <f>'Initial unit rates'!J189</f>
        <v>8.3349973031201327E-2</v>
      </c>
      <c r="K60" s="416">
        <f>'Initial unit rates'!K189</f>
        <v>8.3349973031201327E-2</v>
      </c>
      <c r="L60" s="416">
        <f>'Initial unit rates'!L189</f>
        <v>7.3463203768953322E-2</v>
      </c>
      <c r="M60" s="416">
        <f>'Initial unit rates'!M189</f>
        <v>7.3463203768953322E-2</v>
      </c>
      <c r="N60" s="416">
        <f>'Initial unit rates'!N189</f>
        <v>6.4345412653517689E-2</v>
      </c>
      <c r="O60" s="416">
        <f>'Initial unit rates'!O189</f>
        <v>5.1466647049286905E-2</v>
      </c>
      <c r="P60" s="416">
        <f>'Initial unit rates'!P189</f>
        <v>0</v>
      </c>
      <c r="Q60" s="416">
        <f>'Initial unit rates'!Q189</f>
        <v>5.2802182776420431E-2</v>
      </c>
      <c r="R60" s="416">
        <f>'Initial unit rates'!R189</f>
        <v>-5.6569113641826159E-2</v>
      </c>
      <c r="S60" s="416">
        <f>'Initial unit rates'!S189</f>
        <v>0</v>
      </c>
      <c r="T60" s="416">
        <f>'Initial unit rates'!T189</f>
        <v>-5.6569113641826159E-2</v>
      </c>
      <c r="U60" s="416">
        <f>'Initial unit rates'!U189</f>
        <v>-5.6569113641826159E-2</v>
      </c>
      <c r="V60" s="416">
        <f>'Initial unit rates'!V189</f>
        <v>0</v>
      </c>
      <c r="W60" s="416">
        <f>'Initial unit rates'!W189</f>
        <v>0</v>
      </c>
      <c r="X60" s="416">
        <f>'Initial unit rates'!X189</f>
        <v>0</v>
      </c>
      <c r="Y60" s="416">
        <f>'Initial unit rates'!Y189</f>
        <v>0</v>
      </c>
      <c r="Z60" s="349"/>
      <c r="AA60" s="349"/>
    </row>
    <row r="61" spans="3:27" x14ac:dyDescent="0.25">
      <c r="D61" s="293"/>
      <c r="F61" s="293" t="s">
        <v>50</v>
      </c>
      <c r="G61" s="293" t="s">
        <v>183</v>
      </c>
      <c r="H61" s="349"/>
      <c r="I61" s="349"/>
      <c r="J61" s="416">
        <f>'Initial unit rates'!J190</f>
        <v>1.6762118376473355E-2</v>
      </c>
      <c r="K61" s="416">
        <f>'Initial unit rates'!K190</f>
        <v>1.6762118376473355E-2</v>
      </c>
      <c r="L61" s="416">
        <f>'Initial unit rates'!L190</f>
        <v>1.4773837028468094E-2</v>
      </c>
      <c r="M61" s="416">
        <f>'Initial unit rates'!M190</f>
        <v>1.4773837028468094E-2</v>
      </c>
      <c r="N61" s="416">
        <f>'Initial unit rates'!N190</f>
        <v>1.2940201234108842E-2</v>
      </c>
      <c r="O61" s="416">
        <f>'Initial unit rates'!O190</f>
        <v>0</v>
      </c>
      <c r="P61" s="416">
        <f>'Initial unit rates'!P190</f>
        <v>0</v>
      </c>
      <c r="Q61" s="416">
        <f>'Initial unit rates'!Q190</f>
        <v>1.0618796935941673E-2</v>
      </c>
      <c r="R61" s="416">
        <f>'Initial unit rates'!R190</f>
        <v>0</v>
      </c>
      <c r="S61" s="416">
        <f>'Initial unit rates'!S190</f>
        <v>0</v>
      </c>
      <c r="T61" s="416">
        <f>'Initial unit rates'!T190</f>
        <v>0</v>
      </c>
      <c r="U61" s="416">
        <f>'Initial unit rates'!U190</f>
        <v>0</v>
      </c>
      <c r="V61" s="416">
        <f>'Initial unit rates'!V190</f>
        <v>0</v>
      </c>
      <c r="W61" s="416">
        <f>'Initial unit rates'!W190</f>
        <v>0</v>
      </c>
      <c r="X61" s="416">
        <f>'Initial unit rates'!X190</f>
        <v>0</v>
      </c>
      <c r="Y61" s="416">
        <f>'Initial unit rates'!Y190</f>
        <v>0</v>
      </c>
      <c r="Z61" s="349"/>
      <c r="AA61" s="349"/>
    </row>
    <row r="62" spans="3:27" x14ac:dyDescent="0.25">
      <c r="D62" s="293"/>
      <c r="F62" s="91" t="s">
        <v>124</v>
      </c>
      <c r="G62" s="91" t="s">
        <v>183</v>
      </c>
      <c r="H62" s="347"/>
      <c r="I62" s="347"/>
      <c r="J62" s="359"/>
      <c r="K62" s="359"/>
      <c r="L62" s="359"/>
      <c r="M62" s="359"/>
      <c r="N62" s="359"/>
      <c r="O62" s="359"/>
      <c r="P62" s="359"/>
      <c r="Q62" s="359"/>
      <c r="R62" s="359"/>
      <c r="S62" s="359"/>
      <c r="T62" s="359"/>
      <c r="U62" s="359"/>
      <c r="V62" s="359"/>
      <c r="W62" s="359"/>
      <c r="X62" s="359"/>
      <c r="Y62" s="359"/>
      <c r="Z62" s="349"/>
      <c r="AA62" s="349"/>
    </row>
    <row r="63" spans="3:27" x14ac:dyDescent="0.25">
      <c r="D63" s="293"/>
      <c r="F63" s="93" t="s">
        <v>123</v>
      </c>
      <c r="G63" s="93" t="s">
        <v>183</v>
      </c>
      <c r="H63" s="351"/>
      <c r="I63" s="351"/>
      <c r="J63" s="356"/>
      <c r="K63" s="356"/>
      <c r="L63" s="356"/>
      <c r="M63" s="356"/>
      <c r="N63" s="356"/>
      <c r="O63" s="356"/>
      <c r="P63" s="356"/>
      <c r="Q63" s="356"/>
      <c r="R63" s="356"/>
      <c r="S63" s="356"/>
      <c r="T63" s="356"/>
      <c r="U63" s="356"/>
      <c r="V63" s="356"/>
      <c r="W63" s="356"/>
      <c r="X63" s="356"/>
      <c r="Y63" s="356"/>
      <c r="Z63" s="349"/>
      <c r="AA63" s="349"/>
    </row>
    <row r="64" spans="3:27" x14ac:dyDescent="0.25">
      <c r="D64" s="293"/>
      <c r="J64" s="252"/>
      <c r="K64" s="252"/>
      <c r="L64" s="252"/>
      <c r="M64" s="252"/>
      <c r="N64" s="252"/>
      <c r="O64" s="252"/>
      <c r="P64" s="252"/>
      <c r="Q64" s="252"/>
      <c r="R64" s="252"/>
      <c r="S64" s="252"/>
      <c r="T64" s="252"/>
      <c r="U64" s="252"/>
      <c r="V64" s="252"/>
      <c r="W64" s="252"/>
      <c r="X64" s="252"/>
      <c r="Y64" s="252"/>
    </row>
    <row r="65" spans="3:27" x14ac:dyDescent="0.25">
      <c r="D65" s="293"/>
      <c r="E65" s="96" t="s">
        <v>116</v>
      </c>
      <c r="J65" s="252"/>
      <c r="K65" s="252"/>
      <c r="L65" s="252"/>
      <c r="M65" s="252"/>
      <c r="N65" s="252"/>
      <c r="O65" s="252"/>
      <c r="P65" s="252"/>
      <c r="Q65" s="252"/>
      <c r="R65" s="252"/>
      <c r="S65" s="252"/>
      <c r="T65" s="252"/>
      <c r="U65" s="252"/>
      <c r="V65" s="252"/>
      <c r="W65" s="252"/>
      <c r="X65" s="252"/>
      <c r="Y65" s="252"/>
    </row>
    <row r="66" spans="3:27" x14ac:dyDescent="0.25">
      <c r="D66" s="293"/>
      <c r="F66" s="91" t="s">
        <v>267</v>
      </c>
      <c r="G66" s="91" t="s">
        <v>183</v>
      </c>
      <c r="H66" s="347"/>
      <c r="I66" s="347"/>
      <c r="J66" s="358">
        <f>'Initial unit rates'!J193</f>
        <v>1.4835275665975986E-2</v>
      </c>
      <c r="K66" s="358">
        <f>'Initial unit rates'!K193</f>
        <v>1.4835275665975986E-2</v>
      </c>
      <c r="L66" s="358">
        <f>'Initial unit rates'!L193</f>
        <v>1.3075551671866938E-2</v>
      </c>
      <c r="M66" s="358">
        <f>'Initial unit rates'!M193</f>
        <v>1.3075551671866938E-2</v>
      </c>
      <c r="N66" s="358">
        <f>'Initial unit rates'!N193</f>
        <v>1.1452696381780172E-2</v>
      </c>
      <c r="O66" s="358">
        <f>'Initial unit rates'!O193</f>
        <v>9.1604336367792603E-3</v>
      </c>
      <c r="P66" s="358">
        <f>'Initial unit rates'!P193</f>
        <v>9.5569834943987648E-3</v>
      </c>
      <c r="Q66" s="358">
        <f>'Initial unit rates'!Q193</f>
        <v>1.9442922775271813E-2</v>
      </c>
      <c r="R66" s="358">
        <f>'Initial unit rates'!R193</f>
        <v>-1.0068610277081431E-2</v>
      </c>
      <c r="S66" s="358">
        <f>'Initial unit rates'!S193</f>
        <v>-9.6614238320524015E-3</v>
      </c>
      <c r="T66" s="358">
        <f>'Initial unit rates'!T193</f>
        <v>-1.0068610277081431E-2</v>
      </c>
      <c r="U66" s="358">
        <f>'Initial unit rates'!U193</f>
        <v>-1.0068610277081431E-2</v>
      </c>
      <c r="V66" s="358">
        <f>'Initial unit rates'!V193</f>
        <v>-9.6614238320524015E-3</v>
      </c>
      <c r="W66" s="358">
        <f>'Initial unit rates'!W193</f>
        <v>-9.6614238320524015E-3</v>
      </c>
      <c r="X66" s="358">
        <f>'Initial unit rates'!X193</f>
        <v>-9.5226102712470517E-3</v>
      </c>
      <c r="Y66" s="358">
        <f>'Initial unit rates'!Y193</f>
        <v>-9.5226102712470517E-3</v>
      </c>
      <c r="Z66" s="349"/>
      <c r="AA66" s="349"/>
    </row>
    <row r="67" spans="3:27" x14ac:dyDescent="0.25">
      <c r="D67" s="293"/>
      <c r="F67" s="293" t="s">
        <v>43</v>
      </c>
      <c r="G67" s="293" t="s">
        <v>183</v>
      </c>
      <c r="H67" s="349"/>
      <c r="I67" s="349"/>
      <c r="J67" s="416">
        <f>'Initial unit rates'!J194</f>
        <v>0</v>
      </c>
      <c r="K67" s="416">
        <f>'Initial unit rates'!K194</f>
        <v>0</v>
      </c>
      <c r="L67" s="416">
        <f>'Initial unit rates'!L194</f>
        <v>0</v>
      </c>
      <c r="M67" s="416">
        <f>'Initial unit rates'!M194</f>
        <v>0</v>
      </c>
      <c r="N67" s="416">
        <f>'Initial unit rates'!N194</f>
        <v>0</v>
      </c>
      <c r="O67" s="416">
        <f>'Initial unit rates'!O194</f>
        <v>0</v>
      </c>
      <c r="P67" s="416">
        <f>'Initial unit rates'!P194</f>
        <v>0</v>
      </c>
      <c r="Q67" s="416">
        <f>'Initial unit rates'!Q194</f>
        <v>0</v>
      </c>
      <c r="R67" s="416">
        <f>'Initial unit rates'!R194</f>
        <v>0</v>
      </c>
      <c r="S67" s="416">
        <f>'Initial unit rates'!S194</f>
        <v>0</v>
      </c>
      <c r="T67" s="416">
        <f>'Initial unit rates'!T194</f>
        <v>0</v>
      </c>
      <c r="U67" s="416">
        <f>'Initial unit rates'!U194</f>
        <v>0</v>
      </c>
      <c r="V67" s="416">
        <f>'Initial unit rates'!V194</f>
        <v>0</v>
      </c>
      <c r="W67" s="416">
        <f>'Initial unit rates'!W194</f>
        <v>0</v>
      </c>
      <c r="X67" s="416">
        <f>'Initial unit rates'!X194</f>
        <v>0</v>
      </c>
      <c r="Y67" s="416">
        <f>'Initial unit rates'!Y194</f>
        <v>0</v>
      </c>
      <c r="Z67" s="349"/>
      <c r="AA67" s="349"/>
    </row>
    <row r="68" spans="3:27" x14ac:dyDescent="0.25">
      <c r="D68" s="293"/>
      <c r="F68" s="293" t="s">
        <v>44</v>
      </c>
      <c r="G68" s="293" t="s">
        <v>183</v>
      </c>
      <c r="H68" s="349"/>
      <c r="I68" s="349"/>
      <c r="J68" s="416">
        <f>'Initial unit rates'!J195</f>
        <v>5.4867375122544804E-2</v>
      </c>
      <c r="K68" s="416">
        <f>'Initial unit rates'!K195</f>
        <v>5.4867375122544804E-2</v>
      </c>
      <c r="L68" s="416">
        <f>'Initial unit rates'!L195</f>
        <v>4.8359141728651078E-2</v>
      </c>
      <c r="M68" s="416">
        <f>'Initial unit rates'!M195</f>
        <v>4.8359141728651078E-2</v>
      </c>
      <c r="N68" s="416">
        <f>'Initial unit rates'!N195</f>
        <v>4.2357109007748556E-2</v>
      </c>
      <c r="O68" s="416">
        <f>'Initial unit rates'!O195</f>
        <v>3.3879313061034338E-2</v>
      </c>
      <c r="P68" s="416">
        <f>'Initial unit rates'!P195</f>
        <v>3.5345928868026122E-2</v>
      </c>
      <c r="Q68" s="416">
        <f>'Initial unit rates'!Q195</f>
        <v>3.9392522471885509E-2</v>
      </c>
      <c r="R68" s="416">
        <f>'Initial unit rates'!R195</f>
        <v>-3.7238149763696542E-2</v>
      </c>
      <c r="S68" s="416">
        <f>'Initial unit rates'!S195</f>
        <v>-3.5732195177664697E-2</v>
      </c>
      <c r="T68" s="416">
        <f>'Initial unit rates'!T195</f>
        <v>-3.7238149763696542E-2</v>
      </c>
      <c r="U68" s="416">
        <f>'Initial unit rates'!U195</f>
        <v>-3.7238149763696542E-2</v>
      </c>
      <c r="V68" s="416">
        <f>'Initial unit rates'!V195</f>
        <v>-3.5732195177664697E-2</v>
      </c>
      <c r="W68" s="416">
        <f>'Initial unit rates'!W195</f>
        <v>-3.5732195177664697E-2</v>
      </c>
      <c r="X68" s="416">
        <f>'Initial unit rates'!X195</f>
        <v>-3.5218801568790203E-2</v>
      </c>
      <c r="Y68" s="416">
        <f>'Initial unit rates'!Y195</f>
        <v>-3.5218801568790203E-2</v>
      </c>
      <c r="Z68" s="349"/>
      <c r="AA68" s="349"/>
    </row>
    <row r="69" spans="3:27" x14ac:dyDescent="0.25">
      <c r="D69" s="293"/>
      <c r="F69" s="293" t="s">
        <v>45</v>
      </c>
      <c r="G69" s="293" t="s">
        <v>183</v>
      </c>
      <c r="H69" s="349"/>
      <c r="I69" s="349"/>
      <c r="J69" s="416">
        <f>'Initial unit rates'!J196</f>
        <v>1.4196816139818744E-2</v>
      </c>
      <c r="K69" s="416">
        <f>'Initial unit rates'!K196</f>
        <v>1.4196816139818744E-2</v>
      </c>
      <c r="L69" s="416">
        <f>'Initial unit rates'!L196</f>
        <v>1.2512824647939036E-2</v>
      </c>
      <c r="M69" s="416">
        <f>'Initial unit rates'!M196</f>
        <v>1.2512824647939036E-2</v>
      </c>
      <c r="N69" s="416">
        <f>'Initial unit rates'!N196</f>
        <v>1.0959811499168651E-2</v>
      </c>
      <c r="O69" s="416">
        <f>'Initial unit rates'!O196</f>
        <v>8.7661999028860425E-3</v>
      </c>
      <c r="P69" s="416">
        <f>'Initial unit rates'!P196</f>
        <v>9.1456836108839284E-3</v>
      </c>
      <c r="Q69" s="416">
        <f>'Initial unit rates'!Q196</f>
        <v>1.0192731064097208E-2</v>
      </c>
      <c r="R69" s="416">
        <f>'Initial unit rates'!R196</f>
        <v>-9.6352917266677995E-3</v>
      </c>
      <c r="S69" s="416">
        <f>'Initial unit rates'!S196</f>
        <v>-9.2456291936040286E-3</v>
      </c>
      <c r="T69" s="416">
        <f>'Initial unit rates'!T196</f>
        <v>-9.6352917266677995E-3</v>
      </c>
      <c r="U69" s="416">
        <f>'Initial unit rates'!U196</f>
        <v>-9.6352917266677995E-3</v>
      </c>
      <c r="V69" s="416">
        <f>'Initial unit rates'!V196</f>
        <v>-9.2456291936040286E-3</v>
      </c>
      <c r="W69" s="416">
        <f>'Initial unit rates'!W196</f>
        <v>-9.2456291936040286E-3</v>
      </c>
      <c r="X69" s="416">
        <f>'Initial unit rates'!X196</f>
        <v>-9.1127896936959232E-3</v>
      </c>
      <c r="Y69" s="416">
        <f>'Initial unit rates'!Y196</f>
        <v>-9.1127896936959232E-3</v>
      </c>
      <c r="Z69" s="349"/>
      <c r="AA69" s="349"/>
    </row>
    <row r="70" spans="3:27" x14ac:dyDescent="0.25">
      <c r="D70" s="293"/>
      <c r="F70" s="293" t="s">
        <v>46</v>
      </c>
      <c r="G70" s="293" t="s">
        <v>183</v>
      </c>
      <c r="H70" s="349"/>
      <c r="I70" s="349"/>
      <c r="J70" s="416">
        <f>'Initial unit rates'!J197</f>
        <v>5.8971227597300557E-2</v>
      </c>
      <c r="K70" s="416">
        <f>'Initial unit rates'!K197</f>
        <v>5.8971227597300557E-2</v>
      </c>
      <c r="L70" s="416">
        <f>'Initial unit rates'!L197</f>
        <v>5.1976205293600843E-2</v>
      </c>
      <c r="M70" s="416">
        <f>'Initial unit rates'!M197</f>
        <v>5.1976205293600843E-2</v>
      </c>
      <c r="N70" s="416">
        <f>'Initial unit rates'!N197</f>
        <v>4.552524537725245E-2</v>
      </c>
      <c r="O70" s="416">
        <f>'Initial unit rates'!O197</f>
        <v>3.6413345396972004E-2</v>
      </c>
      <c r="P70" s="416">
        <f>'Initial unit rates'!P197</f>
        <v>3.7989657993642463E-2</v>
      </c>
      <c r="Q70" s="416">
        <f>'Initial unit rates'!Q197</f>
        <v>3.8789225152213586E-2</v>
      </c>
      <c r="R70" s="416">
        <f>'Initial unit rates'!R197</f>
        <v>-4.0023409177359977E-2</v>
      </c>
      <c r="S70" s="416">
        <f>'Initial unit rates'!S197</f>
        <v>-3.84048154238638E-2</v>
      </c>
      <c r="T70" s="416">
        <f>'Initial unit rates'!T197</f>
        <v>-4.0023409177359977E-2</v>
      </c>
      <c r="U70" s="416">
        <f>'Initial unit rates'!U197</f>
        <v>-4.0023409177359977E-2</v>
      </c>
      <c r="V70" s="416">
        <f>'Initial unit rates'!V197</f>
        <v>-3.84048154238638E-2</v>
      </c>
      <c r="W70" s="416">
        <f>'Initial unit rates'!W197</f>
        <v>-3.84048154238638E-2</v>
      </c>
      <c r="X70" s="416">
        <f>'Initial unit rates'!X197</f>
        <v>-3.7853022098808281E-2</v>
      </c>
      <c r="Y70" s="416">
        <f>'Initial unit rates'!Y197</f>
        <v>-3.7853022098808281E-2</v>
      </c>
      <c r="Z70" s="349"/>
      <c r="AA70" s="349"/>
    </row>
    <row r="71" spans="3:27" x14ac:dyDescent="0.25">
      <c r="D71" s="293"/>
      <c r="F71" s="293" t="s">
        <v>47</v>
      </c>
      <c r="G71" s="293" t="s">
        <v>183</v>
      </c>
      <c r="H71" s="349"/>
      <c r="I71" s="349"/>
      <c r="J71" s="416">
        <f>'Initial unit rates'!J198</f>
        <v>4.1721680983126626E-2</v>
      </c>
      <c r="K71" s="416">
        <f>'Initial unit rates'!K198</f>
        <v>4.1721680983126626E-2</v>
      </c>
      <c r="L71" s="416">
        <f>'Initial unit rates'!L198</f>
        <v>3.6772757568851726E-2</v>
      </c>
      <c r="M71" s="416">
        <f>'Initial unit rates'!M198</f>
        <v>3.6772757568851726E-2</v>
      </c>
      <c r="N71" s="416">
        <f>'Initial unit rates'!N198</f>
        <v>3.2208754026264025E-2</v>
      </c>
      <c r="O71" s="416">
        <f>'Initial unit rates'!O198</f>
        <v>2.5762156259579238E-2</v>
      </c>
      <c r="P71" s="416">
        <f>'Initial unit rates'!P198</f>
        <v>2.6877385057885266E-2</v>
      </c>
      <c r="Q71" s="416">
        <f>'Initial unit rates'!Q198</f>
        <v>2.7443072551153868E-2</v>
      </c>
      <c r="R71" s="416">
        <f>'Initial unit rates'!R198</f>
        <v>-2.8316248068598684E-2</v>
      </c>
      <c r="S71" s="416">
        <f>'Initial unit rates'!S198</f>
        <v>-2.7171105683471537E-2</v>
      </c>
      <c r="T71" s="416">
        <f>'Initial unit rates'!T198</f>
        <v>-2.8316248068598684E-2</v>
      </c>
      <c r="U71" s="416">
        <f>'Initial unit rates'!U198</f>
        <v>-2.8316248068598684E-2</v>
      </c>
      <c r="V71" s="416">
        <f>'Initial unit rates'!V198</f>
        <v>-2.7171105683471537E-2</v>
      </c>
      <c r="W71" s="416">
        <f>'Initial unit rates'!W198</f>
        <v>-2.7171105683471537E-2</v>
      </c>
      <c r="X71" s="416">
        <f>'Initial unit rates'!X198</f>
        <v>-2.6780716233996367E-2</v>
      </c>
      <c r="Y71" s="416">
        <f>'Initial unit rates'!Y198</f>
        <v>-2.6780716233996367E-2</v>
      </c>
      <c r="Z71" s="349"/>
      <c r="AA71" s="349"/>
    </row>
    <row r="72" spans="3:27" x14ac:dyDescent="0.25">
      <c r="D72" s="293"/>
      <c r="F72" s="293" t="s">
        <v>51</v>
      </c>
      <c r="G72" s="293" t="s">
        <v>183</v>
      </c>
      <c r="H72" s="349"/>
      <c r="I72" s="349"/>
      <c r="J72" s="416">
        <f>'Initial unit rates'!J199</f>
        <v>0</v>
      </c>
      <c r="K72" s="416">
        <f>'Initial unit rates'!K199</f>
        <v>0</v>
      </c>
      <c r="L72" s="416">
        <f>'Initial unit rates'!L199</f>
        <v>0</v>
      </c>
      <c r="M72" s="416">
        <f>'Initial unit rates'!M199</f>
        <v>0</v>
      </c>
      <c r="N72" s="416">
        <f>'Initial unit rates'!N199</f>
        <v>0</v>
      </c>
      <c r="O72" s="416">
        <f>'Initial unit rates'!O199</f>
        <v>0</v>
      </c>
      <c r="P72" s="416">
        <f>'Initial unit rates'!P199</f>
        <v>0</v>
      </c>
      <c r="Q72" s="416">
        <f>'Initial unit rates'!Q199</f>
        <v>0</v>
      </c>
      <c r="R72" s="416">
        <f>'Initial unit rates'!R199</f>
        <v>0</v>
      </c>
      <c r="S72" s="416">
        <f>'Initial unit rates'!S199</f>
        <v>0</v>
      </c>
      <c r="T72" s="416">
        <f>'Initial unit rates'!T199</f>
        <v>0</v>
      </c>
      <c r="U72" s="416">
        <f>'Initial unit rates'!U199</f>
        <v>0</v>
      </c>
      <c r="V72" s="416">
        <f>'Initial unit rates'!V199</f>
        <v>0</v>
      </c>
      <c r="W72" s="416">
        <f>'Initial unit rates'!W199</f>
        <v>0</v>
      </c>
      <c r="X72" s="416">
        <f>'Initial unit rates'!X199</f>
        <v>0</v>
      </c>
      <c r="Y72" s="416">
        <f>'Initial unit rates'!Y199</f>
        <v>0</v>
      </c>
      <c r="Z72" s="349"/>
      <c r="AA72" s="349"/>
    </row>
    <row r="73" spans="3:27" x14ac:dyDescent="0.25">
      <c r="D73" s="293"/>
      <c r="F73" s="293" t="s">
        <v>48</v>
      </c>
      <c r="G73" s="293" t="s">
        <v>183</v>
      </c>
      <c r="H73" s="349"/>
      <c r="I73" s="349"/>
      <c r="J73" s="416">
        <f>'Initial unit rates'!J200</f>
        <v>0.21567672689429457</v>
      </c>
      <c r="K73" s="416">
        <f>'Initial unit rates'!K200</f>
        <v>0.21567672689429457</v>
      </c>
      <c r="L73" s="416">
        <f>'Initial unit rates'!L200</f>
        <v>0.19009368281529357</v>
      </c>
      <c r="M73" s="416">
        <f>'Initial unit rates'!M200</f>
        <v>0.19009368281529357</v>
      </c>
      <c r="N73" s="416">
        <f>'Initial unit rates'!N200</f>
        <v>0.1665004496951473</v>
      </c>
      <c r="O73" s="416">
        <f>'Initial unit rates'!O200</f>
        <v>0.13317530379594558</v>
      </c>
      <c r="P73" s="416">
        <f>'Initial unit rates'!P200</f>
        <v>0.13894038543429515</v>
      </c>
      <c r="Q73" s="416">
        <f>'Initial unit rates'!Q200</f>
        <v>0.13663114143815716</v>
      </c>
      <c r="R73" s="416">
        <f>'Initial unit rates'!R200</f>
        <v>-0.14637846696139004</v>
      </c>
      <c r="S73" s="416">
        <f>'Initial unit rates'!S200</f>
        <v>-0.14045874954751031</v>
      </c>
      <c r="T73" s="416">
        <f>'Initial unit rates'!T200</f>
        <v>-0.14637846696139004</v>
      </c>
      <c r="U73" s="416">
        <f>'Initial unit rates'!U200</f>
        <v>-0.14637846696139004</v>
      </c>
      <c r="V73" s="416">
        <f>'Initial unit rates'!V200</f>
        <v>-0.14045874954751031</v>
      </c>
      <c r="W73" s="416">
        <f>'Initial unit rates'!W200</f>
        <v>-0.14045874954751031</v>
      </c>
      <c r="X73" s="416">
        <f>'Initial unit rates'!X200</f>
        <v>0</v>
      </c>
      <c r="Y73" s="416">
        <f>'Initial unit rates'!Y200</f>
        <v>0</v>
      </c>
      <c r="Z73" s="349"/>
      <c r="AA73" s="349"/>
    </row>
    <row r="74" spans="3:27" x14ac:dyDescent="0.25">
      <c r="D74" s="293"/>
      <c r="F74" s="293" t="s">
        <v>49</v>
      </c>
      <c r="G74" s="293" t="s">
        <v>183</v>
      </c>
      <c r="H74" s="349"/>
      <c r="I74" s="349"/>
      <c r="J74" s="416">
        <f>'Initial unit rates'!J201</f>
        <v>8.1305764299181613E-2</v>
      </c>
      <c r="K74" s="416">
        <f>'Initial unit rates'!K201</f>
        <v>8.1305764299181613E-2</v>
      </c>
      <c r="L74" s="416">
        <f>'Initial unit rates'!L201</f>
        <v>7.1661474060289568E-2</v>
      </c>
      <c r="M74" s="416">
        <f>'Initial unit rates'!M201</f>
        <v>7.1661474060289568E-2</v>
      </c>
      <c r="N74" s="416">
        <f>'Initial unit rates'!N201</f>
        <v>6.2767302311928327E-2</v>
      </c>
      <c r="O74" s="416">
        <f>'Initial unit rates'!O201</f>
        <v>5.0204396259277119E-2</v>
      </c>
      <c r="P74" s="416">
        <f>'Initial unit rates'!P201</f>
        <v>0</v>
      </c>
      <c r="Q74" s="416">
        <f>'Initial unit rates'!Q201</f>
        <v>5.1507177161231397E-2</v>
      </c>
      <c r="R74" s="416">
        <f>'Initial unit rates'!R201</f>
        <v>-5.5181721758376497E-2</v>
      </c>
      <c r="S74" s="416">
        <f>'Initial unit rates'!S201</f>
        <v>0</v>
      </c>
      <c r="T74" s="416">
        <f>'Initial unit rates'!T201</f>
        <v>-5.5181721758376497E-2</v>
      </c>
      <c r="U74" s="416">
        <f>'Initial unit rates'!U201</f>
        <v>-5.5181721758376497E-2</v>
      </c>
      <c r="V74" s="416">
        <f>'Initial unit rates'!V201</f>
        <v>0</v>
      </c>
      <c r="W74" s="416">
        <f>'Initial unit rates'!W201</f>
        <v>0</v>
      </c>
      <c r="X74" s="416">
        <f>'Initial unit rates'!X201</f>
        <v>0</v>
      </c>
      <c r="Y74" s="416">
        <f>'Initial unit rates'!Y201</f>
        <v>0</v>
      </c>
      <c r="Z74" s="349"/>
      <c r="AA74" s="349"/>
    </row>
    <row r="75" spans="3:27" x14ac:dyDescent="0.25">
      <c r="D75" s="293"/>
      <c r="F75" s="293" t="s">
        <v>50</v>
      </c>
      <c r="G75" s="293" t="s">
        <v>183</v>
      </c>
      <c r="H75" s="349"/>
      <c r="I75" s="349"/>
      <c r="J75" s="416">
        <f>'Initial unit rates'!J202</f>
        <v>0.21401743652566016</v>
      </c>
      <c r="K75" s="416">
        <f>'Initial unit rates'!K202</f>
        <v>0.21401743652566016</v>
      </c>
      <c r="L75" s="416">
        <f>'Initial unit rates'!L202</f>
        <v>0.18863121339833022</v>
      </c>
      <c r="M75" s="416">
        <f>'Initial unit rates'!M202</f>
        <v>0.18863121339833022</v>
      </c>
      <c r="N75" s="416">
        <f>'Initial unit rates'!N202</f>
        <v>0.1652194927901964</v>
      </c>
      <c r="O75" s="416">
        <f>'Initial unit rates'!O202</f>
        <v>0</v>
      </c>
      <c r="P75" s="416">
        <f>'Initial unit rates'!P202</f>
        <v>0</v>
      </c>
      <c r="Q75" s="416">
        <f>'Initial unit rates'!Q202</f>
        <v>0.13557998149007908</v>
      </c>
      <c r="R75" s="416">
        <f>'Initial unit rates'!R202</f>
        <v>0</v>
      </c>
      <c r="S75" s="416">
        <f>'Initial unit rates'!S202</f>
        <v>0</v>
      </c>
      <c r="T75" s="416">
        <f>'Initial unit rates'!T202</f>
        <v>0</v>
      </c>
      <c r="U75" s="416">
        <f>'Initial unit rates'!U202</f>
        <v>0</v>
      </c>
      <c r="V75" s="416">
        <f>'Initial unit rates'!V202</f>
        <v>0</v>
      </c>
      <c r="W75" s="416">
        <f>'Initial unit rates'!W202</f>
        <v>0</v>
      </c>
      <c r="X75" s="416">
        <f>'Initial unit rates'!X202</f>
        <v>0</v>
      </c>
      <c r="Y75" s="416">
        <f>'Initial unit rates'!Y202</f>
        <v>0</v>
      </c>
      <c r="Z75" s="349"/>
      <c r="AA75" s="349"/>
    </row>
    <row r="76" spans="3:27" x14ac:dyDescent="0.25">
      <c r="D76" s="293"/>
      <c r="F76" s="91" t="s">
        <v>124</v>
      </c>
      <c r="G76" s="91" t="s">
        <v>183</v>
      </c>
      <c r="H76" s="347"/>
      <c r="I76" s="347" t="s">
        <v>359</v>
      </c>
      <c r="J76" s="359"/>
      <c r="K76" s="359"/>
      <c r="L76" s="359"/>
      <c r="M76" s="359"/>
      <c r="N76" s="359"/>
      <c r="O76" s="359"/>
      <c r="P76" s="359"/>
      <c r="Q76" s="358">
        <f>'Service model charges'!$Q$44</f>
        <v>2.207787019838531</v>
      </c>
      <c r="R76" s="359"/>
      <c r="S76" s="359"/>
      <c r="T76" s="359"/>
      <c r="U76" s="359"/>
      <c r="V76" s="359"/>
      <c r="W76" s="359"/>
      <c r="X76" s="359"/>
      <c r="Y76" s="359"/>
      <c r="Z76" s="349"/>
      <c r="AA76" s="349" t="s">
        <v>729</v>
      </c>
    </row>
    <row r="77" spans="3:27" x14ac:dyDescent="0.25">
      <c r="D77" s="293"/>
      <c r="F77" s="93" t="s">
        <v>123</v>
      </c>
      <c r="G77" s="93" t="s">
        <v>183</v>
      </c>
      <c r="H77" s="351"/>
      <c r="I77" s="351"/>
      <c r="J77" s="356"/>
      <c r="K77" s="356"/>
      <c r="L77" s="356"/>
      <c r="M77" s="356"/>
      <c r="N77" s="356"/>
      <c r="O77" s="356"/>
      <c r="P77" s="356"/>
      <c r="Q77" s="356"/>
      <c r="R77" s="356"/>
      <c r="S77" s="356"/>
      <c r="T77" s="356"/>
      <c r="U77" s="356"/>
      <c r="V77" s="356"/>
      <c r="W77" s="356"/>
      <c r="X77" s="356"/>
      <c r="Y77" s="356"/>
      <c r="Z77" s="349"/>
      <c r="AA77" s="349"/>
    </row>
    <row r="78" spans="3:27" x14ac:dyDescent="0.25">
      <c r="J78" s="252"/>
      <c r="K78" s="252"/>
      <c r="L78" s="252"/>
      <c r="M78" s="252"/>
      <c r="N78" s="252"/>
      <c r="O78" s="252"/>
      <c r="P78" s="252"/>
      <c r="Q78" s="252"/>
      <c r="R78" s="252"/>
      <c r="S78" s="252"/>
      <c r="T78" s="252"/>
      <c r="U78" s="252"/>
      <c r="V78" s="252"/>
      <c r="W78" s="252"/>
      <c r="X78" s="252"/>
      <c r="Y78" s="252"/>
    </row>
    <row r="79" spans="3:27" x14ac:dyDescent="0.25">
      <c r="C79" s="7" t="str">
        <f ca="1">INDEX('Version control'!$H$35:$H$61,MATCH($A$1,'Version control'!$F$35:$F$61,0),1)&amp;"-C: Initial unit rate 3"</f>
        <v>Section 514-C: Initial unit rate 3</v>
      </c>
      <c r="D79" s="7"/>
      <c r="E79" s="7"/>
      <c r="F79" s="7"/>
      <c r="G79" s="7"/>
      <c r="H79" s="7"/>
      <c r="I79" s="7"/>
      <c r="J79" s="242"/>
      <c r="K79" s="242"/>
      <c r="L79" s="242"/>
      <c r="M79" s="242"/>
      <c r="N79" s="242"/>
      <c r="O79" s="242"/>
      <c r="P79" s="242"/>
      <c r="Q79" s="242"/>
      <c r="R79" s="242"/>
      <c r="S79" s="242"/>
      <c r="T79" s="242"/>
      <c r="U79" s="242"/>
      <c r="V79" s="242"/>
      <c r="W79" s="242"/>
      <c r="X79" s="242"/>
      <c r="Y79" s="242"/>
      <c r="Z79" s="7"/>
      <c r="AA79" s="7"/>
    </row>
    <row r="80" spans="3:27" x14ac:dyDescent="0.25">
      <c r="D80" s="96"/>
      <c r="E80" s="96"/>
      <c r="J80" s="252"/>
      <c r="K80" s="252"/>
      <c r="L80" s="252"/>
      <c r="M80" s="252"/>
      <c r="N80" s="252"/>
      <c r="O80" s="252"/>
      <c r="P80" s="252"/>
      <c r="Q80" s="252"/>
      <c r="R80" s="252"/>
      <c r="S80" s="252"/>
      <c r="T80" s="252"/>
      <c r="U80" s="252"/>
      <c r="V80" s="252"/>
      <c r="W80" s="252"/>
      <c r="X80" s="252"/>
      <c r="Y80" s="252"/>
    </row>
    <row r="81" spans="4:27" x14ac:dyDescent="0.25">
      <c r="D81" s="293"/>
      <c r="E81" s="96" t="s">
        <v>139</v>
      </c>
      <c r="J81" s="252"/>
      <c r="K81" s="252"/>
      <c r="L81" s="252"/>
      <c r="M81" s="252"/>
      <c r="N81" s="252"/>
      <c r="O81" s="252"/>
      <c r="P81" s="252"/>
      <c r="Q81" s="252"/>
      <c r="R81" s="252"/>
      <c r="S81" s="252"/>
      <c r="T81" s="252"/>
      <c r="U81" s="252"/>
      <c r="V81" s="252"/>
      <c r="W81" s="252"/>
      <c r="X81" s="252"/>
      <c r="Y81" s="252"/>
    </row>
    <row r="82" spans="4:27" x14ac:dyDescent="0.25">
      <c r="D82" s="293"/>
      <c r="F82" s="91" t="s">
        <v>267</v>
      </c>
      <c r="G82" s="91" t="s">
        <v>183</v>
      </c>
      <c r="H82" s="347"/>
      <c r="I82" s="347"/>
      <c r="J82" s="358">
        <f>'Initial unit rates'!J210</f>
        <v>0</v>
      </c>
      <c r="K82" s="358">
        <f>'Initial unit rates'!K210</f>
        <v>0</v>
      </c>
      <c r="L82" s="358">
        <f>'Initial unit rates'!L210</f>
        <v>0</v>
      </c>
      <c r="M82" s="358">
        <f>'Initial unit rates'!M210</f>
        <v>0</v>
      </c>
      <c r="N82" s="358">
        <f>'Initial unit rates'!N210</f>
        <v>0</v>
      </c>
      <c r="O82" s="358">
        <f>'Initial unit rates'!O210</f>
        <v>0</v>
      </c>
      <c r="P82" s="358">
        <f>'Initial unit rates'!P210</f>
        <v>0</v>
      </c>
      <c r="Q82" s="358">
        <f>'Initial unit rates'!Q210</f>
        <v>0</v>
      </c>
      <c r="R82" s="358">
        <f>'Initial unit rates'!R210</f>
        <v>0</v>
      </c>
      <c r="S82" s="358">
        <f>'Initial unit rates'!S210</f>
        <v>0</v>
      </c>
      <c r="T82" s="358">
        <f>'Initial unit rates'!T210</f>
        <v>0</v>
      </c>
      <c r="U82" s="358">
        <f>'Initial unit rates'!U210</f>
        <v>0</v>
      </c>
      <c r="V82" s="358">
        <f>'Initial unit rates'!V210</f>
        <v>0</v>
      </c>
      <c r="W82" s="358">
        <f>'Initial unit rates'!W210</f>
        <v>0</v>
      </c>
      <c r="X82" s="358">
        <f>'Initial unit rates'!X210</f>
        <v>0</v>
      </c>
      <c r="Y82" s="358">
        <f>'Initial unit rates'!Y210</f>
        <v>0</v>
      </c>
      <c r="Z82" s="349"/>
      <c r="AA82" s="349"/>
    </row>
    <row r="83" spans="4:27" x14ac:dyDescent="0.25">
      <c r="D83" s="293"/>
      <c r="F83" s="293" t="s">
        <v>43</v>
      </c>
      <c r="G83" s="293" t="s">
        <v>183</v>
      </c>
      <c r="H83" s="349"/>
      <c r="I83" s="349"/>
      <c r="J83" s="416">
        <f>'Initial unit rates'!J211</f>
        <v>0</v>
      </c>
      <c r="K83" s="416">
        <f>'Initial unit rates'!K211</f>
        <v>0</v>
      </c>
      <c r="L83" s="416">
        <f>'Initial unit rates'!L211</f>
        <v>0</v>
      </c>
      <c r="M83" s="416">
        <f>'Initial unit rates'!M211</f>
        <v>0</v>
      </c>
      <c r="N83" s="416">
        <f>'Initial unit rates'!N211</f>
        <v>0</v>
      </c>
      <c r="O83" s="416">
        <f>'Initial unit rates'!O211</f>
        <v>0</v>
      </c>
      <c r="P83" s="416">
        <f>'Initial unit rates'!P211</f>
        <v>0</v>
      </c>
      <c r="Q83" s="416">
        <f>'Initial unit rates'!Q211</f>
        <v>0</v>
      </c>
      <c r="R83" s="416">
        <f>'Initial unit rates'!R211</f>
        <v>0</v>
      </c>
      <c r="S83" s="416">
        <f>'Initial unit rates'!S211</f>
        <v>0</v>
      </c>
      <c r="T83" s="416">
        <f>'Initial unit rates'!T211</f>
        <v>0</v>
      </c>
      <c r="U83" s="416">
        <f>'Initial unit rates'!U211</f>
        <v>0</v>
      </c>
      <c r="V83" s="416">
        <f>'Initial unit rates'!V211</f>
        <v>0</v>
      </c>
      <c r="W83" s="416">
        <f>'Initial unit rates'!W211</f>
        <v>0</v>
      </c>
      <c r="X83" s="416">
        <f>'Initial unit rates'!X211</f>
        <v>0</v>
      </c>
      <c r="Y83" s="416">
        <f>'Initial unit rates'!Y211</f>
        <v>0</v>
      </c>
      <c r="Z83" s="349"/>
      <c r="AA83" s="349"/>
    </row>
    <row r="84" spans="4:27" x14ac:dyDescent="0.25">
      <c r="D84" s="293"/>
      <c r="F84" s="293" t="s">
        <v>44</v>
      </c>
      <c r="G84" s="293" t="s">
        <v>183</v>
      </c>
      <c r="H84" s="349"/>
      <c r="I84" s="349"/>
      <c r="J84" s="416">
        <f>'Initial unit rates'!J212</f>
        <v>4.1738758879350316E-3</v>
      </c>
      <c r="K84" s="416">
        <f>'Initial unit rates'!K212</f>
        <v>4.1738758879350316E-3</v>
      </c>
      <c r="L84" s="416">
        <f>'Initial unit rates'!L212</f>
        <v>3.6787809726934093E-3</v>
      </c>
      <c r="M84" s="416">
        <f>'Initial unit rates'!M212</f>
        <v>3.6787809726934093E-3</v>
      </c>
      <c r="N84" s="416">
        <f>'Initial unit rates'!N212</f>
        <v>3.2221938005092153E-3</v>
      </c>
      <c r="O84" s="416">
        <f>'Initial unit rates'!O212</f>
        <v>2.5772701458639589E-3</v>
      </c>
      <c r="P84" s="416">
        <f>'Initial unit rates'!P212</f>
        <v>2.6888386752495037E-3</v>
      </c>
      <c r="Q84" s="416">
        <f>'Initial unit rates'!Q212</f>
        <v>2.7593292462275822E-3</v>
      </c>
      <c r="R84" s="416">
        <f>'Initial unit rates'!R212</f>
        <v>-2.8327838731644008E-3</v>
      </c>
      <c r="S84" s="416">
        <f>'Initial unit rates'!S212</f>
        <v>-2.7182227606467229E-3</v>
      </c>
      <c r="T84" s="416">
        <f>'Initial unit rates'!T212</f>
        <v>-2.8327838731644008E-3</v>
      </c>
      <c r="U84" s="416">
        <f>'Initial unit rates'!U212</f>
        <v>-2.8327838731644008E-3</v>
      </c>
      <c r="V84" s="416">
        <f>'Initial unit rates'!V212</f>
        <v>-2.7182227606467229E-3</v>
      </c>
      <c r="W84" s="416">
        <f>'Initial unit rates'!W212</f>
        <v>-2.7182227606467229E-3</v>
      </c>
      <c r="X84" s="416">
        <f>'Initial unit rates'!X212</f>
        <v>-2.6791678359247869E-3</v>
      </c>
      <c r="Y84" s="416">
        <f>'Initial unit rates'!Y212</f>
        <v>-2.6791678359247869E-3</v>
      </c>
      <c r="Z84" s="349"/>
      <c r="AA84" s="349"/>
    </row>
    <row r="85" spans="4:27" x14ac:dyDescent="0.25">
      <c r="D85" s="293"/>
      <c r="F85" s="293" t="s">
        <v>45</v>
      </c>
      <c r="G85" s="293" t="s">
        <v>183</v>
      </c>
      <c r="H85" s="349"/>
      <c r="I85" s="349"/>
      <c r="J85" s="416">
        <f>'Initial unit rates'!J213</f>
        <v>1.0799814723975805E-3</v>
      </c>
      <c r="K85" s="416">
        <f>'Initial unit rates'!K213</f>
        <v>1.0799814723975805E-3</v>
      </c>
      <c r="L85" s="416">
        <f>'Initial unit rates'!L213</f>
        <v>9.5187672038883435E-4</v>
      </c>
      <c r="M85" s="416">
        <f>'Initial unit rates'!M213</f>
        <v>9.5187672038883435E-4</v>
      </c>
      <c r="N85" s="416">
        <f>'Initial unit rates'!N213</f>
        <v>8.3373576466020316E-4</v>
      </c>
      <c r="O85" s="416">
        <f>'Initial unit rates'!O213</f>
        <v>6.6686314630058088E-4</v>
      </c>
      <c r="P85" s="416">
        <f>'Initial unit rates'!P213</f>
        <v>6.9573126501664675E-4</v>
      </c>
      <c r="Q85" s="416">
        <f>'Initial unit rates'!Q213</f>
        <v>7.1397054971965095E-4</v>
      </c>
      <c r="R85" s="416">
        <f>'Initial unit rates'!R213</f>
        <v>-7.329767775720291E-4</v>
      </c>
      <c r="S85" s="416">
        <f>'Initial unit rates'!S213</f>
        <v>-7.0333433436139557E-4</v>
      </c>
      <c r="T85" s="416">
        <f>'Initial unit rates'!T213</f>
        <v>-7.329767775720291E-4</v>
      </c>
      <c r="U85" s="416">
        <f>'Initial unit rates'!U213</f>
        <v>-7.329767775720291E-4</v>
      </c>
      <c r="V85" s="416">
        <f>'Initial unit rates'!V213</f>
        <v>-7.0333433436139557E-4</v>
      </c>
      <c r="W85" s="416">
        <f>'Initial unit rates'!W213</f>
        <v>-7.0333433436139557E-4</v>
      </c>
      <c r="X85" s="416">
        <f>'Initial unit rates'!X213</f>
        <v>-6.9322895599413395E-4</v>
      </c>
      <c r="Y85" s="416">
        <f>'Initial unit rates'!Y213</f>
        <v>-6.9322895599413395E-4</v>
      </c>
      <c r="Z85" s="349"/>
      <c r="AA85" s="349"/>
    </row>
    <row r="86" spans="4:27" x14ac:dyDescent="0.25">
      <c r="D86" s="293"/>
      <c r="F86" s="293" t="s">
        <v>46</v>
      </c>
      <c r="G86" s="293" t="s">
        <v>183</v>
      </c>
      <c r="H86" s="349"/>
      <c r="I86" s="349"/>
      <c r="J86" s="416">
        <f>'Initial unit rates'!J214</f>
        <v>4.4752393774894926E-3</v>
      </c>
      <c r="K86" s="416">
        <f>'Initial unit rates'!K214</f>
        <v>4.4752393774894926E-3</v>
      </c>
      <c r="L86" s="416">
        <f>'Initial unit rates'!L214</f>
        <v>3.9443974646552558E-3</v>
      </c>
      <c r="M86" s="416">
        <f>'Initial unit rates'!M214</f>
        <v>3.9443974646552558E-3</v>
      </c>
      <c r="N86" s="416">
        <f>'Initial unit rates'!N214</f>
        <v>3.4548436429611955E-3</v>
      </c>
      <c r="O86" s="416">
        <f>'Initial unit rates'!O214</f>
        <v>2.7633550093183815E-3</v>
      </c>
      <c r="P86" s="416">
        <f>'Initial unit rates'!P214</f>
        <v>2.8182910557089619E-3</v>
      </c>
      <c r="Q86" s="416">
        <f>'Initial unit rates'!Q214</f>
        <v>2.9585591976682866E-3</v>
      </c>
      <c r="R86" s="416">
        <f>'Initial unit rates'!R214</f>
        <v>-3.0373174185048639E-3</v>
      </c>
      <c r="S86" s="416">
        <f>'Initial unit rates'!S214</f>
        <v>-2.9144847287859168E-3</v>
      </c>
      <c r="T86" s="416">
        <f>'Initial unit rates'!T214</f>
        <v>-3.0373174185048639E-3</v>
      </c>
      <c r="U86" s="416">
        <f>'Initial unit rates'!U214</f>
        <v>-3.0373174185048639E-3</v>
      </c>
      <c r="V86" s="416">
        <f>'Initial unit rates'!V214</f>
        <v>-2.9144847287859168E-3</v>
      </c>
      <c r="W86" s="416">
        <f>'Initial unit rates'!W214</f>
        <v>-2.9144847287859168E-3</v>
      </c>
      <c r="X86" s="416">
        <f>'Initial unit rates'!X214</f>
        <v>-2.8081546201463043E-3</v>
      </c>
      <c r="Y86" s="416">
        <f>'Initial unit rates'!Y214</f>
        <v>-2.8081546201463043E-3</v>
      </c>
      <c r="Z86" s="349"/>
      <c r="AA86" s="349"/>
    </row>
    <row r="87" spans="4:27" x14ac:dyDescent="0.25">
      <c r="D87" s="293"/>
      <c r="F87" s="293" t="s">
        <v>47</v>
      </c>
      <c r="G87" s="293" t="s">
        <v>183</v>
      </c>
      <c r="H87" s="349"/>
      <c r="I87" s="349"/>
      <c r="J87" s="416">
        <f>'Initial unit rates'!J215</f>
        <v>3.1276286843639222E-3</v>
      </c>
      <c r="K87" s="416">
        <f>'Initial unit rates'!K215</f>
        <v>3.1276286843639222E-3</v>
      </c>
      <c r="L87" s="416">
        <f>'Initial unit rates'!L215</f>
        <v>2.756637044945887E-3</v>
      </c>
      <c r="M87" s="416">
        <f>'Initial unit rates'!M215</f>
        <v>2.756637044945887E-3</v>
      </c>
      <c r="N87" s="416">
        <f>'Initial unit rates'!N215</f>
        <v>2.4145005811464339E-3</v>
      </c>
      <c r="O87" s="416">
        <f>'Initial unit rates'!O215</f>
        <v>1.9312371167669895E-3</v>
      </c>
      <c r="P87" s="416">
        <f>'Initial unit rates'!P215</f>
        <v>1.9281405951457682E-3</v>
      </c>
      <c r="Q87" s="416">
        <f>'Initial unit rates'!Q215</f>
        <v>2.0676602591495168E-3</v>
      </c>
      <c r="R87" s="416">
        <f>'Initial unit rates'!R215</f>
        <v>-2.1227023361961596E-3</v>
      </c>
      <c r="S87" s="416">
        <f>'Initial unit rates'!S215</f>
        <v>-2.0368577564235206E-3</v>
      </c>
      <c r="T87" s="416">
        <f>'Initial unit rates'!T215</f>
        <v>-2.1227023361961596E-3</v>
      </c>
      <c r="U87" s="416">
        <f>'Initial unit rates'!U215</f>
        <v>-2.1227023361961596E-3</v>
      </c>
      <c r="V87" s="416">
        <f>'Initial unit rates'!V215</f>
        <v>-2.0368577564235206E-3</v>
      </c>
      <c r="W87" s="416">
        <f>'Initial unit rates'!W215</f>
        <v>-2.0368577564235206E-3</v>
      </c>
      <c r="X87" s="416">
        <f>'Initial unit rates'!X215</f>
        <v>-1.921205728408407E-3</v>
      </c>
      <c r="Y87" s="416">
        <f>'Initial unit rates'!Y215</f>
        <v>-1.921205728408407E-3</v>
      </c>
      <c r="Z87" s="349"/>
      <c r="AA87" s="349"/>
    </row>
    <row r="88" spans="4:27" x14ac:dyDescent="0.25">
      <c r="D88" s="293"/>
      <c r="F88" s="293" t="s">
        <v>51</v>
      </c>
      <c r="G88" s="293" t="s">
        <v>183</v>
      </c>
      <c r="H88" s="349"/>
      <c r="I88" s="349"/>
      <c r="J88" s="416">
        <f>'Initial unit rates'!J216</f>
        <v>0</v>
      </c>
      <c r="K88" s="416">
        <f>'Initial unit rates'!K216</f>
        <v>0</v>
      </c>
      <c r="L88" s="416">
        <f>'Initial unit rates'!L216</f>
        <v>0</v>
      </c>
      <c r="M88" s="416">
        <f>'Initial unit rates'!M216</f>
        <v>0</v>
      </c>
      <c r="N88" s="416">
        <f>'Initial unit rates'!N216</f>
        <v>0</v>
      </c>
      <c r="O88" s="416">
        <f>'Initial unit rates'!O216</f>
        <v>0</v>
      </c>
      <c r="P88" s="416">
        <f>'Initial unit rates'!P216</f>
        <v>0</v>
      </c>
      <c r="Q88" s="416">
        <f>'Initial unit rates'!Q216</f>
        <v>0</v>
      </c>
      <c r="R88" s="416">
        <f>'Initial unit rates'!R216</f>
        <v>0</v>
      </c>
      <c r="S88" s="416">
        <f>'Initial unit rates'!S216</f>
        <v>0</v>
      </c>
      <c r="T88" s="416">
        <f>'Initial unit rates'!T216</f>
        <v>0</v>
      </c>
      <c r="U88" s="416">
        <f>'Initial unit rates'!U216</f>
        <v>0</v>
      </c>
      <c r="V88" s="416">
        <f>'Initial unit rates'!V216</f>
        <v>0</v>
      </c>
      <c r="W88" s="416">
        <f>'Initial unit rates'!W216</f>
        <v>0</v>
      </c>
      <c r="X88" s="416">
        <f>'Initial unit rates'!X216</f>
        <v>0</v>
      </c>
      <c r="Y88" s="416">
        <f>'Initial unit rates'!Y216</f>
        <v>0</v>
      </c>
      <c r="Z88" s="349"/>
      <c r="AA88" s="349"/>
    </row>
    <row r="89" spans="4:27" x14ac:dyDescent="0.25">
      <c r="D89" s="293"/>
      <c r="F89" s="293" t="s">
        <v>48</v>
      </c>
      <c r="G89" s="293" t="s">
        <v>183</v>
      </c>
      <c r="H89" s="349"/>
      <c r="I89" s="349"/>
      <c r="J89" s="416">
        <f>'Initial unit rates'!J217</f>
        <v>1.3489343398189827E-2</v>
      </c>
      <c r="K89" s="416">
        <f>'Initial unit rates'!K217</f>
        <v>1.3489343398189827E-2</v>
      </c>
      <c r="L89" s="416">
        <f>'Initial unit rates'!L217</f>
        <v>1.1889270586802033E-2</v>
      </c>
      <c r="M89" s="416">
        <f>'Initial unit rates'!M217</f>
        <v>1.1889270586802033E-2</v>
      </c>
      <c r="N89" s="416">
        <f>'Initial unit rates'!N217</f>
        <v>1.0413649048891829E-2</v>
      </c>
      <c r="O89" s="416">
        <f>'Initial unit rates'!O217</f>
        <v>8.3293521323801467E-3</v>
      </c>
      <c r="P89" s="416">
        <f>'Initial unit rates'!P217</f>
        <v>8.1677174344873781E-3</v>
      </c>
      <c r="Q89" s="416">
        <f>'Initial unit rates'!Q217</f>
        <v>8.9177399497250027E-3</v>
      </c>
      <c r="R89" s="416">
        <f>'Initial unit rates'!R217</f>
        <v>-9.1551343317191666E-3</v>
      </c>
      <c r="S89" s="416">
        <f>'Initial unit rates'!S217</f>
        <v>-8.7848899285981712E-3</v>
      </c>
      <c r="T89" s="416">
        <f>'Initial unit rates'!T217</f>
        <v>-9.1551343317191666E-3</v>
      </c>
      <c r="U89" s="416">
        <f>'Initial unit rates'!U217</f>
        <v>-9.1551343317191666E-3</v>
      </c>
      <c r="V89" s="416">
        <f>'Initial unit rates'!V217</f>
        <v>-8.7848899285981712E-3</v>
      </c>
      <c r="W89" s="416">
        <f>'Initial unit rates'!W217</f>
        <v>-8.7848899285981712E-3</v>
      </c>
      <c r="X89" s="416">
        <f>'Initial unit rates'!X217</f>
        <v>0</v>
      </c>
      <c r="Y89" s="416">
        <f>'Initial unit rates'!Y217</f>
        <v>0</v>
      </c>
      <c r="Z89" s="349"/>
      <c r="AA89" s="349"/>
    </row>
    <row r="90" spans="4:27" x14ac:dyDescent="0.25">
      <c r="D90" s="293"/>
      <c r="F90" s="293" t="s">
        <v>49</v>
      </c>
      <c r="G90" s="293" t="s">
        <v>183</v>
      </c>
      <c r="H90" s="349"/>
      <c r="I90" s="349"/>
      <c r="J90" s="416">
        <f>'Initial unit rates'!J218</f>
        <v>4.4674184010976767E-3</v>
      </c>
      <c r="K90" s="416">
        <f>'Initial unit rates'!K218</f>
        <v>4.4674184010976767E-3</v>
      </c>
      <c r="L90" s="416">
        <f>'Initial unit rates'!L218</f>
        <v>3.9375041932905586E-3</v>
      </c>
      <c r="M90" s="416">
        <f>'Initial unit rates'!M218</f>
        <v>3.9375041932905586E-3</v>
      </c>
      <c r="N90" s="416">
        <f>'Initial unit rates'!N218</f>
        <v>3.4488059211121866E-3</v>
      </c>
      <c r="O90" s="416">
        <f>'Initial unit rates'!O218</f>
        <v>2.7585257404308229E-3</v>
      </c>
      <c r="P90" s="416">
        <f>'Initial unit rates'!P218</f>
        <v>0</v>
      </c>
      <c r="Q90" s="416">
        <f>'Initial unit rates'!Q218</f>
        <v>2.9533887878450396E-3</v>
      </c>
      <c r="R90" s="416">
        <f>'Initial unit rates'!R218</f>
        <v>-3.0320093699691664E-3</v>
      </c>
      <c r="S90" s="416">
        <f>'Initial unit rates'!S218</f>
        <v>0</v>
      </c>
      <c r="T90" s="416">
        <f>'Initial unit rates'!T218</f>
        <v>-3.0320093699691664E-3</v>
      </c>
      <c r="U90" s="416">
        <f>'Initial unit rates'!U218</f>
        <v>-3.0320093699691664E-3</v>
      </c>
      <c r="V90" s="416">
        <f>'Initial unit rates'!V218</f>
        <v>0</v>
      </c>
      <c r="W90" s="416">
        <f>'Initial unit rates'!W218</f>
        <v>0</v>
      </c>
      <c r="X90" s="416">
        <f>'Initial unit rates'!X218</f>
        <v>0</v>
      </c>
      <c r="Y90" s="416">
        <f>'Initial unit rates'!Y218</f>
        <v>0</v>
      </c>
      <c r="Z90" s="349"/>
      <c r="AA90" s="349"/>
    </row>
    <row r="91" spans="4:27" x14ac:dyDescent="0.25">
      <c r="D91" s="293"/>
      <c r="F91" s="293" t="s">
        <v>50</v>
      </c>
      <c r="G91" s="293" t="s">
        <v>183</v>
      </c>
      <c r="H91" s="349"/>
      <c r="I91" s="349"/>
      <c r="J91" s="416">
        <f>'Initial unit rates'!J219</f>
        <v>8.9842135939747266E-4</v>
      </c>
      <c r="K91" s="416">
        <f>'Initial unit rates'!K219</f>
        <v>8.9842135939747266E-4</v>
      </c>
      <c r="L91" s="416">
        <f>'Initial unit rates'!L219</f>
        <v>7.9185282244890131E-4</v>
      </c>
      <c r="M91" s="416">
        <f>'Initial unit rates'!M219</f>
        <v>7.9185282244890131E-4</v>
      </c>
      <c r="N91" s="416">
        <f>'Initial unit rates'!N219</f>
        <v>6.9357302713852478E-4</v>
      </c>
      <c r="O91" s="416">
        <f>'Initial unit rates'!O219</f>
        <v>0</v>
      </c>
      <c r="P91" s="416">
        <f>'Initial unit rates'!P219</f>
        <v>0</v>
      </c>
      <c r="Q91" s="416">
        <f>'Initial unit rates'!Q219</f>
        <v>5.9394203349143171E-4</v>
      </c>
      <c r="R91" s="416">
        <f>'Initial unit rates'!R219</f>
        <v>0</v>
      </c>
      <c r="S91" s="416">
        <f>'Initial unit rates'!S219</f>
        <v>0</v>
      </c>
      <c r="T91" s="416">
        <f>'Initial unit rates'!T219</f>
        <v>0</v>
      </c>
      <c r="U91" s="416">
        <f>'Initial unit rates'!U219</f>
        <v>0</v>
      </c>
      <c r="V91" s="416">
        <f>'Initial unit rates'!V219</f>
        <v>0</v>
      </c>
      <c r="W91" s="416">
        <f>'Initial unit rates'!W219</f>
        <v>0</v>
      </c>
      <c r="X91" s="416">
        <f>'Initial unit rates'!X219</f>
        <v>0</v>
      </c>
      <c r="Y91" s="416">
        <f>'Initial unit rates'!Y219</f>
        <v>0</v>
      </c>
      <c r="Z91" s="349"/>
      <c r="AA91" s="349"/>
    </row>
    <row r="92" spans="4:27" x14ac:dyDescent="0.25">
      <c r="D92" s="293"/>
      <c r="F92" s="91" t="s">
        <v>124</v>
      </c>
      <c r="G92" s="91" t="s">
        <v>183</v>
      </c>
      <c r="H92" s="347"/>
      <c r="I92" s="347"/>
      <c r="J92" s="359"/>
      <c r="K92" s="359"/>
      <c r="L92" s="359"/>
      <c r="M92" s="359"/>
      <c r="N92" s="359"/>
      <c r="O92" s="359"/>
      <c r="P92" s="359"/>
      <c r="Q92" s="359"/>
      <c r="R92" s="359"/>
      <c r="S92" s="359"/>
      <c r="T92" s="359"/>
      <c r="U92" s="359"/>
      <c r="V92" s="359"/>
      <c r="W92" s="359"/>
      <c r="X92" s="359"/>
      <c r="Y92" s="359"/>
      <c r="Z92" s="349"/>
      <c r="AA92" s="349"/>
    </row>
    <row r="93" spans="4:27" x14ac:dyDescent="0.25">
      <c r="D93" s="293"/>
      <c r="F93" s="93" t="s">
        <v>123</v>
      </c>
      <c r="G93" s="93" t="s">
        <v>183</v>
      </c>
      <c r="H93" s="351"/>
      <c r="I93" s="351"/>
      <c r="J93" s="356"/>
      <c r="K93" s="356"/>
      <c r="L93" s="356"/>
      <c r="M93" s="356"/>
      <c r="N93" s="356"/>
      <c r="O93" s="356"/>
      <c r="P93" s="356"/>
      <c r="Q93" s="356"/>
      <c r="R93" s="356"/>
      <c r="S93" s="356"/>
      <c r="T93" s="356"/>
      <c r="U93" s="356"/>
      <c r="V93" s="356"/>
      <c r="W93" s="356"/>
      <c r="X93" s="356"/>
      <c r="Y93" s="356"/>
      <c r="Z93" s="349"/>
      <c r="AA93" s="349"/>
    </row>
    <row r="94" spans="4:27" x14ac:dyDescent="0.25">
      <c r="D94" s="293"/>
      <c r="J94" s="252"/>
      <c r="K94" s="252"/>
      <c r="L94" s="252"/>
      <c r="M94" s="252"/>
      <c r="N94" s="252"/>
      <c r="O94" s="252"/>
      <c r="P94" s="252"/>
      <c r="Q94" s="252"/>
      <c r="R94" s="252"/>
      <c r="S94" s="252"/>
      <c r="T94" s="252"/>
      <c r="U94" s="252"/>
      <c r="V94" s="252"/>
      <c r="W94" s="252"/>
      <c r="X94" s="252"/>
      <c r="Y94" s="252"/>
    </row>
    <row r="95" spans="4:27" x14ac:dyDescent="0.25">
      <c r="D95" s="293"/>
      <c r="E95" s="96" t="s">
        <v>116</v>
      </c>
      <c r="J95" s="252"/>
      <c r="K95" s="252"/>
      <c r="L95" s="252"/>
      <c r="M95" s="252"/>
      <c r="N95" s="252"/>
      <c r="O95" s="252"/>
      <c r="P95" s="252"/>
      <c r="Q95" s="252"/>
      <c r="R95" s="252"/>
      <c r="S95" s="252"/>
      <c r="T95" s="252"/>
      <c r="U95" s="252"/>
      <c r="V95" s="252"/>
      <c r="W95" s="252"/>
      <c r="X95" s="252"/>
      <c r="Y95" s="252"/>
    </row>
    <row r="96" spans="4:27" x14ac:dyDescent="0.25">
      <c r="D96" s="293"/>
      <c r="F96" s="91" t="s">
        <v>267</v>
      </c>
      <c r="G96" s="91" t="s">
        <v>183</v>
      </c>
      <c r="H96" s="347"/>
      <c r="I96" s="347"/>
      <c r="J96" s="358">
        <f>'Initial unit rates'!J222</f>
        <v>0</v>
      </c>
      <c r="K96" s="358">
        <f>'Initial unit rates'!K222</f>
        <v>0</v>
      </c>
      <c r="L96" s="358">
        <f>'Initial unit rates'!L222</f>
        <v>0</v>
      </c>
      <c r="M96" s="358">
        <f>'Initial unit rates'!M222</f>
        <v>0</v>
      </c>
      <c r="N96" s="358">
        <f>'Initial unit rates'!N222</f>
        <v>0</v>
      </c>
      <c r="O96" s="358">
        <f>'Initial unit rates'!O222</f>
        <v>0</v>
      </c>
      <c r="P96" s="358">
        <f>'Initial unit rates'!P222</f>
        <v>0</v>
      </c>
      <c r="Q96" s="358">
        <f>'Initial unit rates'!Q222</f>
        <v>0</v>
      </c>
      <c r="R96" s="358">
        <f>'Initial unit rates'!R222</f>
        <v>0</v>
      </c>
      <c r="S96" s="358">
        <f>'Initial unit rates'!S222</f>
        <v>0</v>
      </c>
      <c r="T96" s="358">
        <f>'Initial unit rates'!T222</f>
        <v>0</v>
      </c>
      <c r="U96" s="358">
        <f>'Initial unit rates'!U222</f>
        <v>0</v>
      </c>
      <c r="V96" s="358">
        <f>'Initial unit rates'!V222</f>
        <v>0</v>
      </c>
      <c r="W96" s="358">
        <f>'Initial unit rates'!W222</f>
        <v>0</v>
      </c>
      <c r="X96" s="358">
        <f>'Initial unit rates'!X222</f>
        <v>0</v>
      </c>
      <c r="Y96" s="358">
        <f>'Initial unit rates'!Y222</f>
        <v>0</v>
      </c>
      <c r="Z96" s="349"/>
      <c r="AA96" s="349"/>
    </row>
    <row r="97" spans="3:42" x14ac:dyDescent="0.25">
      <c r="D97" s="293"/>
      <c r="F97" s="293" t="s">
        <v>43</v>
      </c>
      <c r="G97" s="293" t="s">
        <v>183</v>
      </c>
      <c r="H97" s="349"/>
      <c r="I97" s="349"/>
      <c r="J97" s="416">
        <f>'Initial unit rates'!J223</f>
        <v>0</v>
      </c>
      <c r="K97" s="416">
        <f>'Initial unit rates'!K223</f>
        <v>0</v>
      </c>
      <c r="L97" s="416">
        <f>'Initial unit rates'!L223</f>
        <v>0</v>
      </c>
      <c r="M97" s="416">
        <f>'Initial unit rates'!M223</f>
        <v>0</v>
      </c>
      <c r="N97" s="416">
        <f>'Initial unit rates'!N223</f>
        <v>0</v>
      </c>
      <c r="O97" s="416">
        <f>'Initial unit rates'!O223</f>
        <v>0</v>
      </c>
      <c r="P97" s="416">
        <f>'Initial unit rates'!P223</f>
        <v>0</v>
      </c>
      <c r="Q97" s="416">
        <f>'Initial unit rates'!Q223</f>
        <v>0</v>
      </c>
      <c r="R97" s="416">
        <f>'Initial unit rates'!R223</f>
        <v>0</v>
      </c>
      <c r="S97" s="416">
        <f>'Initial unit rates'!S223</f>
        <v>0</v>
      </c>
      <c r="T97" s="416">
        <f>'Initial unit rates'!T223</f>
        <v>0</v>
      </c>
      <c r="U97" s="416">
        <f>'Initial unit rates'!U223</f>
        <v>0</v>
      </c>
      <c r="V97" s="416">
        <f>'Initial unit rates'!V223</f>
        <v>0</v>
      </c>
      <c r="W97" s="416">
        <f>'Initial unit rates'!W223</f>
        <v>0</v>
      </c>
      <c r="X97" s="416">
        <f>'Initial unit rates'!X223</f>
        <v>0</v>
      </c>
      <c r="Y97" s="416">
        <f>'Initial unit rates'!Y223</f>
        <v>0</v>
      </c>
      <c r="Z97" s="349"/>
      <c r="AA97" s="349"/>
    </row>
    <row r="98" spans="3:42" x14ac:dyDescent="0.25">
      <c r="D98" s="293"/>
      <c r="F98" s="293" t="s">
        <v>44</v>
      </c>
      <c r="G98" s="293" t="s">
        <v>183</v>
      </c>
      <c r="H98" s="349"/>
      <c r="I98" s="349"/>
      <c r="J98" s="416">
        <f>'Initial unit rates'!J224</f>
        <v>2.3471446061362968E-3</v>
      </c>
      <c r="K98" s="416">
        <f>'Initial unit rates'!K224</f>
        <v>2.3471446061362968E-3</v>
      </c>
      <c r="L98" s="416">
        <f>'Initial unit rates'!L224</f>
        <v>2.0687320727895532E-3</v>
      </c>
      <c r="M98" s="416">
        <f>'Initial unit rates'!M224</f>
        <v>2.0687320727895532E-3</v>
      </c>
      <c r="N98" s="416">
        <f>'Initial unit rates'!N224</f>
        <v>1.8119740504628874E-3</v>
      </c>
      <c r="O98" s="416">
        <f>'Initial unit rates'!O224</f>
        <v>1.449306563931749E-3</v>
      </c>
      <c r="P98" s="416">
        <f>'Initial unit rates'!P224</f>
        <v>1.5120462042547383E-3</v>
      </c>
      <c r="Q98" s="416">
        <f>'Initial unit rates'!Q224</f>
        <v>1.5516859941998389E-3</v>
      </c>
      <c r="R98" s="416">
        <f>'Initial unit rates'!R224</f>
        <v>-1.5929925965137387E-3</v>
      </c>
      <c r="S98" s="416">
        <f>'Initial unit rates'!S224</f>
        <v>-1.5285701018017859E-3</v>
      </c>
      <c r="T98" s="416">
        <f>'Initial unit rates'!T224</f>
        <v>-1.5929925965137387E-3</v>
      </c>
      <c r="U98" s="416">
        <f>'Initial unit rates'!U224</f>
        <v>-1.5929925965137387E-3</v>
      </c>
      <c r="V98" s="416">
        <f>'Initial unit rates'!V224</f>
        <v>-1.5285701018017859E-3</v>
      </c>
      <c r="W98" s="416">
        <f>'Initial unit rates'!W224</f>
        <v>-1.5285701018017859E-3</v>
      </c>
      <c r="X98" s="416">
        <f>'Initial unit rates'!X224</f>
        <v>-1.5066078876954383E-3</v>
      </c>
      <c r="Y98" s="416">
        <f>'Initial unit rates'!Y224</f>
        <v>-1.5066078876954383E-3</v>
      </c>
      <c r="Z98" s="349"/>
      <c r="AA98" s="349"/>
    </row>
    <row r="99" spans="3:42" x14ac:dyDescent="0.25">
      <c r="D99" s="293"/>
      <c r="F99" s="293" t="s">
        <v>45</v>
      </c>
      <c r="G99" s="293" t="s">
        <v>183</v>
      </c>
      <c r="H99" s="349"/>
      <c r="I99" s="349"/>
      <c r="J99" s="416">
        <f>'Initial unit rates'!J225</f>
        <v>6.0731865434532893E-4</v>
      </c>
      <c r="K99" s="416">
        <f>'Initial unit rates'!K225</f>
        <v>6.0731865434532893E-4</v>
      </c>
      <c r="L99" s="416">
        <f>'Initial unit rates'!L225</f>
        <v>5.3528000591141151E-4</v>
      </c>
      <c r="M99" s="416">
        <f>'Initial unit rates'!M225</f>
        <v>5.3528000591141151E-4</v>
      </c>
      <c r="N99" s="416">
        <f>'Initial unit rates'!N225</f>
        <v>4.6884441595920729E-4</v>
      </c>
      <c r="O99" s="416">
        <f>'Initial unit rates'!O225</f>
        <v>3.7500497832120802E-4</v>
      </c>
      <c r="P99" s="416">
        <f>'Initial unit rates'!P225</f>
        <v>3.9123872626986556E-4</v>
      </c>
      <c r="Q99" s="416">
        <f>'Initial unit rates'!Q225</f>
        <v>4.0149543726460005E-4</v>
      </c>
      <c r="R99" s="416">
        <f>'Initial unit rates'!R225</f>
        <v>-4.1218343240016623E-4</v>
      </c>
      <c r="S99" s="416">
        <f>'Initial unit rates'!S225</f>
        <v>-3.955142494722184E-4</v>
      </c>
      <c r="T99" s="416">
        <f>'Initial unit rates'!T225</f>
        <v>-4.1218343240016623E-4</v>
      </c>
      <c r="U99" s="416">
        <f>'Initial unit rates'!U225</f>
        <v>-4.1218343240016623E-4</v>
      </c>
      <c r="V99" s="416">
        <f>'Initial unit rates'!V225</f>
        <v>-3.955142494722184E-4</v>
      </c>
      <c r="W99" s="416">
        <f>'Initial unit rates'!W225</f>
        <v>-3.955142494722184E-4</v>
      </c>
      <c r="X99" s="416">
        <f>'Initial unit rates'!X225</f>
        <v>-3.8983157347405431E-4</v>
      </c>
      <c r="Y99" s="416">
        <f>'Initial unit rates'!Y225</f>
        <v>-3.8983157347405431E-4</v>
      </c>
      <c r="Z99" s="349"/>
      <c r="AA99" s="349"/>
    </row>
    <row r="100" spans="3:42" x14ac:dyDescent="0.25">
      <c r="D100" s="293"/>
      <c r="F100" s="293" t="s">
        <v>46</v>
      </c>
      <c r="G100" s="293" t="s">
        <v>183</v>
      </c>
      <c r="H100" s="349"/>
      <c r="I100" s="349"/>
      <c r="J100" s="416">
        <f>'Initial unit rates'!J226</f>
        <v>2.548135360847512E-3</v>
      </c>
      <c r="K100" s="416">
        <f>'Initial unit rates'!K226</f>
        <v>2.548135360847512E-3</v>
      </c>
      <c r="L100" s="416">
        <f>'Initial unit rates'!L226</f>
        <v>2.2458817974031222E-3</v>
      </c>
      <c r="M100" s="416">
        <f>'Initial unit rates'!M226</f>
        <v>2.2458817974031222E-3</v>
      </c>
      <c r="N100" s="416">
        <f>'Initial unit rates'!N226</f>
        <v>1.9671370646919834E-3</v>
      </c>
      <c r="O100" s="416">
        <f>'Initial unit rates'!O226</f>
        <v>1.5734136254783632E-3</v>
      </c>
      <c r="P100" s="416">
        <f>'Initial unit rates'!P226</f>
        <v>1.6415257884937592E-3</v>
      </c>
      <c r="Q100" s="416">
        <f>'Initial unit rates'!Q226</f>
        <v>1.6845600140764554E-3</v>
      </c>
      <c r="R100" s="416">
        <f>'Initial unit rates'!R226</f>
        <v>-1.7294037845528628E-3</v>
      </c>
      <c r="S100" s="416">
        <f>'Initial unit rates'!S226</f>
        <v>-1.6594646609128575E-3</v>
      </c>
      <c r="T100" s="416">
        <f>'Initial unit rates'!T226</f>
        <v>-1.7294037845528628E-3</v>
      </c>
      <c r="U100" s="416">
        <f>'Initial unit rates'!U226</f>
        <v>-1.7294037845528628E-3</v>
      </c>
      <c r="V100" s="416">
        <f>'Initial unit rates'!V226</f>
        <v>-1.6594646609128575E-3</v>
      </c>
      <c r="W100" s="416">
        <f>'Initial unit rates'!W226</f>
        <v>-1.6594646609128575E-3</v>
      </c>
      <c r="X100" s="416">
        <f>'Initial unit rates'!X226</f>
        <v>-1.6356217778537643E-3</v>
      </c>
      <c r="Y100" s="416">
        <f>'Initial unit rates'!Y226</f>
        <v>-1.6356217778537643E-3</v>
      </c>
      <c r="Z100" s="349"/>
      <c r="AA100" s="349"/>
    </row>
    <row r="101" spans="3:42" x14ac:dyDescent="0.25">
      <c r="D101" s="293"/>
      <c r="F101" s="293" t="s">
        <v>47</v>
      </c>
      <c r="G101" s="293" t="s">
        <v>183</v>
      </c>
      <c r="H101" s="349"/>
      <c r="I101" s="349"/>
      <c r="J101" s="416">
        <f>'Initial unit rates'!J227</f>
        <v>1.8027857814506588E-3</v>
      </c>
      <c r="K101" s="416">
        <f>'Initial unit rates'!K227</f>
        <v>1.8027857814506588E-3</v>
      </c>
      <c r="L101" s="416">
        <f>'Initial unit rates'!L227</f>
        <v>1.5889437560454203E-3</v>
      </c>
      <c r="M101" s="416">
        <f>'Initial unit rates'!M227</f>
        <v>1.5889437560454203E-3</v>
      </c>
      <c r="N101" s="416">
        <f>'Initial unit rates'!N227</f>
        <v>1.3917340439919886E-3</v>
      </c>
      <c r="O101" s="416">
        <f>'Initial unit rates'!O227</f>
        <v>1.1131777989257581E-3</v>
      </c>
      <c r="P101" s="416">
        <f>'Initial unit rates'!P227</f>
        <v>1.1613666200200835E-3</v>
      </c>
      <c r="Q101" s="416">
        <f>'Initial unit rates'!Q227</f>
        <v>1.1918129970800607E-3</v>
      </c>
      <c r="R101" s="416">
        <f>'Initial unit rates'!R227</f>
        <v>-1.2235396129591386E-3</v>
      </c>
      <c r="S101" s="416">
        <f>'Initial unit rates'!S227</f>
        <v>-1.174058231552703E-3</v>
      </c>
      <c r="T101" s="416">
        <f>'Initial unit rates'!T227</f>
        <v>-1.2235396129591386E-3</v>
      </c>
      <c r="U101" s="416">
        <f>'Initial unit rates'!U227</f>
        <v>-1.2235396129591386E-3</v>
      </c>
      <c r="V101" s="416">
        <f>'Initial unit rates'!V227</f>
        <v>-1.174058231552703E-3</v>
      </c>
      <c r="W101" s="416">
        <f>'Initial unit rates'!W227</f>
        <v>-1.174058231552703E-3</v>
      </c>
      <c r="X101" s="416">
        <f>'Initial unit rates'!X227</f>
        <v>-1.1571895788005087E-3</v>
      </c>
      <c r="Y101" s="416">
        <f>'Initial unit rates'!Y227</f>
        <v>-1.1571895788005087E-3</v>
      </c>
      <c r="Z101" s="349"/>
      <c r="AA101" s="349"/>
    </row>
    <row r="102" spans="3:42" x14ac:dyDescent="0.25">
      <c r="D102" s="293"/>
      <c r="F102" s="293" t="s">
        <v>51</v>
      </c>
      <c r="G102" s="293" t="s">
        <v>183</v>
      </c>
      <c r="H102" s="349"/>
      <c r="I102" s="349"/>
      <c r="J102" s="416">
        <f>'Initial unit rates'!J228</f>
        <v>0</v>
      </c>
      <c r="K102" s="416">
        <f>'Initial unit rates'!K228</f>
        <v>0</v>
      </c>
      <c r="L102" s="416">
        <f>'Initial unit rates'!L228</f>
        <v>0</v>
      </c>
      <c r="M102" s="416">
        <f>'Initial unit rates'!M228</f>
        <v>0</v>
      </c>
      <c r="N102" s="416">
        <f>'Initial unit rates'!N228</f>
        <v>0</v>
      </c>
      <c r="O102" s="416">
        <f>'Initial unit rates'!O228</f>
        <v>0</v>
      </c>
      <c r="P102" s="416">
        <f>'Initial unit rates'!P228</f>
        <v>0</v>
      </c>
      <c r="Q102" s="416">
        <f>'Initial unit rates'!Q228</f>
        <v>0</v>
      </c>
      <c r="R102" s="416">
        <f>'Initial unit rates'!R228</f>
        <v>0</v>
      </c>
      <c r="S102" s="416">
        <f>'Initial unit rates'!S228</f>
        <v>0</v>
      </c>
      <c r="T102" s="416">
        <f>'Initial unit rates'!T228</f>
        <v>0</v>
      </c>
      <c r="U102" s="416">
        <f>'Initial unit rates'!U228</f>
        <v>0</v>
      </c>
      <c r="V102" s="416">
        <f>'Initial unit rates'!V228</f>
        <v>0</v>
      </c>
      <c r="W102" s="416">
        <f>'Initial unit rates'!W228</f>
        <v>0</v>
      </c>
      <c r="X102" s="416">
        <f>'Initial unit rates'!X228</f>
        <v>0</v>
      </c>
      <c r="Y102" s="416">
        <f>'Initial unit rates'!Y228</f>
        <v>0</v>
      </c>
      <c r="Z102" s="349"/>
      <c r="AA102" s="349"/>
    </row>
    <row r="103" spans="3:42" x14ac:dyDescent="0.25">
      <c r="D103" s="293"/>
      <c r="F103" s="293" t="s">
        <v>48</v>
      </c>
      <c r="G103" s="293" t="s">
        <v>183</v>
      </c>
      <c r="H103" s="349"/>
      <c r="I103" s="349"/>
      <c r="J103" s="416">
        <f>'Initial unit rates'!J229</f>
        <v>1.1559909900095651E-2</v>
      </c>
      <c r="K103" s="416">
        <f>'Initial unit rates'!K229</f>
        <v>1.1559909900095651E-2</v>
      </c>
      <c r="L103" s="416">
        <f>'Initial unit rates'!L229</f>
        <v>1.0188701755471074E-2</v>
      </c>
      <c r="M103" s="416">
        <f>'Initial unit rates'!M229</f>
        <v>1.0188701755471074E-2</v>
      </c>
      <c r="N103" s="416">
        <f>'Initial unit rates'!N229</f>
        <v>8.9241441323645553E-3</v>
      </c>
      <c r="O103" s="416">
        <f>'Initial unit rates'!O229</f>
        <v>7.1379723485581236E-3</v>
      </c>
      <c r="P103" s="416">
        <f>'Initial unit rates'!P229</f>
        <v>7.4469710303615632E-3</v>
      </c>
      <c r="Q103" s="416">
        <f>'Initial unit rates'!Q229</f>
        <v>7.642200757164967E-3</v>
      </c>
      <c r="R103" s="416">
        <f>'Initial unit rates'!R229</f>
        <v>-7.8456396930445052E-3</v>
      </c>
      <c r="S103" s="416">
        <f>'Initial unit rates'!S229</f>
        <v>-7.5283527936934403E-3</v>
      </c>
      <c r="T103" s="416">
        <f>'Initial unit rates'!T229</f>
        <v>-7.8456396930445052E-3</v>
      </c>
      <c r="U103" s="416">
        <f>'Initial unit rates'!U229</f>
        <v>-7.8456396930445052E-3</v>
      </c>
      <c r="V103" s="416">
        <f>'Initial unit rates'!V229</f>
        <v>-7.5283527936934403E-3</v>
      </c>
      <c r="W103" s="416">
        <f>'Initial unit rates'!W229</f>
        <v>-7.5283527936934403E-3</v>
      </c>
      <c r="X103" s="416">
        <f>'Initial unit rates'!X229</f>
        <v>0</v>
      </c>
      <c r="Y103" s="416">
        <f>'Initial unit rates'!Y229</f>
        <v>0</v>
      </c>
      <c r="Z103" s="349"/>
      <c r="AA103" s="349"/>
    </row>
    <row r="104" spans="3:42" x14ac:dyDescent="0.25">
      <c r="D104" s="293"/>
      <c r="F104" s="293" t="s">
        <v>49</v>
      </c>
      <c r="G104" s="293" t="s">
        <v>183</v>
      </c>
      <c r="H104" s="349"/>
      <c r="I104" s="349"/>
      <c r="J104" s="416">
        <f>'Initial unit rates'!J230</f>
        <v>4.3578522504080916E-3</v>
      </c>
      <c r="K104" s="416">
        <f>'Initial unit rates'!K230</f>
        <v>4.3578522504080916E-3</v>
      </c>
      <c r="L104" s="416">
        <f>'Initial unit rates'!L230</f>
        <v>3.8409345105232273E-3</v>
      </c>
      <c r="M104" s="416">
        <f>'Initial unit rates'!M230</f>
        <v>3.8409345105232273E-3</v>
      </c>
      <c r="N104" s="416">
        <f>'Initial unit rates'!N230</f>
        <v>3.3642218604030168E-3</v>
      </c>
      <c r="O104" s="416">
        <f>'Initial unit rates'!O230</f>
        <v>2.6908712205669844E-3</v>
      </c>
      <c r="P104" s="416">
        <f>'Initial unit rates'!P230</f>
        <v>0</v>
      </c>
      <c r="Q104" s="416">
        <f>'Initial unit rates'!Q230</f>
        <v>2.8809551333446128E-3</v>
      </c>
      <c r="R104" s="416">
        <f>'Initial unit rates'!R230</f>
        <v>-2.9576474979222931E-3</v>
      </c>
      <c r="S104" s="416">
        <f>'Initial unit rates'!S230</f>
        <v>0</v>
      </c>
      <c r="T104" s="416">
        <f>'Initial unit rates'!T230</f>
        <v>-2.9576474979222931E-3</v>
      </c>
      <c r="U104" s="416">
        <f>'Initial unit rates'!U230</f>
        <v>-2.9576474979222931E-3</v>
      </c>
      <c r="V104" s="416">
        <f>'Initial unit rates'!V230</f>
        <v>0</v>
      </c>
      <c r="W104" s="416">
        <f>'Initial unit rates'!W230</f>
        <v>0</v>
      </c>
      <c r="X104" s="416">
        <f>'Initial unit rates'!X230</f>
        <v>0</v>
      </c>
      <c r="Y104" s="416">
        <f>'Initial unit rates'!Y230</f>
        <v>0</v>
      </c>
      <c r="Z104" s="349"/>
      <c r="AA104" s="349"/>
    </row>
    <row r="105" spans="3:42" x14ac:dyDescent="0.25">
      <c r="D105" s="293"/>
      <c r="F105" s="293" t="s">
        <v>50</v>
      </c>
      <c r="G105" s="293" t="s">
        <v>183</v>
      </c>
      <c r="H105" s="349"/>
      <c r="I105" s="349"/>
      <c r="J105" s="416">
        <f>'Initial unit rates'!J231</f>
        <v>1.1470974726441466E-2</v>
      </c>
      <c r="K105" s="416">
        <f>'Initial unit rates'!K231</f>
        <v>1.1470974726441466E-2</v>
      </c>
      <c r="L105" s="416">
        <f>'Initial unit rates'!L231</f>
        <v>1.0110315853871095E-2</v>
      </c>
      <c r="M105" s="416">
        <f>'Initial unit rates'!M231</f>
        <v>1.0110315853871095E-2</v>
      </c>
      <c r="N105" s="416">
        <f>'Initial unit rates'!N231</f>
        <v>8.8554869961942947E-3</v>
      </c>
      <c r="O105" s="416">
        <f>'Initial unit rates'!O231</f>
        <v>0</v>
      </c>
      <c r="P105" s="416">
        <f>'Initial unit rates'!P231</f>
        <v>0</v>
      </c>
      <c r="Q105" s="416">
        <f>'Initial unit rates'!Q231</f>
        <v>7.583406142214465E-3</v>
      </c>
      <c r="R105" s="416">
        <f>'Initial unit rates'!R231</f>
        <v>0</v>
      </c>
      <c r="S105" s="416">
        <f>'Initial unit rates'!S231</f>
        <v>0</v>
      </c>
      <c r="T105" s="416">
        <f>'Initial unit rates'!T231</f>
        <v>0</v>
      </c>
      <c r="U105" s="416">
        <f>'Initial unit rates'!U231</f>
        <v>0</v>
      </c>
      <c r="V105" s="416">
        <f>'Initial unit rates'!V231</f>
        <v>0</v>
      </c>
      <c r="W105" s="416">
        <f>'Initial unit rates'!W231</f>
        <v>0</v>
      </c>
      <c r="X105" s="416">
        <f>'Initial unit rates'!X231</f>
        <v>0</v>
      </c>
      <c r="Y105" s="416">
        <f>'Initial unit rates'!Y231</f>
        <v>0</v>
      </c>
      <c r="Z105" s="349"/>
      <c r="AA105" s="349"/>
    </row>
    <row r="106" spans="3:42" x14ac:dyDescent="0.25">
      <c r="D106" s="293"/>
      <c r="F106" s="91" t="s">
        <v>124</v>
      </c>
      <c r="G106" s="91" t="s">
        <v>183</v>
      </c>
      <c r="H106" s="347"/>
      <c r="I106" s="347" t="s">
        <v>359</v>
      </c>
      <c r="J106" s="359"/>
      <c r="K106" s="359"/>
      <c r="L106" s="359"/>
      <c r="M106" s="359"/>
      <c r="N106" s="359"/>
      <c r="O106" s="359"/>
      <c r="P106" s="359"/>
      <c r="Q106" s="358">
        <f>'Service model charges'!$Q$44</f>
        <v>2.207787019838531</v>
      </c>
      <c r="R106" s="359"/>
      <c r="S106" s="359"/>
      <c r="T106" s="359"/>
      <c r="U106" s="359"/>
      <c r="V106" s="359"/>
      <c r="W106" s="359"/>
      <c r="X106" s="359"/>
      <c r="Y106" s="359"/>
      <c r="Z106" s="349"/>
      <c r="AA106" s="349" t="s">
        <v>729</v>
      </c>
    </row>
    <row r="107" spans="3:42" x14ac:dyDescent="0.25">
      <c r="D107" s="293"/>
      <c r="F107" s="93" t="s">
        <v>123</v>
      </c>
      <c r="G107" s="93" t="s">
        <v>183</v>
      </c>
      <c r="H107" s="351"/>
      <c r="I107" s="351"/>
      <c r="J107" s="356"/>
      <c r="K107" s="356"/>
      <c r="L107" s="356"/>
      <c r="M107" s="356"/>
      <c r="N107" s="356"/>
      <c r="O107" s="356"/>
      <c r="P107" s="356"/>
      <c r="Q107" s="356"/>
      <c r="R107" s="356"/>
      <c r="S107" s="356"/>
      <c r="T107" s="356"/>
      <c r="U107" s="356"/>
      <c r="V107" s="356"/>
      <c r="W107" s="356"/>
      <c r="X107" s="356"/>
      <c r="Y107" s="356"/>
      <c r="Z107" s="349"/>
      <c r="AA107" s="349"/>
    </row>
    <row r="109" spans="3:42" x14ac:dyDescent="0.25">
      <c r="C109" s="7" t="str">
        <f ca="1">INDEX('Version control'!$H$35:$H$61,MATCH($A$1,'Version control'!$F$35:$F$61,0),1)&amp;"-D: Standing charge factors"</f>
        <v>Section 514-D: Standing charge factors</v>
      </c>
      <c r="D109" s="7"/>
      <c r="E109" s="7"/>
      <c r="F109" s="7"/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  <c r="Z109" s="7"/>
      <c r="AA109" s="7"/>
    </row>
    <row r="110" spans="3:42" x14ac:dyDescent="0.25">
      <c r="D110" s="96"/>
      <c r="E110" s="96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  <c r="W110" s="90"/>
      <c r="X110" s="90"/>
      <c r="Y110" s="90"/>
    </row>
    <row r="111" spans="3:42" x14ac:dyDescent="0.25">
      <c r="D111" s="293"/>
      <c r="E111" s="96" t="s">
        <v>263</v>
      </c>
      <c r="H111" s="111"/>
      <c r="I111" s="293" t="s">
        <v>359</v>
      </c>
      <c r="J111" s="90"/>
      <c r="L111" s="90"/>
      <c r="AA111" s="293" t="s">
        <v>703</v>
      </c>
      <c r="AP111" s="88"/>
    </row>
    <row r="112" spans="3:42" x14ac:dyDescent="0.25">
      <c r="C112" s="96"/>
      <c r="D112" s="293"/>
      <c r="E112" s="293"/>
      <c r="F112" s="91" t="s">
        <v>43</v>
      </c>
      <c r="G112" s="91" t="s">
        <v>94</v>
      </c>
      <c r="H112" s="74"/>
      <c r="I112" s="91"/>
      <c r="J112" s="137">
        <f>'Standing charge factors'!J44</f>
        <v>0</v>
      </c>
      <c r="K112" s="137">
        <f>'Standing charge factors'!K44</f>
        <v>0</v>
      </c>
      <c r="L112" s="137">
        <f>'Standing charge factors'!L44</f>
        <v>0</v>
      </c>
      <c r="M112" s="137">
        <f>'Standing charge factors'!M44</f>
        <v>0</v>
      </c>
      <c r="N112" s="137">
        <f>'Standing charge factors'!N44</f>
        <v>0</v>
      </c>
      <c r="O112" s="137">
        <f>'Standing charge factors'!O44</f>
        <v>0</v>
      </c>
      <c r="P112" s="137">
        <f>'Standing charge factors'!P44</f>
        <v>0</v>
      </c>
      <c r="Q112" s="137">
        <f>'Standing charge factors'!Q44</f>
        <v>0</v>
      </c>
      <c r="R112" s="137">
        <f>'Standing charge factors'!R44</f>
        <v>0</v>
      </c>
      <c r="S112" s="137">
        <f>'Standing charge factors'!S44</f>
        <v>0</v>
      </c>
      <c r="T112" s="137">
        <f>'Standing charge factors'!T44</f>
        <v>0</v>
      </c>
      <c r="U112" s="137">
        <f>'Standing charge factors'!U44</f>
        <v>0</v>
      </c>
      <c r="V112" s="137">
        <f>'Standing charge factors'!V44</f>
        <v>0</v>
      </c>
      <c r="W112" s="137">
        <f>'Standing charge factors'!W44</f>
        <v>0</v>
      </c>
      <c r="X112" s="137">
        <f>'Standing charge factors'!X44</f>
        <v>0</v>
      </c>
      <c r="Y112" s="137">
        <f>'Standing charge factors'!Y44</f>
        <v>0</v>
      </c>
      <c r="AP112" s="88"/>
    </row>
    <row r="113" spans="2:42" x14ac:dyDescent="0.25">
      <c r="C113" s="96"/>
      <c r="D113" s="293"/>
      <c r="E113" s="293"/>
      <c r="F113" s="293" t="s">
        <v>44</v>
      </c>
      <c r="G113" s="293" t="s">
        <v>94</v>
      </c>
      <c r="H113" s="90"/>
      <c r="J113" s="143">
        <f>'Standing charge factors'!J45</f>
        <v>0</v>
      </c>
      <c r="K113" s="143">
        <f>'Standing charge factors'!K45</f>
        <v>0</v>
      </c>
      <c r="L113" s="143">
        <f>'Standing charge factors'!L45</f>
        <v>0</v>
      </c>
      <c r="M113" s="143">
        <f>'Standing charge factors'!M45</f>
        <v>0</v>
      </c>
      <c r="N113" s="143">
        <f>'Standing charge factors'!N45</f>
        <v>0</v>
      </c>
      <c r="O113" s="143">
        <f>'Standing charge factors'!O45</f>
        <v>0</v>
      </c>
      <c r="P113" s="143">
        <f>'Standing charge factors'!P45</f>
        <v>0</v>
      </c>
      <c r="Q113" s="143">
        <f>'Standing charge factors'!Q45</f>
        <v>0</v>
      </c>
      <c r="R113" s="143">
        <f>'Standing charge factors'!R45</f>
        <v>0</v>
      </c>
      <c r="S113" s="143">
        <f>'Standing charge factors'!S45</f>
        <v>0</v>
      </c>
      <c r="T113" s="143">
        <f>'Standing charge factors'!T45</f>
        <v>0</v>
      </c>
      <c r="U113" s="143">
        <f>'Standing charge factors'!U45</f>
        <v>0</v>
      </c>
      <c r="V113" s="143">
        <f>'Standing charge factors'!V45</f>
        <v>0</v>
      </c>
      <c r="W113" s="143">
        <f>'Standing charge factors'!W45</f>
        <v>0</v>
      </c>
      <c r="X113" s="143">
        <f>'Standing charge factors'!X45</f>
        <v>0</v>
      </c>
      <c r="Y113" s="143">
        <f>'Standing charge factors'!Y45</f>
        <v>0</v>
      </c>
      <c r="AP113" s="88"/>
    </row>
    <row r="114" spans="2:42" x14ac:dyDescent="0.25">
      <c r="C114" s="96"/>
      <c r="D114" s="293"/>
      <c r="E114" s="293"/>
      <c r="F114" s="293" t="s">
        <v>45</v>
      </c>
      <c r="G114" s="293" t="s">
        <v>94</v>
      </c>
      <c r="H114" s="90"/>
      <c r="J114" s="143">
        <f>'Standing charge factors'!J46</f>
        <v>0</v>
      </c>
      <c r="K114" s="143">
        <f>'Standing charge factors'!K46</f>
        <v>0</v>
      </c>
      <c r="L114" s="143">
        <f>'Standing charge factors'!L46</f>
        <v>0</v>
      </c>
      <c r="M114" s="143">
        <f>'Standing charge factors'!M46</f>
        <v>0</v>
      </c>
      <c r="N114" s="143">
        <f>'Standing charge factors'!N46</f>
        <v>0</v>
      </c>
      <c r="O114" s="143">
        <f>'Standing charge factors'!O46</f>
        <v>0</v>
      </c>
      <c r="P114" s="143">
        <f>'Standing charge factors'!P46</f>
        <v>0</v>
      </c>
      <c r="Q114" s="143">
        <f>'Standing charge factors'!Q46</f>
        <v>0</v>
      </c>
      <c r="R114" s="143">
        <f>'Standing charge factors'!R46</f>
        <v>0</v>
      </c>
      <c r="S114" s="143">
        <f>'Standing charge factors'!S46</f>
        <v>0</v>
      </c>
      <c r="T114" s="143">
        <f>'Standing charge factors'!T46</f>
        <v>0</v>
      </c>
      <c r="U114" s="143">
        <f>'Standing charge factors'!U46</f>
        <v>0</v>
      </c>
      <c r="V114" s="143">
        <f>'Standing charge factors'!V46</f>
        <v>0</v>
      </c>
      <c r="W114" s="143">
        <f>'Standing charge factors'!W46</f>
        <v>0</v>
      </c>
      <c r="X114" s="143">
        <f>'Standing charge factors'!X46</f>
        <v>0</v>
      </c>
      <c r="Y114" s="143">
        <f>'Standing charge factors'!Y46</f>
        <v>0</v>
      </c>
      <c r="AP114" s="88"/>
    </row>
    <row r="115" spans="2:42" x14ac:dyDescent="0.25">
      <c r="C115" s="96"/>
      <c r="D115" s="293"/>
      <c r="E115" s="293"/>
      <c r="F115" s="293" t="s">
        <v>46</v>
      </c>
      <c r="G115" s="293" t="s">
        <v>94</v>
      </c>
      <c r="H115" s="90"/>
      <c r="J115" s="143">
        <f>'Standing charge factors'!J47</f>
        <v>0</v>
      </c>
      <c r="K115" s="143">
        <f>'Standing charge factors'!K47</f>
        <v>0</v>
      </c>
      <c r="L115" s="143">
        <f>'Standing charge factors'!L47</f>
        <v>0</v>
      </c>
      <c r="M115" s="143">
        <f>'Standing charge factors'!M47</f>
        <v>0</v>
      </c>
      <c r="N115" s="143">
        <f>'Standing charge factors'!N47</f>
        <v>0</v>
      </c>
      <c r="O115" s="143">
        <f>'Standing charge factors'!O47</f>
        <v>0</v>
      </c>
      <c r="P115" s="143">
        <f>'Standing charge factors'!P47</f>
        <v>0.2</v>
      </c>
      <c r="Q115" s="143">
        <f>'Standing charge factors'!Q47</f>
        <v>0</v>
      </c>
      <c r="R115" s="143">
        <f>'Standing charge factors'!R47</f>
        <v>0</v>
      </c>
      <c r="S115" s="143">
        <f>'Standing charge factors'!S47</f>
        <v>0</v>
      </c>
      <c r="T115" s="143">
        <f>'Standing charge factors'!T47</f>
        <v>0</v>
      </c>
      <c r="U115" s="143">
        <f>'Standing charge factors'!U47</f>
        <v>0</v>
      </c>
      <c r="V115" s="143">
        <f>'Standing charge factors'!V47</f>
        <v>0</v>
      </c>
      <c r="W115" s="143">
        <f>'Standing charge factors'!W47</f>
        <v>0</v>
      </c>
      <c r="X115" s="143">
        <f>'Standing charge factors'!X47</f>
        <v>0</v>
      </c>
      <c r="Y115" s="143">
        <f>'Standing charge factors'!Y47</f>
        <v>0</v>
      </c>
      <c r="AP115" s="88"/>
    </row>
    <row r="116" spans="2:42" x14ac:dyDescent="0.25">
      <c r="C116" s="96"/>
      <c r="D116" s="293"/>
      <c r="E116" s="293"/>
      <c r="F116" s="293" t="s">
        <v>47</v>
      </c>
      <c r="G116" s="293" t="s">
        <v>94</v>
      </c>
      <c r="H116" s="90"/>
      <c r="J116" s="143">
        <f>'Standing charge factors'!J48</f>
        <v>0</v>
      </c>
      <c r="K116" s="143">
        <f>'Standing charge factors'!K48</f>
        <v>0</v>
      </c>
      <c r="L116" s="143">
        <f>'Standing charge factors'!L48</f>
        <v>0</v>
      </c>
      <c r="M116" s="143">
        <f>'Standing charge factors'!M48</f>
        <v>0</v>
      </c>
      <c r="N116" s="143">
        <f>'Standing charge factors'!N48</f>
        <v>0</v>
      </c>
      <c r="O116" s="143">
        <f>'Standing charge factors'!O48</f>
        <v>0</v>
      </c>
      <c r="P116" s="143">
        <f>'Standing charge factors'!P48</f>
        <v>1</v>
      </c>
      <c r="Q116" s="143">
        <f>'Standing charge factors'!Q48</f>
        <v>0</v>
      </c>
      <c r="R116" s="143">
        <f>'Standing charge factors'!R48</f>
        <v>0</v>
      </c>
      <c r="S116" s="143">
        <f>'Standing charge factors'!S48</f>
        <v>0</v>
      </c>
      <c r="T116" s="143">
        <f>'Standing charge factors'!T48</f>
        <v>0</v>
      </c>
      <c r="U116" s="143">
        <f>'Standing charge factors'!U48</f>
        <v>0</v>
      </c>
      <c r="V116" s="143">
        <f>'Standing charge factors'!V48</f>
        <v>0</v>
      </c>
      <c r="W116" s="143">
        <f>'Standing charge factors'!W48</f>
        <v>0</v>
      </c>
      <c r="X116" s="143">
        <f>'Standing charge factors'!X48</f>
        <v>0</v>
      </c>
      <c r="Y116" s="143">
        <f>'Standing charge factors'!Y48</f>
        <v>0</v>
      </c>
      <c r="AP116" s="88"/>
    </row>
    <row r="117" spans="2:42" x14ac:dyDescent="0.25">
      <c r="C117" s="96"/>
      <c r="D117" s="293"/>
      <c r="E117" s="293"/>
      <c r="F117" s="293" t="s">
        <v>51</v>
      </c>
      <c r="G117" s="293" t="s">
        <v>94</v>
      </c>
      <c r="H117" s="90"/>
      <c r="J117" s="143">
        <f>'Standing charge factors'!J49</f>
        <v>0</v>
      </c>
      <c r="K117" s="143">
        <f>'Standing charge factors'!K49</f>
        <v>0</v>
      </c>
      <c r="L117" s="143">
        <f>'Standing charge factors'!L49</f>
        <v>0</v>
      </c>
      <c r="M117" s="143">
        <f>'Standing charge factors'!M49</f>
        <v>0</v>
      </c>
      <c r="N117" s="143">
        <f>'Standing charge factors'!N49</f>
        <v>0</v>
      </c>
      <c r="O117" s="143">
        <f>'Standing charge factors'!O49</f>
        <v>0</v>
      </c>
      <c r="P117" s="143">
        <f>'Standing charge factors'!P49</f>
        <v>1</v>
      </c>
      <c r="Q117" s="143">
        <f>'Standing charge factors'!Q49</f>
        <v>0</v>
      </c>
      <c r="R117" s="143">
        <f>'Standing charge factors'!R49</f>
        <v>0</v>
      </c>
      <c r="S117" s="143">
        <f>'Standing charge factors'!S49</f>
        <v>0</v>
      </c>
      <c r="T117" s="143">
        <f>'Standing charge factors'!T49</f>
        <v>0</v>
      </c>
      <c r="U117" s="143">
        <f>'Standing charge factors'!U49</f>
        <v>0</v>
      </c>
      <c r="V117" s="143">
        <f>'Standing charge factors'!V49</f>
        <v>0</v>
      </c>
      <c r="W117" s="143">
        <f>'Standing charge factors'!W49</f>
        <v>0</v>
      </c>
      <c r="X117" s="143">
        <f>'Standing charge factors'!X49</f>
        <v>0</v>
      </c>
      <c r="Y117" s="143">
        <f>'Standing charge factors'!Y49</f>
        <v>0</v>
      </c>
      <c r="AP117" s="88"/>
    </row>
    <row r="118" spans="2:42" x14ac:dyDescent="0.25">
      <c r="C118" s="96"/>
      <c r="D118" s="293"/>
      <c r="E118" s="293"/>
      <c r="F118" s="293" t="s">
        <v>48</v>
      </c>
      <c r="G118" s="293" t="s">
        <v>94</v>
      </c>
      <c r="H118" s="90"/>
      <c r="J118" s="143">
        <f>'Standing charge factors'!J50</f>
        <v>0</v>
      </c>
      <c r="K118" s="143">
        <f>'Standing charge factors'!K50</f>
        <v>0</v>
      </c>
      <c r="L118" s="143">
        <f>'Standing charge factors'!L50</f>
        <v>0</v>
      </c>
      <c r="M118" s="143">
        <f>'Standing charge factors'!M50</f>
        <v>0</v>
      </c>
      <c r="N118" s="143">
        <f>'Standing charge factors'!N50</f>
        <v>0.2</v>
      </c>
      <c r="O118" s="143">
        <f>'Standing charge factors'!O50</f>
        <v>1</v>
      </c>
      <c r="P118" s="143">
        <f>'Standing charge factors'!P50</f>
        <v>1</v>
      </c>
      <c r="Q118" s="143">
        <f>'Standing charge factors'!Q50</f>
        <v>0</v>
      </c>
      <c r="R118" s="143">
        <f>'Standing charge factors'!R50</f>
        <v>0</v>
      </c>
      <c r="S118" s="143">
        <f>'Standing charge factors'!S50</f>
        <v>0</v>
      </c>
      <c r="T118" s="143">
        <f>'Standing charge factors'!T50</f>
        <v>0</v>
      </c>
      <c r="U118" s="143">
        <f>'Standing charge factors'!U50</f>
        <v>0</v>
      </c>
      <c r="V118" s="143">
        <f>'Standing charge factors'!V50</f>
        <v>0</v>
      </c>
      <c r="W118" s="143">
        <f>'Standing charge factors'!W50</f>
        <v>0</v>
      </c>
      <c r="X118" s="143">
        <f>'Standing charge factors'!X50</f>
        <v>0</v>
      </c>
      <c r="Y118" s="143">
        <f>'Standing charge factors'!Y50</f>
        <v>0</v>
      </c>
      <c r="AP118" s="88"/>
    </row>
    <row r="119" spans="2:42" x14ac:dyDescent="0.25">
      <c r="C119" s="96"/>
      <c r="D119" s="293"/>
      <c r="E119" s="293"/>
      <c r="F119" s="293" t="s">
        <v>49</v>
      </c>
      <c r="G119" s="293" t="s">
        <v>94</v>
      </c>
      <c r="H119" s="90"/>
      <c r="J119" s="143">
        <f>'Standing charge factors'!J51</f>
        <v>0</v>
      </c>
      <c r="K119" s="143">
        <f>'Standing charge factors'!K51</f>
        <v>0</v>
      </c>
      <c r="L119" s="143">
        <f>'Standing charge factors'!L51</f>
        <v>0</v>
      </c>
      <c r="M119" s="143">
        <f>'Standing charge factors'!M51</f>
        <v>0</v>
      </c>
      <c r="N119" s="143">
        <f>'Standing charge factors'!N51</f>
        <v>1</v>
      </c>
      <c r="O119" s="143">
        <f>'Standing charge factors'!O51</f>
        <v>1</v>
      </c>
      <c r="P119" s="143">
        <f>'Standing charge factors'!P51</f>
        <v>0</v>
      </c>
      <c r="Q119" s="143">
        <f>'Standing charge factors'!Q51</f>
        <v>0</v>
      </c>
      <c r="R119" s="143">
        <f>'Standing charge factors'!R51</f>
        <v>0</v>
      </c>
      <c r="S119" s="143">
        <f>'Standing charge factors'!S51</f>
        <v>0</v>
      </c>
      <c r="T119" s="143">
        <f>'Standing charge factors'!T51</f>
        <v>0</v>
      </c>
      <c r="U119" s="143">
        <f>'Standing charge factors'!U51</f>
        <v>0</v>
      </c>
      <c r="V119" s="143">
        <f>'Standing charge factors'!V51</f>
        <v>0</v>
      </c>
      <c r="W119" s="143">
        <f>'Standing charge factors'!W51</f>
        <v>0</v>
      </c>
      <c r="X119" s="143">
        <f>'Standing charge factors'!X51</f>
        <v>0</v>
      </c>
      <c r="Y119" s="143">
        <f>'Standing charge factors'!Y51</f>
        <v>0</v>
      </c>
      <c r="AP119" s="88"/>
    </row>
    <row r="120" spans="2:42" x14ac:dyDescent="0.25">
      <c r="C120" s="96"/>
      <c r="D120" s="293"/>
      <c r="E120" s="293"/>
      <c r="F120" s="93" t="s">
        <v>50</v>
      </c>
      <c r="G120" s="93" t="s">
        <v>94</v>
      </c>
      <c r="H120" s="187"/>
      <c r="I120" s="93"/>
      <c r="J120" s="390">
        <f>'Standing charge factors'!J52</f>
        <v>1</v>
      </c>
      <c r="K120" s="390">
        <f>'Standing charge factors'!K52</f>
        <v>1</v>
      </c>
      <c r="L120" s="390">
        <f>'Standing charge factors'!L52</f>
        <v>1</v>
      </c>
      <c r="M120" s="390">
        <f>'Standing charge factors'!M52</f>
        <v>1</v>
      </c>
      <c r="N120" s="390">
        <f>'Standing charge factors'!N52</f>
        <v>1</v>
      </c>
      <c r="O120" s="390">
        <f>'Standing charge factors'!O52</f>
        <v>0</v>
      </c>
      <c r="P120" s="390">
        <f>'Standing charge factors'!P52</f>
        <v>0</v>
      </c>
      <c r="Q120" s="390">
        <f>'Standing charge factors'!Q52</f>
        <v>0</v>
      </c>
      <c r="R120" s="390">
        <f>'Standing charge factors'!R52</f>
        <v>0</v>
      </c>
      <c r="S120" s="390">
        <f>'Standing charge factors'!S52</f>
        <v>0</v>
      </c>
      <c r="T120" s="390">
        <f>'Standing charge factors'!T52</f>
        <v>0</v>
      </c>
      <c r="U120" s="390">
        <f>'Standing charge factors'!U52</f>
        <v>0</v>
      </c>
      <c r="V120" s="390">
        <f>'Standing charge factors'!V52</f>
        <v>0</v>
      </c>
      <c r="W120" s="390">
        <f>'Standing charge factors'!W52</f>
        <v>0</v>
      </c>
      <c r="X120" s="390">
        <f>'Standing charge factors'!X52</f>
        <v>0</v>
      </c>
      <c r="Y120" s="390">
        <f>'Standing charge factors'!Y52</f>
        <v>0</v>
      </c>
      <c r="AP120" s="88"/>
    </row>
    <row r="122" spans="2:42" x14ac:dyDescent="0.25">
      <c r="B122" s="95" t="s">
        <v>418</v>
      </c>
      <c r="C122" s="95"/>
      <c r="D122" s="95"/>
      <c r="E122" s="95"/>
      <c r="F122" s="95"/>
      <c r="G122" s="95"/>
      <c r="H122" s="95"/>
      <c r="I122" s="95"/>
      <c r="J122" s="95"/>
      <c r="K122" s="95"/>
      <c r="L122" s="95"/>
      <c r="M122" s="95"/>
      <c r="N122" s="95"/>
      <c r="O122" s="95"/>
      <c r="P122" s="95"/>
      <c r="Q122" s="95"/>
      <c r="R122" s="95"/>
      <c r="S122" s="95"/>
      <c r="T122" s="95"/>
      <c r="U122" s="95"/>
      <c r="V122" s="95"/>
      <c r="W122" s="95"/>
      <c r="X122" s="95"/>
      <c r="Y122" s="95"/>
      <c r="Z122" s="95"/>
      <c r="AA122" s="95"/>
    </row>
    <row r="124" spans="2:42" x14ac:dyDescent="0.25">
      <c r="C124" s="7" t="str">
        <f ca="1">INDEX('Version control'!$H$35:$H$61,MATCH($A$1,'Version control'!$F$35:$F$61,0),1)&amp;"-E: Contributions to unit rate 1 p/kWh by network level (taking account of standing charges)"</f>
        <v>Section 514-E: Contributions to unit rate 1 p/kWh by network level (taking account of standing charges)</v>
      </c>
      <c r="D124" s="7"/>
      <c r="E124" s="7"/>
      <c r="F124" s="7"/>
      <c r="G124" s="7"/>
      <c r="H124" s="7"/>
      <c r="I124" s="7"/>
      <c r="J124" s="7"/>
      <c r="K124" s="7"/>
      <c r="L124" s="7"/>
      <c r="M124" s="7"/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  <c r="Z124" s="7"/>
      <c r="AA124" s="7"/>
    </row>
    <row r="125" spans="2:42" x14ac:dyDescent="0.25">
      <c r="C125" s="96"/>
      <c r="D125" s="293"/>
      <c r="E125" s="96"/>
      <c r="I125" s="293" t="s">
        <v>359</v>
      </c>
      <c r="AA125" s="293" t="s">
        <v>730</v>
      </c>
    </row>
    <row r="126" spans="2:42" x14ac:dyDescent="0.25">
      <c r="E126" s="96" t="s">
        <v>139</v>
      </c>
    </row>
    <row r="127" spans="2:42" x14ac:dyDescent="0.25">
      <c r="F127" s="91" t="s">
        <v>267</v>
      </c>
      <c r="G127" s="91" t="s">
        <v>183</v>
      </c>
      <c r="H127" s="347"/>
      <c r="I127" s="347"/>
      <c r="J127" s="530">
        <f t="shared" ref="J127:Y128" si="0">J22 * (1 - J$112)</f>
        <v>0</v>
      </c>
      <c r="K127" s="530">
        <f t="shared" si="0"/>
        <v>0</v>
      </c>
      <c r="L127" s="530">
        <f t="shared" si="0"/>
        <v>0</v>
      </c>
      <c r="M127" s="530">
        <f t="shared" si="0"/>
        <v>0</v>
      </c>
      <c r="N127" s="530">
        <f t="shared" si="0"/>
        <v>0</v>
      </c>
      <c r="O127" s="530">
        <f t="shared" si="0"/>
        <v>0</v>
      </c>
      <c r="P127" s="530">
        <f t="shared" si="0"/>
        <v>0</v>
      </c>
      <c r="Q127" s="530">
        <f t="shared" si="0"/>
        <v>0</v>
      </c>
      <c r="R127" s="530">
        <f t="shared" si="0"/>
        <v>0</v>
      </c>
      <c r="S127" s="530">
        <f t="shared" si="0"/>
        <v>0</v>
      </c>
      <c r="T127" s="530">
        <f t="shared" si="0"/>
        <v>0</v>
      </c>
      <c r="U127" s="530">
        <f t="shared" si="0"/>
        <v>0</v>
      </c>
      <c r="V127" s="530">
        <f t="shared" si="0"/>
        <v>0</v>
      </c>
      <c r="W127" s="530">
        <f t="shared" si="0"/>
        <v>0</v>
      </c>
      <c r="X127" s="530">
        <f t="shared" si="0"/>
        <v>0</v>
      </c>
      <c r="Y127" s="530">
        <f t="shared" si="0"/>
        <v>0</v>
      </c>
      <c r="Z127" s="349"/>
      <c r="AA127" s="349"/>
    </row>
    <row r="128" spans="2:42" x14ac:dyDescent="0.25">
      <c r="F128" s="293" t="s">
        <v>43</v>
      </c>
      <c r="G128" s="293" t="s">
        <v>183</v>
      </c>
      <c r="H128" s="349"/>
      <c r="I128" s="349"/>
      <c r="J128" s="417">
        <f t="shared" si="0"/>
        <v>0</v>
      </c>
      <c r="K128" s="417">
        <f t="shared" si="0"/>
        <v>0</v>
      </c>
      <c r="L128" s="417">
        <f t="shared" si="0"/>
        <v>0</v>
      </c>
      <c r="M128" s="417">
        <f t="shared" si="0"/>
        <v>0</v>
      </c>
      <c r="N128" s="417">
        <f t="shared" si="0"/>
        <v>0</v>
      </c>
      <c r="O128" s="417">
        <f t="shared" si="0"/>
        <v>0</v>
      </c>
      <c r="P128" s="417">
        <f t="shared" si="0"/>
        <v>0</v>
      </c>
      <c r="Q128" s="417">
        <f t="shared" si="0"/>
        <v>0</v>
      </c>
      <c r="R128" s="417">
        <f t="shared" si="0"/>
        <v>0</v>
      </c>
      <c r="S128" s="417">
        <f t="shared" si="0"/>
        <v>0</v>
      </c>
      <c r="T128" s="417">
        <f t="shared" si="0"/>
        <v>0</v>
      </c>
      <c r="U128" s="417">
        <f t="shared" si="0"/>
        <v>0</v>
      </c>
      <c r="V128" s="417">
        <f t="shared" si="0"/>
        <v>0</v>
      </c>
      <c r="W128" s="417">
        <f t="shared" si="0"/>
        <v>0</v>
      </c>
      <c r="X128" s="417">
        <f t="shared" si="0"/>
        <v>0</v>
      </c>
      <c r="Y128" s="417">
        <f t="shared" si="0"/>
        <v>0</v>
      </c>
      <c r="Z128" s="349"/>
      <c r="AA128" s="349"/>
    </row>
    <row r="129" spans="4:27" x14ac:dyDescent="0.25">
      <c r="F129" s="293" t="s">
        <v>44</v>
      </c>
      <c r="G129" s="293" t="s">
        <v>183</v>
      </c>
      <c r="H129" s="349"/>
      <c r="I129" s="349"/>
      <c r="J129" s="417">
        <f t="shared" ref="J129:Y129" si="1">J24 * (1 - J$113)</f>
        <v>1.6592053345614883</v>
      </c>
      <c r="K129" s="417">
        <f t="shared" si="1"/>
        <v>1.6592053345614883</v>
      </c>
      <c r="L129" s="417">
        <f t="shared" si="1"/>
        <v>1.4623944694234796</v>
      </c>
      <c r="M129" s="417">
        <f t="shared" si="1"/>
        <v>1.4623944694234796</v>
      </c>
      <c r="N129" s="417">
        <f t="shared" si="1"/>
        <v>1.2808912594286184</v>
      </c>
      <c r="O129" s="417">
        <f t="shared" si="1"/>
        <v>1.0245202515446972</v>
      </c>
      <c r="P129" s="417">
        <f t="shared" si="1"/>
        <v>1.0688711388484549</v>
      </c>
      <c r="Q129" s="417">
        <f t="shared" si="1"/>
        <v>3.0454112307686705</v>
      </c>
      <c r="R129" s="417">
        <f t="shared" si="1"/>
        <v>-1.1260924474540315</v>
      </c>
      <c r="S129" s="417">
        <f t="shared" si="1"/>
        <v>-1.0805519440643465</v>
      </c>
      <c r="T129" s="417">
        <f t="shared" si="1"/>
        <v>-1.1260924474540315</v>
      </c>
      <c r="U129" s="417">
        <f t="shared" si="1"/>
        <v>-1.1260924474540315</v>
      </c>
      <c r="V129" s="417">
        <f t="shared" si="1"/>
        <v>-1.0805519440643465</v>
      </c>
      <c r="W129" s="417">
        <f t="shared" si="1"/>
        <v>-1.0805519440643465</v>
      </c>
      <c r="X129" s="417">
        <f t="shared" si="1"/>
        <v>-1.0650267724542264</v>
      </c>
      <c r="Y129" s="417">
        <f t="shared" si="1"/>
        <v>-1.0650267724542264</v>
      </c>
      <c r="Z129" s="349"/>
      <c r="AA129" s="349"/>
    </row>
    <row r="130" spans="4:27" x14ac:dyDescent="0.25">
      <c r="F130" s="293" t="s">
        <v>45</v>
      </c>
      <c r="G130" s="293" t="s">
        <v>183</v>
      </c>
      <c r="H130" s="349"/>
      <c r="I130" s="349"/>
      <c r="J130" s="417">
        <f t="shared" ref="J130:Y130" si="2">J25 * (1 - J$114)</f>
        <v>0.42931583696806086</v>
      </c>
      <c r="K130" s="417">
        <f t="shared" si="2"/>
        <v>0.42931583696806086</v>
      </c>
      <c r="L130" s="417">
        <f t="shared" si="2"/>
        <v>0.3783914459170501</v>
      </c>
      <c r="M130" s="417">
        <f t="shared" si="2"/>
        <v>0.3783914459170501</v>
      </c>
      <c r="N130" s="417">
        <f t="shared" si="2"/>
        <v>0.33142787794375428</v>
      </c>
      <c r="O130" s="417">
        <f t="shared" si="2"/>
        <v>0.2650924271521139</v>
      </c>
      <c r="P130" s="417">
        <f t="shared" si="2"/>
        <v>0.27656812452752094</v>
      </c>
      <c r="Q130" s="417">
        <f t="shared" si="2"/>
        <v>0.78799365227145235</v>
      </c>
      <c r="R130" s="417">
        <f t="shared" si="2"/>
        <v>-0.29137401592908369</v>
      </c>
      <c r="S130" s="417">
        <f t="shared" si="2"/>
        <v>-0.27959050793195162</v>
      </c>
      <c r="T130" s="417">
        <f t="shared" si="2"/>
        <v>-0.29137401592908369</v>
      </c>
      <c r="U130" s="417">
        <f t="shared" si="2"/>
        <v>-0.29137401592908369</v>
      </c>
      <c r="V130" s="417">
        <f t="shared" si="2"/>
        <v>-0.27959050793195162</v>
      </c>
      <c r="W130" s="417">
        <f t="shared" si="2"/>
        <v>-0.27959050793195162</v>
      </c>
      <c r="X130" s="417">
        <f t="shared" si="2"/>
        <v>-0.27557340293292926</v>
      </c>
      <c r="Y130" s="417">
        <f t="shared" si="2"/>
        <v>-0.27557340293292926</v>
      </c>
      <c r="Z130" s="349"/>
      <c r="AA130" s="349"/>
    </row>
    <row r="131" spans="4:27" x14ac:dyDescent="0.25">
      <c r="F131" s="293" t="s">
        <v>46</v>
      </c>
      <c r="G131" s="293" t="s">
        <v>183</v>
      </c>
      <c r="H131" s="349"/>
      <c r="I131" s="349"/>
      <c r="J131" s="417">
        <f t="shared" ref="J131:Y131" si="3">J26 * (1 - J$115)</f>
        <v>0.96461743858537041</v>
      </c>
      <c r="K131" s="417">
        <f t="shared" si="3"/>
        <v>0.96461743858537041</v>
      </c>
      <c r="L131" s="417">
        <f t="shared" si="3"/>
        <v>0.85019688516702463</v>
      </c>
      <c r="M131" s="417">
        <f t="shared" si="3"/>
        <v>0.85019688516702463</v>
      </c>
      <c r="N131" s="417">
        <f t="shared" si="3"/>
        <v>0.74467579150049679</v>
      </c>
      <c r="O131" s="417">
        <f t="shared" si="3"/>
        <v>0.59562857003776171</v>
      </c>
      <c r="P131" s="417">
        <f t="shared" si="3"/>
        <v>0.48597582744207896</v>
      </c>
      <c r="Q131" s="417">
        <f t="shared" si="3"/>
        <v>1.7761189452365282</v>
      </c>
      <c r="R131" s="417">
        <f t="shared" si="3"/>
        <v>-0.65467991793826008</v>
      </c>
      <c r="S131" s="417">
        <f t="shared" si="3"/>
        <v>-0.62820389184516856</v>
      </c>
      <c r="T131" s="417">
        <f t="shared" si="3"/>
        <v>-0.65467991793826008</v>
      </c>
      <c r="U131" s="417">
        <f t="shared" si="3"/>
        <v>-0.65467991793826008</v>
      </c>
      <c r="V131" s="417">
        <f t="shared" si="3"/>
        <v>-0.62820389184516856</v>
      </c>
      <c r="W131" s="417">
        <f t="shared" si="3"/>
        <v>-0.62820389184516856</v>
      </c>
      <c r="X131" s="417">
        <f t="shared" si="3"/>
        <v>-0.60528492184406324</v>
      </c>
      <c r="Y131" s="417">
        <f t="shared" si="3"/>
        <v>-0.60528492184406324</v>
      </c>
      <c r="Z131" s="349"/>
      <c r="AA131" s="349"/>
    </row>
    <row r="132" spans="4:27" x14ac:dyDescent="0.25">
      <c r="F132" s="293" t="s">
        <v>47</v>
      </c>
      <c r="G132" s="293" t="s">
        <v>183</v>
      </c>
      <c r="H132" s="349"/>
      <c r="I132" s="349"/>
      <c r="J132" s="417">
        <f t="shared" ref="J132:Y132" si="4">J27 * (1 - J$116)</f>
        <v>0.67414609943160331</v>
      </c>
      <c r="K132" s="417">
        <f t="shared" si="4"/>
        <v>0.67414609943160331</v>
      </c>
      <c r="L132" s="417">
        <f t="shared" si="4"/>
        <v>0.59418054345440197</v>
      </c>
      <c r="M132" s="417">
        <f t="shared" si="4"/>
        <v>0.59418054345440197</v>
      </c>
      <c r="N132" s="417">
        <f t="shared" si="4"/>
        <v>0.5204345889883808</v>
      </c>
      <c r="O132" s="417">
        <f t="shared" si="4"/>
        <v>0.4162693531539795</v>
      </c>
      <c r="P132" s="417">
        <f t="shared" si="4"/>
        <v>0</v>
      </c>
      <c r="Q132" s="417">
        <f t="shared" si="4"/>
        <v>1.2412834468488725</v>
      </c>
      <c r="R132" s="417">
        <f t="shared" si="4"/>
        <v>-0.4575388080289407</v>
      </c>
      <c r="S132" s="417">
        <f t="shared" si="4"/>
        <v>-0.43903540035129968</v>
      </c>
      <c r="T132" s="417">
        <f t="shared" si="4"/>
        <v>-0.4575388080289407</v>
      </c>
      <c r="U132" s="417">
        <f t="shared" si="4"/>
        <v>-0.4575388080289407</v>
      </c>
      <c r="V132" s="417">
        <f t="shared" si="4"/>
        <v>-0.43903540035129968</v>
      </c>
      <c r="W132" s="417">
        <f t="shared" si="4"/>
        <v>-0.43903540035129968</v>
      </c>
      <c r="X132" s="417">
        <f t="shared" si="4"/>
        <v>-0.41410713314121689</v>
      </c>
      <c r="Y132" s="417">
        <f t="shared" si="4"/>
        <v>-0.41410713314121689</v>
      </c>
      <c r="Z132" s="349"/>
      <c r="AA132" s="349"/>
    </row>
    <row r="133" spans="4:27" x14ac:dyDescent="0.25">
      <c r="F133" s="293" t="s">
        <v>51</v>
      </c>
      <c r="G133" s="293" t="s">
        <v>183</v>
      </c>
      <c r="H133" s="349"/>
      <c r="I133" s="349"/>
      <c r="J133" s="417">
        <f t="shared" ref="J133:Y133" si="5">J28 * (1 - J$117)</f>
        <v>0</v>
      </c>
      <c r="K133" s="417">
        <f t="shared" si="5"/>
        <v>0</v>
      </c>
      <c r="L133" s="417">
        <f t="shared" si="5"/>
        <v>0</v>
      </c>
      <c r="M133" s="417">
        <f t="shared" si="5"/>
        <v>0</v>
      </c>
      <c r="N133" s="417">
        <f t="shared" si="5"/>
        <v>0</v>
      </c>
      <c r="O133" s="417">
        <f t="shared" si="5"/>
        <v>0</v>
      </c>
      <c r="P133" s="417">
        <f t="shared" si="5"/>
        <v>0</v>
      </c>
      <c r="Q133" s="417">
        <f t="shared" si="5"/>
        <v>0</v>
      </c>
      <c r="R133" s="417">
        <f t="shared" si="5"/>
        <v>0</v>
      </c>
      <c r="S133" s="417">
        <f t="shared" si="5"/>
        <v>0</v>
      </c>
      <c r="T133" s="417">
        <f t="shared" si="5"/>
        <v>0</v>
      </c>
      <c r="U133" s="417">
        <f t="shared" si="5"/>
        <v>0</v>
      </c>
      <c r="V133" s="417">
        <f t="shared" si="5"/>
        <v>0</v>
      </c>
      <c r="W133" s="417">
        <f t="shared" si="5"/>
        <v>0</v>
      </c>
      <c r="X133" s="417">
        <f t="shared" si="5"/>
        <v>0</v>
      </c>
      <c r="Y133" s="417">
        <f t="shared" si="5"/>
        <v>0</v>
      </c>
      <c r="Z133" s="349"/>
      <c r="AA133" s="349"/>
    </row>
    <row r="134" spans="4:27" x14ac:dyDescent="0.25">
      <c r="F134" s="293" t="s">
        <v>48</v>
      </c>
      <c r="G134" s="293" t="s">
        <v>183</v>
      </c>
      <c r="H134" s="349"/>
      <c r="I134" s="349"/>
      <c r="J134" s="417">
        <f t="shared" ref="J134:Y134" si="6">J29 * (1 - J$118)</f>
        <v>0.9066245278468652</v>
      </c>
      <c r="K134" s="417">
        <f t="shared" si="6"/>
        <v>0.9066245278468652</v>
      </c>
      <c r="L134" s="417">
        <f t="shared" si="6"/>
        <v>0.79908295118719364</v>
      </c>
      <c r="M134" s="417">
        <f t="shared" si="6"/>
        <v>0.79908295118719364</v>
      </c>
      <c r="N134" s="417">
        <f t="shared" si="6"/>
        <v>0.55992463819292848</v>
      </c>
      <c r="O134" s="417">
        <f t="shared" si="6"/>
        <v>0</v>
      </c>
      <c r="P134" s="417">
        <f t="shared" si="6"/>
        <v>0</v>
      </c>
      <c r="Q134" s="417">
        <f t="shared" si="6"/>
        <v>1.5910359590991647</v>
      </c>
      <c r="R134" s="417">
        <f t="shared" si="6"/>
        <v>-0.61532048639100922</v>
      </c>
      <c r="S134" s="417">
        <f t="shared" si="6"/>
        <v>-0.59043620201490232</v>
      </c>
      <c r="T134" s="417">
        <f t="shared" si="6"/>
        <v>-0.61532048639100922</v>
      </c>
      <c r="U134" s="417">
        <f t="shared" si="6"/>
        <v>-0.61532048639100922</v>
      </c>
      <c r="V134" s="417">
        <f t="shared" si="6"/>
        <v>-0.59043620201490232</v>
      </c>
      <c r="W134" s="417">
        <f t="shared" si="6"/>
        <v>-0.59043620201490232</v>
      </c>
      <c r="X134" s="417">
        <f t="shared" si="6"/>
        <v>0</v>
      </c>
      <c r="Y134" s="417">
        <f t="shared" si="6"/>
        <v>0</v>
      </c>
      <c r="Z134" s="349"/>
      <c r="AA134" s="349"/>
    </row>
    <row r="135" spans="4:27" x14ac:dyDescent="0.25">
      <c r="F135" s="293" t="s">
        <v>49</v>
      </c>
      <c r="G135" s="293" t="s">
        <v>183</v>
      </c>
      <c r="H135" s="349"/>
      <c r="I135" s="349"/>
      <c r="J135" s="417">
        <f t="shared" ref="J135:Y135" si="7">J30 * (1 - J$119)</f>
        <v>0.30025709769780901</v>
      </c>
      <c r="K135" s="417">
        <f t="shared" si="7"/>
        <v>0.30025709769780901</v>
      </c>
      <c r="L135" s="417">
        <f t="shared" si="7"/>
        <v>0.26464133759217312</v>
      </c>
      <c r="M135" s="417">
        <f t="shared" si="7"/>
        <v>0.26464133759217312</v>
      </c>
      <c r="N135" s="417">
        <f t="shared" si="7"/>
        <v>0</v>
      </c>
      <c r="O135" s="417">
        <f t="shared" si="7"/>
        <v>0</v>
      </c>
      <c r="P135" s="417">
        <f t="shared" si="7"/>
        <v>0</v>
      </c>
      <c r="Q135" s="417">
        <f t="shared" si="7"/>
        <v>0.52692137123898231</v>
      </c>
      <c r="R135" s="417">
        <f t="shared" si="7"/>
        <v>-0.20378264399766474</v>
      </c>
      <c r="S135" s="417">
        <f t="shared" si="7"/>
        <v>0</v>
      </c>
      <c r="T135" s="417">
        <f t="shared" si="7"/>
        <v>-0.20378264399766474</v>
      </c>
      <c r="U135" s="417">
        <f t="shared" si="7"/>
        <v>-0.20378264399766474</v>
      </c>
      <c r="V135" s="417">
        <f t="shared" si="7"/>
        <v>0</v>
      </c>
      <c r="W135" s="417">
        <f t="shared" si="7"/>
        <v>0</v>
      </c>
      <c r="X135" s="417">
        <f t="shared" si="7"/>
        <v>0</v>
      </c>
      <c r="Y135" s="417">
        <f t="shared" si="7"/>
        <v>0</v>
      </c>
      <c r="Z135" s="349"/>
      <c r="AA135" s="349"/>
    </row>
    <row r="136" spans="4:27" x14ac:dyDescent="0.25">
      <c r="F136" s="293" t="s">
        <v>50</v>
      </c>
      <c r="G136" s="293" t="s">
        <v>183</v>
      </c>
      <c r="H136" s="349"/>
      <c r="I136" s="349"/>
      <c r="J136" s="417">
        <f t="shared" ref="J136:Y136" si="8">J31 * (1 - J$120)</f>
        <v>0</v>
      </c>
      <c r="K136" s="417">
        <f t="shared" si="8"/>
        <v>0</v>
      </c>
      <c r="L136" s="417">
        <f t="shared" si="8"/>
        <v>0</v>
      </c>
      <c r="M136" s="417">
        <f t="shared" si="8"/>
        <v>0</v>
      </c>
      <c r="N136" s="417">
        <f t="shared" si="8"/>
        <v>0</v>
      </c>
      <c r="O136" s="417">
        <f t="shared" si="8"/>
        <v>0</v>
      </c>
      <c r="P136" s="417">
        <f t="shared" si="8"/>
        <v>0</v>
      </c>
      <c r="Q136" s="417">
        <f t="shared" si="8"/>
        <v>0.10596666175878888</v>
      </c>
      <c r="R136" s="417">
        <f t="shared" si="8"/>
        <v>0</v>
      </c>
      <c r="S136" s="417">
        <f t="shared" si="8"/>
        <v>0</v>
      </c>
      <c r="T136" s="417">
        <f t="shared" si="8"/>
        <v>0</v>
      </c>
      <c r="U136" s="417">
        <f t="shared" si="8"/>
        <v>0</v>
      </c>
      <c r="V136" s="417">
        <f t="shared" si="8"/>
        <v>0</v>
      </c>
      <c r="W136" s="417">
        <f t="shared" si="8"/>
        <v>0</v>
      </c>
      <c r="X136" s="417">
        <f t="shared" si="8"/>
        <v>0</v>
      </c>
      <c r="Y136" s="417">
        <f t="shared" si="8"/>
        <v>0</v>
      </c>
      <c r="Z136" s="349"/>
      <c r="AA136" s="349"/>
    </row>
    <row r="137" spans="4:27" x14ac:dyDescent="0.25">
      <c r="D137" s="293"/>
      <c r="F137" s="91" t="s">
        <v>124</v>
      </c>
      <c r="G137" s="91" t="s">
        <v>183</v>
      </c>
      <c r="H137" s="347"/>
      <c r="I137" s="347"/>
      <c r="J137" s="359"/>
      <c r="K137" s="359"/>
      <c r="L137" s="359"/>
      <c r="M137" s="359"/>
      <c r="N137" s="359"/>
      <c r="O137" s="359"/>
      <c r="P137" s="359"/>
      <c r="Q137" s="359"/>
      <c r="R137" s="359"/>
      <c r="S137" s="359"/>
      <c r="T137" s="359"/>
      <c r="U137" s="359"/>
      <c r="V137" s="359"/>
      <c r="W137" s="359"/>
      <c r="X137" s="359"/>
      <c r="Y137" s="359"/>
      <c r="Z137" s="349"/>
      <c r="AA137" s="349"/>
    </row>
    <row r="138" spans="4:27" x14ac:dyDescent="0.25">
      <c r="D138" s="293"/>
      <c r="F138" s="93" t="s">
        <v>123</v>
      </c>
      <c r="G138" s="93" t="s">
        <v>183</v>
      </c>
      <c r="H138" s="351"/>
      <c r="I138" s="351"/>
      <c r="J138" s="356"/>
      <c r="K138" s="356"/>
      <c r="L138" s="356"/>
      <c r="M138" s="356"/>
      <c r="N138" s="356"/>
      <c r="O138" s="356"/>
      <c r="P138" s="356"/>
      <c r="Q138" s="356"/>
      <c r="R138" s="356"/>
      <c r="S138" s="356"/>
      <c r="T138" s="356"/>
      <c r="U138" s="356"/>
      <c r="V138" s="356"/>
      <c r="W138" s="356"/>
      <c r="X138" s="356"/>
      <c r="Y138" s="356"/>
      <c r="Z138" s="349"/>
      <c r="AA138" s="349"/>
    </row>
    <row r="139" spans="4:27" x14ac:dyDescent="0.25">
      <c r="E139" s="293"/>
      <c r="J139" s="252"/>
      <c r="K139" s="252"/>
      <c r="L139" s="252"/>
      <c r="M139" s="252"/>
      <c r="N139" s="252"/>
      <c r="O139" s="252"/>
      <c r="P139" s="252"/>
      <c r="Q139" s="252"/>
      <c r="R139" s="252"/>
      <c r="S139" s="252"/>
      <c r="T139" s="252"/>
      <c r="U139" s="252"/>
      <c r="V139" s="252"/>
      <c r="W139" s="252"/>
      <c r="X139" s="252"/>
      <c r="Y139" s="252"/>
    </row>
    <row r="140" spans="4:27" x14ac:dyDescent="0.25">
      <c r="E140" s="96" t="s">
        <v>116</v>
      </c>
      <c r="J140" s="252"/>
      <c r="K140" s="252"/>
      <c r="L140" s="252"/>
      <c r="M140" s="252"/>
      <c r="N140" s="252"/>
      <c r="O140" s="252"/>
      <c r="P140" s="252"/>
      <c r="Q140" s="252"/>
      <c r="R140" s="252"/>
      <c r="S140" s="252"/>
      <c r="T140" s="252"/>
      <c r="U140" s="252"/>
      <c r="V140" s="252"/>
      <c r="W140" s="252"/>
      <c r="X140" s="252"/>
      <c r="Y140" s="252"/>
    </row>
    <row r="141" spans="4:27" x14ac:dyDescent="0.25">
      <c r="F141" s="91" t="s">
        <v>267</v>
      </c>
      <c r="G141" s="91" t="s">
        <v>183</v>
      </c>
      <c r="H141" s="347"/>
      <c r="I141" s="347"/>
      <c r="J141" s="530">
        <f t="shared" ref="J141:Y142" si="9">J36 * (1 - J$112)</f>
        <v>0.4826510535818303</v>
      </c>
      <c r="K141" s="530">
        <f t="shared" si="9"/>
        <v>0.4826510535818303</v>
      </c>
      <c r="L141" s="530">
        <f t="shared" si="9"/>
        <v>0.4254001700193587</v>
      </c>
      <c r="M141" s="530">
        <f t="shared" si="9"/>
        <v>0.4254001700193587</v>
      </c>
      <c r="N141" s="530">
        <f t="shared" si="9"/>
        <v>0.37260217467319717</v>
      </c>
      <c r="O141" s="530">
        <f t="shared" si="9"/>
        <v>0.29802566838700395</v>
      </c>
      <c r="P141" s="530">
        <f t="shared" si="9"/>
        <v>0.31092702666892202</v>
      </c>
      <c r="Q141" s="530">
        <f t="shared" si="9"/>
        <v>0.75276451585019666</v>
      </c>
      <c r="R141" s="530">
        <f t="shared" si="9"/>
        <v>-0.32757229914396008</v>
      </c>
      <c r="S141" s="530">
        <f t="shared" si="9"/>
        <v>-0.31432488998740282</v>
      </c>
      <c r="T141" s="530">
        <f t="shared" si="9"/>
        <v>-0.32757229914396008</v>
      </c>
      <c r="U141" s="530">
        <f t="shared" si="9"/>
        <v>-0.32757229914396008</v>
      </c>
      <c r="V141" s="530">
        <f t="shared" si="9"/>
        <v>-0.31432488998740282</v>
      </c>
      <c r="W141" s="530">
        <f t="shared" si="9"/>
        <v>-0.31432488998740282</v>
      </c>
      <c r="X141" s="530">
        <f t="shared" si="9"/>
        <v>-0.30980872777494017</v>
      </c>
      <c r="Y141" s="530">
        <f t="shared" si="9"/>
        <v>-0.30980872777494017</v>
      </c>
      <c r="Z141" s="349"/>
      <c r="AA141" s="349"/>
    </row>
    <row r="142" spans="4:27" x14ac:dyDescent="0.25">
      <c r="F142" s="293" t="s">
        <v>43</v>
      </c>
      <c r="G142" s="293" t="s">
        <v>183</v>
      </c>
      <c r="H142" s="349"/>
      <c r="I142" s="349"/>
      <c r="J142" s="417">
        <f t="shared" si="9"/>
        <v>0</v>
      </c>
      <c r="K142" s="417">
        <f t="shared" si="9"/>
        <v>0</v>
      </c>
      <c r="L142" s="417">
        <f t="shared" si="9"/>
        <v>0</v>
      </c>
      <c r="M142" s="417">
        <f t="shared" si="9"/>
        <v>0</v>
      </c>
      <c r="N142" s="417">
        <f t="shared" si="9"/>
        <v>0</v>
      </c>
      <c r="O142" s="417">
        <f t="shared" si="9"/>
        <v>0</v>
      </c>
      <c r="P142" s="417">
        <f t="shared" si="9"/>
        <v>0</v>
      </c>
      <c r="Q142" s="417">
        <f t="shared" si="9"/>
        <v>0</v>
      </c>
      <c r="R142" s="417">
        <f t="shared" si="9"/>
        <v>0</v>
      </c>
      <c r="S142" s="417">
        <f t="shared" si="9"/>
        <v>0</v>
      </c>
      <c r="T142" s="417">
        <f t="shared" si="9"/>
        <v>0</v>
      </c>
      <c r="U142" s="417">
        <f t="shared" si="9"/>
        <v>0</v>
      </c>
      <c r="V142" s="417">
        <f t="shared" si="9"/>
        <v>0</v>
      </c>
      <c r="W142" s="417">
        <f t="shared" si="9"/>
        <v>0</v>
      </c>
      <c r="X142" s="417">
        <f t="shared" si="9"/>
        <v>0</v>
      </c>
      <c r="Y142" s="417">
        <f t="shared" si="9"/>
        <v>0</v>
      </c>
      <c r="Z142" s="349"/>
      <c r="AA142" s="349"/>
    </row>
    <row r="143" spans="4:27" x14ac:dyDescent="0.25">
      <c r="F143" s="293" t="s">
        <v>44</v>
      </c>
      <c r="G143" s="293" t="s">
        <v>183</v>
      </c>
      <c r="H143" s="349"/>
      <c r="I143" s="349"/>
      <c r="J143" s="417">
        <f t="shared" ref="J143:Y143" si="10">J38 * (1 - J$113)</f>
        <v>0.93304040562050983</v>
      </c>
      <c r="K143" s="417">
        <f t="shared" si="10"/>
        <v>0.93304040562050983</v>
      </c>
      <c r="L143" s="417">
        <f t="shared" si="10"/>
        <v>0.82236544236322051</v>
      </c>
      <c r="M143" s="417">
        <f t="shared" si="10"/>
        <v>0.82236544236322051</v>
      </c>
      <c r="N143" s="417">
        <f t="shared" si="10"/>
        <v>0.72029861244925619</v>
      </c>
      <c r="O143" s="417">
        <f t="shared" si="10"/>
        <v>0.57613049521705595</v>
      </c>
      <c r="P143" s="417">
        <f t="shared" si="10"/>
        <v>0.60107085010716599</v>
      </c>
      <c r="Q143" s="417">
        <f t="shared" si="10"/>
        <v>1.7125618335771773</v>
      </c>
      <c r="R143" s="417">
        <f t="shared" si="10"/>
        <v>-0.63324878003504559</v>
      </c>
      <c r="S143" s="417">
        <f t="shared" si="10"/>
        <v>-0.60763945437186373</v>
      </c>
      <c r="T143" s="417">
        <f t="shared" si="10"/>
        <v>-0.63324878003504559</v>
      </c>
      <c r="U143" s="417">
        <f t="shared" si="10"/>
        <v>-0.63324878003504559</v>
      </c>
      <c r="V143" s="417">
        <f t="shared" si="10"/>
        <v>-0.60763945437186373</v>
      </c>
      <c r="W143" s="417">
        <f t="shared" si="10"/>
        <v>-0.60763945437186373</v>
      </c>
      <c r="X143" s="417">
        <f t="shared" si="10"/>
        <v>-0.59890900244123335</v>
      </c>
      <c r="Y143" s="417">
        <f t="shared" si="10"/>
        <v>-0.59890900244123335</v>
      </c>
      <c r="Z143" s="349"/>
      <c r="AA143" s="349"/>
    </row>
    <row r="144" spans="4:27" x14ac:dyDescent="0.25">
      <c r="F144" s="293" t="s">
        <v>45</v>
      </c>
      <c r="G144" s="293" t="s">
        <v>183</v>
      </c>
      <c r="H144" s="349"/>
      <c r="I144" s="349"/>
      <c r="J144" s="417">
        <f t="shared" ref="J144:Y144" si="11">J39 * (1 - J$114)</f>
        <v>0.24142221238087741</v>
      </c>
      <c r="K144" s="417">
        <f t="shared" si="11"/>
        <v>0.24142221238087741</v>
      </c>
      <c r="L144" s="417">
        <f t="shared" si="11"/>
        <v>0.21278530199222428</v>
      </c>
      <c r="M144" s="417">
        <f t="shared" si="11"/>
        <v>0.21278530199222428</v>
      </c>
      <c r="N144" s="417">
        <f t="shared" si="11"/>
        <v>0.18637572772288211</v>
      </c>
      <c r="O144" s="417">
        <f t="shared" si="11"/>
        <v>0.1490725352702075</v>
      </c>
      <c r="P144" s="417">
        <f t="shared" si="11"/>
        <v>0.15552579883614095</v>
      </c>
      <c r="Q144" s="417">
        <f t="shared" si="11"/>
        <v>0.44312171714181309</v>
      </c>
      <c r="R144" s="417">
        <f t="shared" si="11"/>
        <v>-0.1638517694867466</v>
      </c>
      <c r="S144" s="417">
        <f t="shared" si="11"/>
        <v>-0.15722541116191491</v>
      </c>
      <c r="T144" s="417">
        <f t="shared" si="11"/>
        <v>-0.1638517694867466</v>
      </c>
      <c r="U144" s="417">
        <f t="shared" si="11"/>
        <v>-0.1638517694867466</v>
      </c>
      <c r="V144" s="417">
        <f t="shared" si="11"/>
        <v>-0.15722541116191491</v>
      </c>
      <c r="W144" s="417">
        <f t="shared" si="11"/>
        <v>-0.15722541116191491</v>
      </c>
      <c r="X144" s="417">
        <f t="shared" si="11"/>
        <v>-0.15496642536935867</v>
      </c>
      <c r="Y144" s="417">
        <f t="shared" si="11"/>
        <v>-0.15496642536935867</v>
      </c>
      <c r="Z144" s="349"/>
      <c r="AA144" s="349"/>
    </row>
    <row r="145" spans="3:27" x14ac:dyDescent="0.25">
      <c r="F145" s="293" t="s">
        <v>46</v>
      </c>
      <c r="G145" s="293" t="s">
        <v>183</v>
      </c>
      <c r="H145" s="349"/>
      <c r="I145" s="349"/>
      <c r="J145" s="417">
        <f t="shared" ref="J145:Y145" si="12">J40 * (1 - J$115)</f>
        <v>0.54923895631442277</v>
      </c>
      <c r="K145" s="417">
        <f t="shared" si="12"/>
        <v>0.54923895631442277</v>
      </c>
      <c r="L145" s="417">
        <f t="shared" si="12"/>
        <v>0.48408957913483008</v>
      </c>
      <c r="M145" s="417">
        <f t="shared" si="12"/>
        <v>0.48408957913483008</v>
      </c>
      <c r="N145" s="417">
        <f t="shared" si="12"/>
        <v>0.42400742320827522</v>
      </c>
      <c r="O145" s="417">
        <f t="shared" si="12"/>
        <v>0.33914213145301708</v>
      </c>
      <c r="P145" s="417">
        <f t="shared" si="12"/>
        <v>0.28305871805355037</v>
      </c>
      <c r="Q145" s="417">
        <f t="shared" si="12"/>
        <v>1.0112959570817976</v>
      </c>
      <c r="R145" s="417">
        <f t="shared" si="12"/>
        <v>-0.37276509885177533</v>
      </c>
      <c r="S145" s="417">
        <f t="shared" si="12"/>
        <v>-0.35769003970703445</v>
      </c>
      <c r="T145" s="417">
        <f t="shared" si="12"/>
        <v>-0.37276509885177533</v>
      </c>
      <c r="U145" s="417">
        <f t="shared" si="12"/>
        <v>-0.37276509885177533</v>
      </c>
      <c r="V145" s="417">
        <f t="shared" si="12"/>
        <v>-0.35769003970703445</v>
      </c>
      <c r="W145" s="417">
        <f t="shared" si="12"/>
        <v>-0.35769003970703445</v>
      </c>
      <c r="X145" s="417">
        <f t="shared" si="12"/>
        <v>-0.35255081499859997</v>
      </c>
      <c r="Y145" s="417">
        <f t="shared" si="12"/>
        <v>-0.35255081499859997</v>
      </c>
      <c r="Z145" s="349"/>
      <c r="AA145" s="349"/>
    </row>
    <row r="146" spans="3:27" x14ac:dyDescent="0.25">
      <c r="F146" s="293" t="s">
        <v>47</v>
      </c>
      <c r="G146" s="293" t="s">
        <v>183</v>
      </c>
      <c r="H146" s="349"/>
      <c r="I146" s="349"/>
      <c r="J146" s="417">
        <f t="shared" ref="J146:Y146" si="13">J41 * (1 - J$116)</f>
        <v>0.3885822536260839</v>
      </c>
      <c r="K146" s="417">
        <f t="shared" si="13"/>
        <v>0.3885822536260839</v>
      </c>
      <c r="L146" s="417">
        <f t="shared" si="13"/>
        <v>0.34248958027192133</v>
      </c>
      <c r="M146" s="417">
        <f t="shared" si="13"/>
        <v>0.34248958027192133</v>
      </c>
      <c r="N146" s="417">
        <f t="shared" si="13"/>
        <v>0.29998192620943515</v>
      </c>
      <c r="O146" s="417">
        <f t="shared" si="13"/>
        <v>0.23994039793514624</v>
      </c>
      <c r="P146" s="417">
        <f t="shared" si="13"/>
        <v>0</v>
      </c>
      <c r="Q146" s="417">
        <f t="shared" si="13"/>
        <v>0.71548395751598504</v>
      </c>
      <c r="R146" s="417">
        <f t="shared" si="13"/>
        <v>-0.263728383647373</v>
      </c>
      <c r="S146" s="417">
        <f t="shared" si="13"/>
        <v>-0.25306289754398664</v>
      </c>
      <c r="T146" s="417">
        <f t="shared" si="13"/>
        <v>-0.263728383647373</v>
      </c>
      <c r="U146" s="417">
        <f t="shared" si="13"/>
        <v>-0.263728383647373</v>
      </c>
      <c r="V146" s="417">
        <f t="shared" si="13"/>
        <v>-0.25306289754398664</v>
      </c>
      <c r="W146" s="417">
        <f t="shared" si="13"/>
        <v>-0.25306289754398664</v>
      </c>
      <c r="X146" s="417">
        <f t="shared" si="13"/>
        <v>-0.24942693637237756</v>
      </c>
      <c r="Y146" s="417">
        <f t="shared" si="13"/>
        <v>-0.24942693637237756</v>
      </c>
      <c r="Z146" s="349"/>
      <c r="AA146" s="349"/>
    </row>
    <row r="147" spans="3:27" x14ac:dyDescent="0.25">
      <c r="F147" s="293" t="s">
        <v>51</v>
      </c>
      <c r="G147" s="293" t="s">
        <v>183</v>
      </c>
      <c r="H147" s="349"/>
      <c r="I147" s="349"/>
      <c r="J147" s="417">
        <f t="shared" ref="J147:Y147" si="14">J42 * (1 - J$117)</f>
        <v>0</v>
      </c>
      <c r="K147" s="417">
        <f t="shared" si="14"/>
        <v>0</v>
      </c>
      <c r="L147" s="417">
        <f t="shared" si="14"/>
        <v>0</v>
      </c>
      <c r="M147" s="417">
        <f t="shared" si="14"/>
        <v>0</v>
      </c>
      <c r="N147" s="417">
        <f t="shared" si="14"/>
        <v>0</v>
      </c>
      <c r="O147" s="417">
        <f t="shared" si="14"/>
        <v>0</v>
      </c>
      <c r="P147" s="417">
        <f t="shared" si="14"/>
        <v>0</v>
      </c>
      <c r="Q147" s="417">
        <f t="shared" si="14"/>
        <v>0</v>
      </c>
      <c r="R147" s="417">
        <f t="shared" si="14"/>
        <v>0</v>
      </c>
      <c r="S147" s="417">
        <f t="shared" si="14"/>
        <v>0</v>
      </c>
      <c r="T147" s="417">
        <f t="shared" si="14"/>
        <v>0</v>
      </c>
      <c r="U147" s="417">
        <f t="shared" si="14"/>
        <v>0</v>
      </c>
      <c r="V147" s="417">
        <f t="shared" si="14"/>
        <v>0</v>
      </c>
      <c r="W147" s="417">
        <f t="shared" si="14"/>
        <v>0</v>
      </c>
      <c r="X147" s="417">
        <f t="shared" si="14"/>
        <v>0</v>
      </c>
      <c r="Y147" s="417">
        <f t="shared" si="14"/>
        <v>0</v>
      </c>
      <c r="Z147" s="349"/>
      <c r="AA147" s="349"/>
    </row>
    <row r="148" spans="3:27" x14ac:dyDescent="0.25">
      <c r="F148" s="293" t="s">
        <v>48</v>
      </c>
      <c r="G148" s="293" t="s">
        <v>183</v>
      </c>
      <c r="H148" s="349"/>
      <c r="I148" s="349"/>
      <c r="J148" s="417">
        <f t="shared" ref="J148:Y148" si="15">J43 * (1 - J$118)</f>
        <v>0.77694647884291601</v>
      </c>
      <c r="K148" s="417">
        <f t="shared" si="15"/>
        <v>0.77694647884291601</v>
      </c>
      <c r="L148" s="417">
        <f t="shared" si="15"/>
        <v>0.6847869941294602</v>
      </c>
      <c r="M148" s="417">
        <f t="shared" si="15"/>
        <v>0.6847869941294602</v>
      </c>
      <c r="N148" s="417">
        <f t="shared" si="15"/>
        <v>0.4798364291936178</v>
      </c>
      <c r="O148" s="417">
        <f t="shared" si="15"/>
        <v>0</v>
      </c>
      <c r="P148" s="417">
        <f t="shared" si="15"/>
        <v>0</v>
      </c>
      <c r="Q148" s="417">
        <f t="shared" si="15"/>
        <v>1.3634638686317913</v>
      </c>
      <c r="R148" s="417">
        <f t="shared" si="15"/>
        <v>-0.52730879275544418</v>
      </c>
      <c r="S148" s="417">
        <f t="shared" si="15"/>
        <v>-0.50598380481312843</v>
      </c>
      <c r="T148" s="417">
        <f t="shared" si="15"/>
        <v>-0.52730879275544418</v>
      </c>
      <c r="U148" s="417">
        <f t="shared" si="15"/>
        <v>-0.52730879275544418</v>
      </c>
      <c r="V148" s="417">
        <f t="shared" si="15"/>
        <v>-0.50598380481312843</v>
      </c>
      <c r="W148" s="417">
        <f t="shared" si="15"/>
        <v>-0.50598380481312843</v>
      </c>
      <c r="X148" s="417">
        <f t="shared" si="15"/>
        <v>0</v>
      </c>
      <c r="Y148" s="417">
        <f t="shared" si="15"/>
        <v>0</v>
      </c>
      <c r="Z148" s="349"/>
      <c r="AA148" s="349"/>
    </row>
    <row r="149" spans="3:27" x14ac:dyDescent="0.25">
      <c r="F149" s="293" t="s">
        <v>49</v>
      </c>
      <c r="G149" s="293" t="s">
        <v>183</v>
      </c>
      <c r="H149" s="349"/>
      <c r="I149" s="349"/>
      <c r="J149" s="417">
        <f t="shared" ref="J149:Y149" si="16">J44 * (1 - J$119)</f>
        <v>0.29289310994060852</v>
      </c>
      <c r="K149" s="417">
        <f t="shared" si="16"/>
        <v>0.29289310994060852</v>
      </c>
      <c r="L149" s="417">
        <f t="shared" si="16"/>
        <v>0.25815084799169313</v>
      </c>
      <c r="M149" s="417">
        <f t="shared" si="16"/>
        <v>0.25815084799169313</v>
      </c>
      <c r="N149" s="417">
        <f t="shared" si="16"/>
        <v>0</v>
      </c>
      <c r="O149" s="417">
        <f t="shared" si="16"/>
        <v>0</v>
      </c>
      <c r="P149" s="417">
        <f t="shared" si="16"/>
        <v>0</v>
      </c>
      <c r="Q149" s="417">
        <f t="shared" si="16"/>
        <v>0.51399830445201045</v>
      </c>
      <c r="R149" s="417">
        <f t="shared" si="16"/>
        <v>-0.19878475083532204</v>
      </c>
      <c r="S149" s="417">
        <f t="shared" si="16"/>
        <v>0</v>
      </c>
      <c r="T149" s="417">
        <f t="shared" si="16"/>
        <v>-0.19878475083532204</v>
      </c>
      <c r="U149" s="417">
        <f t="shared" si="16"/>
        <v>-0.19878475083532204</v>
      </c>
      <c r="V149" s="417">
        <f t="shared" si="16"/>
        <v>0</v>
      </c>
      <c r="W149" s="417">
        <f t="shared" si="16"/>
        <v>0</v>
      </c>
      <c r="X149" s="417">
        <f t="shared" si="16"/>
        <v>0</v>
      </c>
      <c r="Y149" s="417">
        <f t="shared" si="16"/>
        <v>0</v>
      </c>
      <c r="Z149" s="349"/>
      <c r="AA149" s="349"/>
    </row>
    <row r="150" spans="3:27" x14ac:dyDescent="0.25">
      <c r="F150" s="293" t="s">
        <v>50</v>
      </c>
      <c r="G150" s="293" t="s">
        <v>183</v>
      </c>
      <c r="H150" s="349"/>
      <c r="I150" s="349"/>
      <c r="J150" s="417">
        <f t="shared" ref="J150:Y150" si="17">J45 * (1 - J$120)</f>
        <v>0</v>
      </c>
      <c r="K150" s="417">
        <f t="shared" si="17"/>
        <v>0</v>
      </c>
      <c r="L150" s="417">
        <f t="shared" si="17"/>
        <v>0</v>
      </c>
      <c r="M150" s="417">
        <f t="shared" si="17"/>
        <v>0</v>
      </c>
      <c r="N150" s="417">
        <f t="shared" si="17"/>
        <v>0</v>
      </c>
      <c r="O150" s="417">
        <f t="shared" si="17"/>
        <v>0</v>
      </c>
      <c r="P150" s="417">
        <f t="shared" si="17"/>
        <v>0</v>
      </c>
      <c r="Q150" s="417">
        <f t="shared" si="17"/>
        <v>1.3529741764995908</v>
      </c>
      <c r="R150" s="417">
        <f t="shared" si="17"/>
        <v>0</v>
      </c>
      <c r="S150" s="417">
        <f t="shared" si="17"/>
        <v>0</v>
      </c>
      <c r="T150" s="417">
        <f t="shared" si="17"/>
        <v>0</v>
      </c>
      <c r="U150" s="417">
        <f t="shared" si="17"/>
        <v>0</v>
      </c>
      <c r="V150" s="417">
        <f t="shared" si="17"/>
        <v>0</v>
      </c>
      <c r="W150" s="417">
        <f t="shared" si="17"/>
        <v>0</v>
      </c>
      <c r="X150" s="417">
        <f t="shared" si="17"/>
        <v>0</v>
      </c>
      <c r="Y150" s="417">
        <f t="shared" si="17"/>
        <v>0</v>
      </c>
      <c r="Z150" s="349"/>
      <c r="AA150" s="349"/>
    </row>
    <row r="151" spans="3:27" x14ac:dyDescent="0.25">
      <c r="D151" s="293"/>
      <c r="F151" s="91" t="s">
        <v>124</v>
      </c>
      <c r="G151" s="91" t="s">
        <v>183</v>
      </c>
      <c r="H151" s="347"/>
      <c r="I151" s="347" t="s">
        <v>359</v>
      </c>
      <c r="J151" s="359"/>
      <c r="K151" s="359"/>
      <c r="L151" s="359"/>
      <c r="M151" s="359"/>
      <c r="N151" s="359"/>
      <c r="O151" s="359"/>
      <c r="P151" s="359"/>
      <c r="Q151" s="360">
        <f t="shared" ref="Q151" si="18">Q46</f>
        <v>2.207787019838531</v>
      </c>
      <c r="R151" s="359"/>
      <c r="S151" s="359"/>
      <c r="T151" s="359"/>
      <c r="U151" s="359"/>
      <c r="V151" s="359"/>
      <c r="W151" s="359"/>
      <c r="X151" s="359"/>
      <c r="Y151" s="359"/>
      <c r="Z151" s="349"/>
      <c r="AA151" s="349" t="s">
        <v>729</v>
      </c>
    </row>
    <row r="152" spans="3:27" x14ac:dyDescent="0.25">
      <c r="D152" s="293"/>
      <c r="F152" s="93" t="s">
        <v>123</v>
      </c>
      <c r="G152" s="93" t="s">
        <v>183</v>
      </c>
      <c r="H152" s="351"/>
      <c r="I152" s="351"/>
      <c r="J152" s="356"/>
      <c r="K152" s="356"/>
      <c r="L152" s="356"/>
      <c r="M152" s="356"/>
      <c r="N152" s="356"/>
      <c r="O152" s="356"/>
      <c r="P152" s="356"/>
      <c r="Q152" s="356"/>
      <c r="R152" s="356"/>
      <c r="S152" s="356"/>
      <c r="T152" s="356"/>
      <c r="U152" s="356"/>
      <c r="V152" s="356"/>
      <c r="W152" s="356"/>
      <c r="X152" s="356"/>
      <c r="Y152" s="356"/>
      <c r="Z152" s="349"/>
      <c r="AA152" s="349"/>
    </row>
    <row r="153" spans="3:27" x14ac:dyDescent="0.25">
      <c r="E153" s="293"/>
      <c r="J153" s="252"/>
      <c r="K153" s="252"/>
      <c r="L153" s="252"/>
      <c r="M153" s="252"/>
      <c r="N153" s="252"/>
      <c r="O153" s="252"/>
      <c r="P153" s="252"/>
      <c r="Q153" s="252"/>
      <c r="R153" s="252"/>
      <c r="S153" s="252"/>
      <c r="T153" s="252"/>
      <c r="U153" s="252"/>
      <c r="V153" s="252"/>
      <c r="W153" s="252"/>
      <c r="X153" s="252"/>
      <c r="Y153" s="252"/>
    </row>
    <row r="154" spans="3:27" x14ac:dyDescent="0.25">
      <c r="C154" s="7" t="str">
        <f ca="1">INDEX('Version control'!$H$35:$H$61,MATCH($A$1,'Version control'!$F$35:$F$61,0),1)&amp;"-F: Contributions to unit rate 2 p/kWh by network level (taking account of standing charges)"</f>
        <v>Section 514-F: Contributions to unit rate 2 p/kWh by network level (taking account of standing charges)</v>
      </c>
      <c r="D154" s="7"/>
      <c r="E154" s="7"/>
      <c r="F154" s="7"/>
      <c r="G154" s="7"/>
      <c r="H154" s="7"/>
      <c r="I154" s="7"/>
      <c r="J154" s="242"/>
      <c r="K154" s="242"/>
      <c r="L154" s="242"/>
      <c r="M154" s="242"/>
      <c r="N154" s="242"/>
      <c r="O154" s="242"/>
      <c r="P154" s="242"/>
      <c r="Q154" s="242"/>
      <c r="R154" s="242"/>
      <c r="S154" s="242"/>
      <c r="T154" s="242"/>
      <c r="U154" s="242"/>
      <c r="V154" s="242"/>
      <c r="W154" s="242"/>
      <c r="X154" s="242"/>
      <c r="Y154" s="242"/>
      <c r="Z154" s="7"/>
      <c r="AA154" s="7"/>
    </row>
    <row r="155" spans="3:27" x14ac:dyDescent="0.25">
      <c r="C155" s="96"/>
      <c r="D155" s="96"/>
      <c r="E155" s="293"/>
      <c r="I155" s="293" t="s">
        <v>359</v>
      </c>
      <c r="J155" s="252"/>
      <c r="K155" s="252"/>
      <c r="L155" s="252"/>
      <c r="M155" s="252"/>
      <c r="N155" s="252"/>
      <c r="O155" s="252"/>
      <c r="P155" s="252"/>
      <c r="Q155" s="252"/>
      <c r="R155" s="252"/>
      <c r="S155" s="252"/>
      <c r="T155" s="252"/>
      <c r="U155" s="252"/>
      <c r="V155" s="252"/>
      <c r="W155" s="252"/>
      <c r="X155" s="252"/>
      <c r="Y155" s="252"/>
      <c r="AA155" s="293" t="s">
        <v>730</v>
      </c>
    </row>
    <row r="156" spans="3:27" x14ac:dyDescent="0.25">
      <c r="E156" s="96" t="s">
        <v>139</v>
      </c>
      <c r="J156" s="252"/>
      <c r="K156" s="252"/>
      <c r="L156" s="252"/>
      <c r="M156" s="252"/>
      <c r="N156" s="252"/>
      <c r="O156" s="252"/>
      <c r="P156" s="252"/>
      <c r="Q156" s="252"/>
      <c r="R156" s="252"/>
      <c r="S156" s="252"/>
      <c r="T156" s="252"/>
      <c r="U156" s="252"/>
      <c r="V156" s="252"/>
      <c r="W156" s="252"/>
      <c r="X156" s="252"/>
      <c r="Y156" s="252"/>
    </row>
    <row r="157" spans="3:27" x14ac:dyDescent="0.25">
      <c r="F157" s="91" t="s">
        <v>267</v>
      </c>
      <c r="G157" s="91" t="s">
        <v>183</v>
      </c>
      <c r="H157" s="347"/>
      <c r="I157" s="347"/>
      <c r="J157" s="530">
        <f t="shared" ref="J157:Y158" si="19">J52 * (1 - J$112)</f>
        <v>0</v>
      </c>
      <c r="K157" s="530">
        <f t="shared" si="19"/>
        <v>0</v>
      </c>
      <c r="L157" s="530">
        <f t="shared" si="19"/>
        <v>0</v>
      </c>
      <c r="M157" s="530">
        <f t="shared" si="19"/>
        <v>0</v>
      </c>
      <c r="N157" s="530">
        <f t="shared" si="19"/>
        <v>0</v>
      </c>
      <c r="O157" s="530">
        <f t="shared" si="19"/>
        <v>0</v>
      </c>
      <c r="P157" s="530">
        <f t="shared" si="19"/>
        <v>0</v>
      </c>
      <c r="Q157" s="530">
        <f t="shared" si="19"/>
        <v>0</v>
      </c>
      <c r="R157" s="530">
        <f t="shared" si="19"/>
        <v>0</v>
      </c>
      <c r="S157" s="530">
        <f t="shared" si="19"/>
        <v>0</v>
      </c>
      <c r="T157" s="530">
        <f t="shared" si="19"/>
        <v>0</v>
      </c>
      <c r="U157" s="530">
        <f t="shared" si="19"/>
        <v>0</v>
      </c>
      <c r="V157" s="530">
        <f t="shared" si="19"/>
        <v>0</v>
      </c>
      <c r="W157" s="530">
        <f t="shared" si="19"/>
        <v>0</v>
      </c>
      <c r="X157" s="530">
        <f t="shared" si="19"/>
        <v>0</v>
      </c>
      <c r="Y157" s="530">
        <f t="shared" si="19"/>
        <v>0</v>
      </c>
      <c r="Z157" s="349"/>
      <c r="AA157" s="349"/>
    </row>
    <row r="158" spans="3:27" x14ac:dyDescent="0.25">
      <c r="F158" s="293" t="s">
        <v>43</v>
      </c>
      <c r="G158" s="293" t="s">
        <v>183</v>
      </c>
      <c r="H158" s="349"/>
      <c r="I158" s="349"/>
      <c r="J158" s="417">
        <f t="shared" si="19"/>
        <v>0</v>
      </c>
      <c r="K158" s="417">
        <f t="shared" si="19"/>
        <v>0</v>
      </c>
      <c r="L158" s="417">
        <f t="shared" si="19"/>
        <v>0</v>
      </c>
      <c r="M158" s="417">
        <f t="shared" si="19"/>
        <v>0</v>
      </c>
      <c r="N158" s="417">
        <f t="shared" si="19"/>
        <v>0</v>
      </c>
      <c r="O158" s="417">
        <f t="shared" si="19"/>
        <v>0</v>
      </c>
      <c r="P158" s="417">
        <f t="shared" si="19"/>
        <v>0</v>
      </c>
      <c r="Q158" s="417">
        <f t="shared" si="19"/>
        <v>0</v>
      </c>
      <c r="R158" s="417">
        <f t="shared" si="19"/>
        <v>0</v>
      </c>
      <c r="S158" s="417">
        <f t="shared" si="19"/>
        <v>0</v>
      </c>
      <c r="T158" s="417">
        <f t="shared" si="19"/>
        <v>0</v>
      </c>
      <c r="U158" s="417">
        <f t="shared" si="19"/>
        <v>0</v>
      </c>
      <c r="V158" s="417">
        <f t="shared" si="19"/>
        <v>0</v>
      </c>
      <c r="W158" s="417">
        <f t="shared" si="19"/>
        <v>0</v>
      </c>
      <c r="X158" s="417">
        <f t="shared" si="19"/>
        <v>0</v>
      </c>
      <c r="Y158" s="417">
        <f t="shared" si="19"/>
        <v>0</v>
      </c>
      <c r="Z158" s="349"/>
      <c r="AA158" s="349"/>
    </row>
    <row r="159" spans="3:27" x14ac:dyDescent="0.25">
      <c r="F159" s="293" t="s">
        <v>44</v>
      </c>
      <c r="G159" s="293" t="s">
        <v>183</v>
      </c>
      <c r="H159" s="349"/>
      <c r="I159" s="349"/>
      <c r="J159" s="417">
        <f t="shared" ref="J159:Y159" si="20">J54 * (1 - J$113)</f>
        <v>9.7569452457066774E-2</v>
      </c>
      <c r="K159" s="417">
        <f t="shared" si="20"/>
        <v>9.7569452457066774E-2</v>
      </c>
      <c r="L159" s="417">
        <f t="shared" si="20"/>
        <v>8.5996003439563345E-2</v>
      </c>
      <c r="M159" s="417">
        <f t="shared" si="20"/>
        <v>8.5996003439563345E-2</v>
      </c>
      <c r="N159" s="417">
        <f t="shared" si="20"/>
        <v>7.53227200010919E-2</v>
      </c>
      <c r="O159" s="417">
        <f t="shared" si="20"/>
        <v>6.0246840998019933E-2</v>
      </c>
      <c r="P159" s="417">
        <f t="shared" si="20"/>
        <v>6.2854891792020265E-2</v>
      </c>
      <c r="Q159" s="417">
        <f t="shared" si="20"/>
        <v>7.0050860641687335E-2</v>
      </c>
      <c r="R159" s="417">
        <f t="shared" si="20"/>
        <v>-6.6219786801231723E-2</v>
      </c>
      <c r="S159" s="417">
        <f t="shared" si="20"/>
        <v>-6.3541780717358373E-2</v>
      </c>
      <c r="T159" s="417">
        <f t="shared" si="20"/>
        <v>-6.6219786801231723E-2</v>
      </c>
      <c r="U159" s="417">
        <f t="shared" si="20"/>
        <v>-6.6219786801231723E-2</v>
      </c>
      <c r="V159" s="417">
        <f t="shared" si="20"/>
        <v>-6.3541780717358373E-2</v>
      </c>
      <c r="W159" s="417">
        <f t="shared" si="20"/>
        <v>-6.3541780717358373E-2</v>
      </c>
      <c r="X159" s="417">
        <f t="shared" si="20"/>
        <v>-6.2628824097856084E-2</v>
      </c>
      <c r="Y159" s="417">
        <f t="shared" si="20"/>
        <v>-6.2628824097856084E-2</v>
      </c>
      <c r="Z159" s="349"/>
      <c r="AA159" s="349"/>
    </row>
    <row r="160" spans="3:27" x14ac:dyDescent="0.25">
      <c r="F160" s="293" t="s">
        <v>45</v>
      </c>
      <c r="G160" s="293" t="s">
        <v>183</v>
      </c>
      <c r="H160" s="349"/>
      <c r="I160" s="349"/>
      <c r="J160" s="417">
        <f t="shared" ref="J160:Y160" si="21">J55 * (1 - J$114)</f>
        <v>2.5245887456835876E-2</v>
      </c>
      <c r="K160" s="417">
        <f t="shared" si="21"/>
        <v>2.5245887456835876E-2</v>
      </c>
      <c r="L160" s="417">
        <f t="shared" si="21"/>
        <v>2.2251282239471478E-2</v>
      </c>
      <c r="M160" s="417">
        <f t="shared" si="21"/>
        <v>2.2251282239471478E-2</v>
      </c>
      <c r="N160" s="417">
        <f t="shared" si="21"/>
        <v>1.9489592943314687E-2</v>
      </c>
      <c r="O160" s="417">
        <f t="shared" si="21"/>
        <v>1.5588741446870084E-2</v>
      </c>
      <c r="P160" s="417">
        <f t="shared" si="21"/>
        <v>1.626356902014171E-2</v>
      </c>
      <c r="Q160" s="417">
        <f t="shared" si="21"/>
        <v>1.8125510592495318E-2</v>
      </c>
      <c r="R160" s="417">
        <f t="shared" si="21"/>
        <v>-1.7134228417805146E-2</v>
      </c>
      <c r="S160" s="417">
        <f t="shared" si="21"/>
        <v>-1.6441300062673324E-2</v>
      </c>
      <c r="T160" s="417">
        <f t="shared" si="21"/>
        <v>-1.7134228417805146E-2</v>
      </c>
      <c r="U160" s="417">
        <f t="shared" si="21"/>
        <v>-1.7134228417805146E-2</v>
      </c>
      <c r="V160" s="417">
        <f t="shared" si="21"/>
        <v>-1.6441300062673324E-2</v>
      </c>
      <c r="W160" s="417">
        <f t="shared" si="21"/>
        <v>-1.6441300062673324E-2</v>
      </c>
      <c r="X160" s="417">
        <f t="shared" si="21"/>
        <v>-1.6205074487060194E-2</v>
      </c>
      <c r="Y160" s="417">
        <f t="shared" si="21"/>
        <v>-1.6205074487060194E-2</v>
      </c>
      <c r="Z160" s="349"/>
      <c r="AA160" s="349"/>
    </row>
    <row r="161" spans="4:27" x14ac:dyDescent="0.25">
      <c r="F161" s="293" t="s">
        <v>46</v>
      </c>
      <c r="G161" s="293" t="s">
        <v>183</v>
      </c>
      <c r="H161" s="349"/>
      <c r="I161" s="349"/>
      <c r="J161" s="417">
        <f t="shared" ref="J161:Y161" si="22">J56 * (1 - J$115)</f>
        <v>0.10356999237063987</v>
      </c>
      <c r="K161" s="417">
        <f t="shared" si="22"/>
        <v>0.10356999237063987</v>
      </c>
      <c r="L161" s="417">
        <f t="shared" si="22"/>
        <v>9.1284774033760646E-2</v>
      </c>
      <c r="M161" s="417">
        <f t="shared" si="22"/>
        <v>9.1284774033760646E-2</v>
      </c>
      <c r="N161" s="417">
        <f t="shared" si="22"/>
        <v>7.9955081630509892E-2</v>
      </c>
      <c r="O161" s="417">
        <f t="shared" si="22"/>
        <v>6.3952033196719466E-2</v>
      </c>
      <c r="P161" s="417">
        <f t="shared" si="22"/>
        <v>5.217872985409127E-2</v>
      </c>
      <c r="Q161" s="417">
        <f t="shared" si="22"/>
        <v>6.8124743485273684E-2</v>
      </c>
      <c r="R161" s="417">
        <f t="shared" si="22"/>
        <v>-7.0292316304704519E-2</v>
      </c>
      <c r="S161" s="417">
        <f t="shared" si="22"/>
        <v>-6.7449612336499543E-2</v>
      </c>
      <c r="T161" s="417">
        <f t="shared" si="22"/>
        <v>-7.0292316304704519E-2</v>
      </c>
      <c r="U161" s="417">
        <f t="shared" si="22"/>
        <v>-7.0292316304704519E-2</v>
      </c>
      <c r="V161" s="417">
        <f t="shared" si="22"/>
        <v>-6.7449612336499543E-2</v>
      </c>
      <c r="W161" s="417">
        <f t="shared" si="22"/>
        <v>-6.7449612336499543E-2</v>
      </c>
      <c r="X161" s="417">
        <f t="shared" si="22"/>
        <v>-6.4988825859698424E-2</v>
      </c>
      <c r="Y161" s="417">
        <f t="shared" si="22"/>
        <v>-6.4988825859698424E-2</v>
      </c>
      <c r="Z161" s="349"/>
      <c r="AA161" s="349"/>
    </row>
    <row r="162" spans="4:27" x14ac:dyDescent="0.25">
      <c r="F162" s="293" t="s">
        <v>47</v>
      </c>
      <c r="G162" s="293" t="s">
        <v>183</v>
      </c>
      <c r="H162" s="349"/>
      <c r="I162" s="349"/>
      <c r="J162" s="417">
        <f t="shared" ref="J162:Y162" si="23">J57 * (1 - J$116)</f>
        <v>7.2382380394472284E-2</v>
      </c>
      <c r="K162" s="417">
        <f t="shared" si="23"/>
        <v>7.2382380394472284E-2</v>
      </c>
      <c r="L162" s="417">
        <f t="shared" si="23"/>
        <v>6.379656005659981E-2</v>
      </c>
      <c r="M162" s="417">
        <f t="shared" si="23"/>
        <v>6.379656005659981E-2</v>
      </c>
      <c r="N162" s="417">
        <f t="shared" si="23"/>
        <v>5.587853200123679E-2</v>
      </c>
      <c r="O162" s="417">
        <f t="shared" si="23"/>
        <v>4.4694416673116438E-2</v>
      </c>
      <c r="P162" s="417">
        <f t="shared" si="23"/>
        <v>0</v>
      </c>
      <c r="Q162" s="417">
        <f t="shared" si="23"/>
        <v>4.761061562677861E-2</v>
      </c>
      <c r="R162" s="417">
        <f t="shared" si="23"/>
        <v>-4.9125476029464488E-2</v>
      </c>
      <c r="S162" s="417">
        <f t="shared" si="23"/>
        <v>-4.7138783984155261E-2</v>
      </c>
      <c r="T162" s="417">
        <f t="shared" si="23"/>
        <v>-4.9125476029464488E-2</v>
      </c>
      <c r="U162" s="417">
        <f t="shared" si="23"/>
        <v>-4.9125476029464488E-2</v>
      </c>
      <c r="V162" s="417">
        <f t="shared" si="23"/>
        <v>-4.7138783984155261E-2</v>
      </c>
      <c r="W162" s="417">
        <f t="shared" si="23"/>
        <v>-4.7138783984155261E-2</v>
      </c>
      <c r="X162" s="417">
        <f t="shared" si="23"/>
        <v>-4.4462261311552703E-2</v>
      </c>
      <c r="Y162" s="417">
        <f t="shared" si="23"/>
        <v>-4.4462261311552703E-2</v>
      </c>
      <c r="Z162" s="349"/>
      <c r="AA162" s="349"/>
    </row>
    <row r="163" spans="4:27" x14ac:dyDescent="0.25">
      <c r="F163" s="293" t="s">
        <v>51</v>
      </c>
      <c r="G163" s="293" t="s">
        <v>183</v>
      </c>
      <c r="H163" s="349"/>
      <c r="I163" s="349"/>
      <c r="J163" s="417">
        <f t="shared" ref="J163:Y163" si="24">J58 * (1 - J$117)</f>
        <v>0</v>
      </c>
      <c r="K163" s="417">
        <f t="shared" si="24"/>
        <v>0</v>
      </c>
      <c r="L163" s="417">
        <f t="shared" si="24"/>
        <v>0</v>
      </c>
      <c r="M163" s="417">
        <f t="shared" si="24"/>
        <v>0</v>
      </c>
      <c r="N163" s="417">
        <f t="shared" si="24"/>
        <v>0</v>
      </c>
      <c r="O163" s="417">
        <f t="shared" si="24"/>
        <v>0</v>
      </c>
      <c r="P163" s="417">
        <f t="shared" si="24"/>
        <v>0</v>
      </c>
      <c r="Q163" s="417">
        <f t="shared" si="24"/>
        <v>0</v>
      </c>
      <c r="R163" s="417">
        <f t="shared" si="24"/>
        <v>0</v>
      </c>
      <c r="S163" s="417">
        <f t="shared" si="24"/>
        <v>0</v>
      </c>
      <c r="T163" s="417">
        <f t="shared" si="24"/>
        <v>0</v>
      </c>
      <c r="U163" s="417">
        <f t="shared" si="24"/>
        <v>0</v>
      </c>
      <c r="V163" s="417">
        <f t="shared" si="24"/>
        <v>0</v>
      </c>
      <c r="W163" s="417">
        <f t="shared" si="24"/>
        <v>0</v>
      </c>
      <c r="X163" s="417">
        <f t="shared" si="24"/>
        <v>0</v>
      </c>
      <c r="Y163" s="417">
        <f t="shared" si="24"/>
        <v>0</v>
      </c>
      <c r="Z163" s="349"/>
      <c r="AA163" s="349"/>
    </row>
    <row r="164" spans="4:27" x14ac:dyDescent="0.25">
      <c r="F164" s="293" t="s">
        <v>48</v>
      </c>
      <c r="G164" s="293" t="s">
        <v>183</v>
      </c>
      <c r="H164" s="349"/>
      <c r="I164" s="349"/>
      <c r="J164" s="417">
        <f t="shared" ref="J164:Y164" si="25">J59 * (1 - J$118)</f>
        <v>0.25167474982228627</v>
      </c>
      <c r="K164" s="417">
        <f t="shared" si="25"/>
        <v>0.25167474982228627</v>
      </c>
      <c r="L164" s="417">
        <f t="shared" si="25"/>
        <v>0.22182170860179923</v>
      </c>
      <c r="M164" s="417">
        <f t="shared" si="25"/>
        <v>0.22182170860179923</v>
      </c>
      <c r="N164" s="417">
        <f t="shared" si="25"/>
        <v>0.15543247387229472</v>
      </c>
      <c r="O164" s="417">
        <f t="shared" si="25"/>
        <v>0</v>
      </c>
      <c r="P164" s="417">
        <f t="shared" si="25"/>
        <v>0</v>
      </c>
      <c r="Q164" s="417">
        <f t="shared" si="25"/>
        <v>0.15943587810582294</v>
      </c>
      <c r="R164" s="417">
        <f t="shared" si="25"/>
        <v>-0.17081010353951256</v>
      </c>
      <c r="S164" s="417">
        <f t="shared" si="25"/>
        <v>-0.1639023419993117</v>
      </c>
      <c r="T164" s="417">
        <f t="shared" si="25"/>
        <v>-0.17081010353951256</v>
      </c>
      <c r="U164" s="417">
        <f t="shared" si="25"/>
        <v>-0.17081010353951256</v>
      </c>
      <c r="V164" s="417">
        <f t="shared" si="25"/>
        <v>-0.1639023419993117</v>
      </c>
      <c r="W164" s="417">
        <f t="shared" si="25"/>
        <v>-0.1639023419993117</v>
      </c>
      <c r="X164" s="417">
        <f t="shared" si="25"/>
        <v>0</v>
      </c>
      <c r="Y164" s="417">
        <f t="shared" si="25"/>
        <v>0</v>
      </c>
      <c r="Z164" s="349"/>
      <c r="AA164" s="349"/>
    </row>
    <row r="165" spans="4:27" x14ac:dyDescent="0.25">
      <c r="F165" s="293" t="s">
        <v>49</v>
      </c>
      <c r="G165" s="293" t="s">
        <v>183</v>
      </c>
      <c r="H165" s="349"/>
      <c r="I165" s="349"/>
      <c r="J165" s="417">
        <f t="shared" ref="J165:Y165" si="26">J60 * (1 - J$119)</f>
        <v>8.3349973031201327E-2</v>
      </c>
      <c r="K165" s="417">
        <f t="shared" si="26"/>
        <v>8.3349973031201327E-2</v>
      </c>
      <c r="L165" s="417">
        <f t="shared" si="26"/>
        <v>7.3463203768953322E-2</v>
      </c>
      <c r="M165" s="417">
        <f t="shared" si="26"/>
        <v>7.3463203768953322E-2</v>
      </c>
      <c r="N165" s="417">
        <f t="shared" si="26"/>
        <v>0</v>
      </c>
      <c r="O165" s="417">
        <f t="shared" si="26"/>
        <v>0</v>
      </c>
      <c r="P165" s="417">
        <f t="shared" si="26"/>
        <v>0</v>
      </c>
      <c r="Q165" s="417">
        <f t="shared" si="26"/>
        <v>5.2802182776420431E-2</v>
      </c>
      <c r="R165" s="417">
        <f t="shared" si="26"/>
        <v>-5.6569113641826159E-2</v>
      </c>
      <c r="S165" s="417">
        <f t="shared" si="26"/>
        <v>0</v>
      </c>
      <c r="T165" s="417">
        <f t="shared" si="26"/>
        <v>-5.6569113641826159E-2</v>
      </c>
      <c r="U165" s="417">
        <f t="shared" si="26"/>
        <v>-5.6569113641826159E-2</v>
      </c>
      <c r="V165" s="417">
        <f t="shared" si="26"/>
        <v>0</v>
      </c>
      <c r="W165" s="417">
        <f t="shared" si="26"/>
        <v>0</v>
      </c>
      <c r="X165" s="417">
        <f t="shared" si="26"/>
        <v>0</v>
      </c>
      <c r="Y165" s="417">
        <f t="shared" si="26"/>
        <v>0</v>
      </c>
      <c r="Z165" s="349"/>
      <c r="AA165" s="349"/>
    </row>
    <row r="166" spans="4:27" x14ac:dyDescent="0.25">
      <c r="F166" s="293" t="s">
        <v>50</v>
      </c>
      <c r="G166" s="293" t="s">
        <v>183</v>
      </c>
      <c r="H166" s="349"/>
      <c r="I166" s="349"/>
      <c r="J166" s="417">
        <f t="shared" ref="J166:Y166" si="27">J61 * (1 - J$120)</f>
        <v>0</v>
      </c>
      <c r="K166" s="417">
        <f t="shared" si="27"/>
        <v>0</v>
      </c>
      <c r="L166" s="417">
        <f t="shared" si="27"/>
        <v>0</v>
      </c>
      <c r="M166" s="417">
        <f t="shared" si="27"/>
        <v>0</v>
      </c>
      <c r="N166" s="417">
        <f t="shared" si="27"/>
        <v>0</v>
      </c>
      <c r="O166" s="417">
        <f t="shared" si="27"/>
        <v>0</v>
      </c>
      <c r="P166" s="417">
        <f t="shared" si="27"/>
        <v>0</v>
      </c>
      <c r="Q166" s="417">
        <f t="shared" si="27"/>
        <v>1.0618796935941673E-2</v>
      </c>
      <c r="R166" s="417">
        <f t="shared" si="27"/>
        <v>0</v>
      </c>
      <c r="S166" s="417">
        <f t="shared" si="27"/>
        <v>0</v>
      </c>
      <c r="T166" s="417">
        <f t="shared" si="27"/>
        <v>0</v>
      </c>
      <c r="U166" s="417">
        <f t="shared" si="27"/>
        <v>0</v>
      </c>
      <c r="V166" s="417">
        <f t="shared" si="27"/>
        <v>0</v>
      </c>
      <c r="W166" s="417">
        <f t="shared" si="27"/>
        <v>0</v>
      </c>
      <c r="X166" s="417">
        <f t="shared" si="27"/>
        <v>0</v>
      </c>
      <c r="Y166" s="417">
        <f t="shared" si="27"/>
        <v>0</v>
      </c>
      <c r="Z166" s="349"/>
      <c r="AA166" s="349"/>
    </row>
    <row r="167" spans="4:27" x14ac:dyDescent="0.25">
      <c r="D167" s="293"/>
      <c r="F167" s="91" t="s">
        <v>124</v>
      </c>
      <c r="G167" s="91" t="s">
        <v>183</v>
      </c>
      <c r="H167" s="347"/>
      <c r="I167" s="347"/>
      <c r="J167" s="359"/>
      <c r="K167" s="359"/>
      <c r="L167" s="359"/>
      <c r="M167" s="359"/>
      <c r="N167" s="359"/>
      <c r="O167" s="359"/>
      <c r="P167" s="359"/>
      <c r="Q167" s="359"/>
      <c r="R167" s="359"/>
      <c r="S167" s="359"/>
      <c r="T167" s="359"/>
      <c r="U167" s="359"/>
      <c r="V167" s="359"/>
      <c r="W167" s="359"/>
      <c r="X167" s="359"/>
      <c r="Y167" s="359"/>
      <c r="Z167" s="349"/>
      <c r="AA167" s="349"/>
    </row>
    <row r="168" spans="4:27" x14ac:dyDescent="0.25">
      <c r="D168" s="293"/>
      <c r="F168" s="93" t="s">
        <v>123</v>
      </c>
      <c r="G168" s="93" t="s">
        <v>183</v>
      </c>
      <c r="H168" s="351"/>
      <c r="I168" s="351"/>
      <c r="J168" s="356"/>
      <c r="K168" s="356"/>
      <c r="L168" s="356"/>
      <c r="M168" s="356"/>
      <c r="N168" s="356"/>
      <c r="O168" s="356"/>
      <c r="P168" s="356"/>
      <c r="Q168" s="356"/>
      <c r="R168" s="356"/>
      <c r="S168" s="356"/>
      <c r="T168" s="356"/>
      <c r="U168" s="356"/>
      <c r="V168" s="356"/>
      <c r="W168" s="356"/>
      <c r="X168" s="356"/>
      <c r="Y168" s="356"/>
      <c r="Z168" s="349"/>
      <c r="AA168" s="349"/>
    </row>
    <row r="169" spans="4:27" x14ac:dyDescent="0.25">
      <c r="D169" s="293"/>
      <c r="J169" s="252"/>
      <c r="K169" s="252"/>
      <c r="L169" s="252"/>
      <c r="M169" s="252"/>
      <c r="N169" s="252"/>
      <c r="O169" s="252"/>
      <c r="P169" s="252"/>
      <c r="Q169" s="252"/>
      <c r="R169" s="252"/>
      <c r="S169" s="252"/>
      <c r="T169" s="252"/>
      <c r="U169" s="252"/>
      <c r="V169" s="252"/>
      <c r="W169" s="252"/>
      <c r="X169" s="252"/>
      <c r="Y169" s="252"/>
    </row>
    <row r="170" spans="4:27" x14ac:dyDescent="0.25">
      <c r="E170" s="96" t="s">
        <v>116</v>
      </c>
      <c r="J170" s="252"/>
      <c r="K170" s="252"/>
      <c r="L170" s="252"/>
      <c r="M170" s="252"/>
      <c r="N170" s="252"/>
      <c r="O170" s="252"/>
      <c r="P170" s="252"/>
      <c r="Q170" s="252"/>
      <c r="R170" s="252"/>
      <c r="S170" s="252"/>
      <c r="T170" s="252"/>
      <c r="U170" s="252"/>
      <c r="V170" s="252"/>
      <c r="W170" s="252"/>
      <c r="X170" s="252"/>
      <c r="Y170" s="252"/>
    </row>
    <row r="171" spans="4:27" x14ac:dyDescent="0.25">
      <c r="F171" s="91" t="s">
        <v>267</v>
      </c>
      <c r="G171" s="91" t="s">
        <v>183</v>
      </c>
      <c r="H171" s="347"/>
      <c r="I171" s="347"/>
      <c r="J171" s="530">
        <f t="shared" ref="J171:Y172" si="28">J66 * (1 - J$112)</f>
        <v>1.4835275665975986E-2</v>
      </c>
      <c r="K171" s="530">
        <f t="shared" si="28"/>
        <v>1.4835275665975986E-2</v>
      </c>
      <c r="L171" s="530">
        <f t="shared" si="28"/>
        <v>1.3075551671866938E-2</v>
      </c>
      <c r="M171" s="530">
        <f t="shared" si="28"/>
        <v>1.3075551671866938E-2</v>
      </c>
      <c r="N171" s="530">
        <f t="shared" si="28"/>
        <v>1.1452696381780172E-2</v>
      </c>
      <c r="O171" s="530">
        <f t="shared" si="28"/>
        <v>9.1604336367792603E-3</v>
      </c>
      <c r="P171" s="530">
        <f t="shared" si="28"/>
        <v>9.5569834943987648E-3</v>
      </c>
      <c r="Q171" s="530">
        <f t="shared" si="28"/>
        <v>1.9442922775271813E-2</v>
      </c>
      <c r="R171" s="530">
        <f t="shared" si="28"/>
        <v>-1.0068610277081431E-2</v>
      </c>
      <c r="S171" s="530">
        <f t="shared" si="28"/>
        <v>-9.6614238320524015E-3</v>
      </c>
      <c r="T171" s="530">
        <f t="shared" si="28"/>
        <v>-1.0068610277081431E-2</v>
      </c>
      <c r="U171" s="530">
        <f t="shared" si="28"/>
        <v>-1.0068610277081431E-2</v>
      </c>
      <c r="V171" s="530">
        <f t="shared" si="28"/>
        <v>-9.6614238320524015E-3</v>
      </c>
      <c r="W171" s="530">
        <f t="shared" si="28"/>
        <v>-9.6614238320524015E-3</v>
      </c>
      <c r="X171" s="530">
        <f t="shared" si="28"/>
        <v>-9.5226102712470517E-3</v>
      </c>
      <c r="Y171" s="530">
        <f t="shared" si="28"/>
        <v>-9.5226102712470517E-3</v>
      </c>
      <c r="Z171" s="349"/>
      <c r="AA171" s="349"/>
    </row>
    <row r="172" spans="4:27" x14ac:dyDescent="0.25">
      <c r="F172" s="293" t="s">
        <v>43</v>
      </c>
      <c r="G172" s="293" t="s">
        <v>183</v>
      </c>
      <c r="H172" s="349"/>
      <c r="I172" s="349"/>
      <c r="J172" s="417">
        <f t="shared" si="28"/>
        <v>0</v>
      </c>
      <c r="K172" s="417">
        <f t="shared" si="28"/>
        <v>0</v>
      </c>
      <c r="L172" s="417">
        <f t="shared" si="28"/>
        <v>0</v>
      </c>
      <c r="M172" s="417">
        <f t="shared" si="28"/>
        <v>0</v>
      </c>
      <c r="N172" s="417">
        <f t="shared" si="28"/>
        <v>0</v>
      </c>
      <c r="O172" s="417">
        <f t="shared" si="28"/>
        <v>0</v>
      </c>
      <c r="P172" s="417">
        <f t="shared" si="28"/>
        <v>0</v>
      </c>
      <c r="Q172" s="417">
        <f t="shared" si="28"/>
        <v>0</v>
      </c>
      <c r="R172" s="417">
        <f t="shared" si="28"/>
        <v>0</v>
      </c>
      <c r="S172" s="417">
        <f t="shared" si="28"/>
        <v>0</v>
      </c>
      <c r="T172" s="417">
        <f t="shared" si="28"/>
        <v>0</v>
      </c>
      <c r="U172" s="417">
        <f t="shared" si="28"/>
        <v>0</v>
      </c>
      <c r="V172" s="417">
        <f t="shared" si="28"/>
        <v>0</v>
      </c>
      <c r="W172" s="417">
        <f t="shared" si="28"/>
        <v>0</v>
      </c>
      <c r="X172" s="417">
        <f t="shared" si="28"/>
        <v>0</v>
      </c>
      <c r="Y172" s="417">
        <f t="shared" si="28"/>
        <v>0</v>
      </c>
      <c r="Z172" s="349"/>
      <c r="AA172" s="349"/>
    </row>
    <row r="173" spans="4:27" x14ac:dyDescent="0.25">
      <c r="F173" s="293" t="s">
        <v>44</v>
      </c>
      <c r="G173" s="293" t="s">
        <v>183</v>
      </c>
      <c r="H173" s="349"/>
      <c r="I173" s="349"/>
      <c r="J173" s="417">
        <f t="shared" ref="J173:Y173" si="29">J68 * (1 - J$113)</f>
        <v>5.4867375122544804E-2</v>
      </c>
      <c r="K173" s="417">
        <f t="shared" si="29"/>
        <v>5.4867375122544804E-2</v>
      </c>
      <c r="L173" s="417">
        <f t="shared" si="29"/>
        <v>4.8359141728651078E-2</v>
      </c>
      <c r="M173" s="417">
        <f t="shared" si="29"/>
        <v>4.8359141728651078E-2</v>
      </c>
      <c r="N173" s="417">
        <f t="shared" si="29"/>
        <v>4.2357109007748556E-2</v>
      </c>
      <c r="O173" s="417">
        <f t="shared" si="29"/>
        <v>3.3879313061034338E-2</v>
      </c>
      <c r="P173" s="417">
        <f t="shared" si="29"/>
        <v>3.5345928868026122E-2</v>
      </c>
      <c r="Q173" s="417">
        <f t="shared" si="29"/>
        <v>3.9392522471885509E-2</v>
      </c>
      <c r="R173" s="417">
        <f t="shared" si="29"/>
        <v>-3.7238149763696542E-2</v>
      </c>
      <c r="S173" s="417">
        <f t="shared" si="29"/>
        <v>-3.5732195177664697E-2</v>
      </c>
      <c r="T173" s="417">
        <f t="shared" si="29"/>
        <v>-3.7238149763696542E-2</v>
      </c>
      <c r="U173" s="417">
        <f t="shared" si="29"/>
        <v>-3.7238149763696542E-2</v>
      </c>
      <c r="V173" s="417">
        <f t="shared" si="29"/>
        <v>-3.5732195177664697E-2</v>
      </c>
      <c r="W173" s="417">
        <f t="shared" si="29"/>
        <v>-3.5732195177664697E-2</v>
      </c>
      <c r="X173" s="417">
        <f t="shared" si="29"/>
        <v>-3.5218801568790203E-2</v>
      </c>
      <c r="Y173" s="417">
        <f t="shared" si="29"/>
        <v>-3.5218801568790203E-2</v>
      </c>
      <c r="Z173" s="349"/>
      <c r="AA173" s="349"/>
    </row>
    <row r="174" spans="4:27" x14ac:dyDescent="0.25">
      <c r="F174" s="293" t="s">
        <v>45</v>
      </c>
      <c r="G174" s="293" t="s">
        <v>183</v>
      </c>
      <c r="H174" s="349"/>
      <c r="I174" s="349"/>
      <c r="J174" s="417">
        <f t="shared" ref="J174:Y174" si="30">J69 * (1 - J$114)</f>
        <v>1.4196816139818744E-2</v>
      </c>
      <c r="K174" s="417">
        <f t="shared" si="30"/>
        <v>1.4196816139818744E-2</v>
      </c>
      <c r="L174" s="417">
        <f t="shared" si="30"/>
        <v>1.2512824647939036E-2</v>
      </c>
      <c r="M174" s="417">
        <f t="shared" si="30"/>
        <v>1.2512824647939036E-2</v>
      </c>
      <c r="N174" s="417">
        <f t="shared" si="30"/>
        <v>1.0959811499168651E-2</v>
      </c>
      <c r="O174" s="417">
        <f t="shared" si="30"/>
        <v>8.7661999028860425E-3</v>
      </c>
      <c r="P174" s="417">
        <f t="shared" si="30"/>
        <v>9.1456836108839284E-3</v>
      </c>
      <c r="Q174" s="417">
        <f t="shared" si="30"/>
        <v>1.0192731064097208E-2</v>
      </c>
      <c r="R174" s="417">
        <f t="shared" si="30"/>
        <v>-9.6352917266677995E-3</v>
      </c>
      <c r="S174" s="417">
        <f t="shared" si="30"/>
        <v>-9.2456291936040286E-3</v>
      </c>
      <c r="T174" s="417">
        <f t="shared" si="30"/>
        <v>-9.6352917266677995E-3</v>
      </c>
      <c r="U174" s="417">
        <f t="shared" si="30"/>
        <v>-9.6352917266677995E-3</v>
      </c>
      <c r="V174" s="417">
        <f t="shared" si="30"/>
        <v>-9.2456291936040286E-3</v>
      </c>
      <c r="W174" s="417">
        <f t="shared" si="30"/>
        <v>-9.2456291936040286E-3</v>
      </c>
      <c r="X174" s="417">
        <f t="shared" si="30"/>
        <v>-9.1127896936959232E-3</v>
      </c>
      <c r="Y174" s="417">
        <f t="shared" si="30"/>
        <v>-9.1127896936959232E-3</v>
      </c>
      <c r="Z174" s="349"/>
      <c r="AA174" s="349"/>
    </row>
    <row r="175" spans="4:27" x14ac:dyDescent="0.25">
      <c r="F175" s="293" t="s">
        <v>46</v>
      </c>
      <c r="G175" s="293" t="s">
        <v>183</v>
      </c>
      <c r="H175" s="349"/>
      <c r="I175" s="349"/>
      <c r="J175" s="417">
        <f t="shared" ref="J175:Y175" si="31">J70 * (1 - J$115)</f>
        <v>5.8971227597300557E-2</v>
      </c>
      <c r="K175" s="417">
        <f t="shared" si="31"/>
        <v>5.8971227597300557E-2</v>
      </c>
      <c r="L175" s="417">
        <f t="shared" si="31"/>
        <v>5.1976205293600843E-2</v>
      </c>
      <c r="M175" s="417">
        <f t="shared" si="31"/>
        <v>5.1976205293600843E-2</v>
      </c>
      <c r="N175" s="417">
        <f t="shared" si="31"/>
        <v>4.552524537725245E-2</v>
      </c>
      <c r="O175" s="417">
        <f t="shared" si="31"/>
        <v>3.6413345396972004E-2</v>
      </c>
      <c r="P175" s="417">
        <f t="shared" si="31"/>
        <v>3.039172639491397E-2</v>
      </c>
      <c r="Q175" s="417">
        <f t="shared" si="31"/>
        <v>3.8789225152213586E-2</v>
      </c>
      <c r="R175" s="417">
        <f t="shared" si="31"/>
        <v>-4.0023409177359977E-2</v>
      </c>
      <c r="S175" s="417">
        <f t="shared" si="31"/>
        <v>-3.84048154238638E-2</v>
      </c>
      <c r="T175" s="417">
        <f t="shared" si="31"/>
        <v>-4.0023409177359977E-2</v>
      </c>
      <c r="U175" s="417">
        <f t="shared" si="31"/>
        <v>-4.0023409177359977E-2</v>
      </c>
      <c r="V175" s="417">
        <f t="shared" si="31"/>
        <v>-3.84048154238638E-2</v>
      </c>
      <c r="W175" s="417">
        <f t="shared" si="31"/>
        <v>-3.84048154238638E-2</v>
      </c>
      <c r="X175" s="417">
        <f t="shared" si="31"/>
        <v>-3.7853022098808281E-2</v>
      </c>
      <c r="Y175" s="417">
        <f t="shared" si="31"/>
        <v>-3.7853022098808281E-2</v>
      </c>
      <c r="Z175" s="349"/>
      <c r="AA175" s="349"/>
    </row>
    <row r="176" spans="4:27" x14ac:dyDescent="0.25">
      <c r="F176" s="293" t="s">
        <v>47</v>
      </c>
      <c r="G176" s="293" t="s">
        <v>183</v>
      </c>
      <c r="H176" s="349"/>
      <c r="I176" s="349"/>
      <c r="J176" s="417">
        <f t="shared" ref="J176:Y176" si="32">J71 * (1 - J$116)</f>
        <v>4.1721680983126626E-2</v>
      </c>
      <c r="K176" s="417">
        <f t="shared" si="32"/>
        <v>4.1721680983126626E-2</v>
      </c>
      <c r="L176" s="417">
        <f t="shared" si="32"/>
        <v>3.6772757568851726E-2</v>
      </c>
      <c r="M176" s="417">
        <f t="shared" si="32"/>
        <v>3.6772757568851726E-2</v>
      </c>
      <c r="N176" s="417">
        <f t="shared" si="32"/>
        <v>3.2208754026264025E-2</v>
      </c>
      <c r="O176" s="417">
        <f t="shared" si="32"/>
        <v>2.5762156259579238E-2</v>
      </c>
      <c r="P176" s="417">
        <f t="shared" si="32"/>
        <v>0</v>
      </c>
      <c r="Q176" s="417">
        <f t="shared" si="32"/>
        <v>2.7443072551153868E-2</v>
      </c>
      <c r="R176" s="417">
        <f t="shared" si="32"/>
        <v>-2.8316248068598684E-2</v>
      </c>
      <c r="S176" s="417">
        <f t="shared" si="32"/>
        <v>-2.7171105683471537E-2</v>
      </c>
      <c r="T176" s="417">
        <f t="shared" si="32"/>
        <v>-2.8316248068598684E-2</v>
      </c>
      <c r="U176" s="417">
        <f t="shared" si="32"/>
        <v>-2.8316248068598684E-2</v>
      </c>
      <c r="V176" s="417">
        <f t="shared" si="32"/>
        <v>-2.7171105683471537E-2</v>
      </c>
      <c r="W176" s="417">
        <f t="shared" si="32"/>
        <v>-2.7171105683471537E-2</v>
      </c>
      <c r="X176" s="417">
        <f t="shared" si="32"/>
        <v>-2.6780716233996367E-2</v>
      </c>
      <c r="Y176" s="417">
        <f t="shared" si="32"/>
        <v>-2.6780716233996367E-2</v>
      </c>
      <c r="Z176" s="349"/>
      <c r="AA176" s="349"/>
    </row>
    <row r="177" spans="3:27" x14ac:dyDescent="0.25">
      <c r="F177" s="293" t="s">
        <v>51</v>
      </c>
      <c r="G177" s="293" t="s">
        <v>183</v>
      </c>
      <c r="H177" s="349"/>
      <c r="I177" s="349"/>
      <c r="J177" s="417">
        <f t="shared" ref="J177:Y177" si="33">J72 * (1 - J$117)</f>
        <v>0</v>
      </c>
      <c r="K177" s="417">
        <f t="shared" si="33"/>
        <v>0</v>
      </c>
      <c r="L177" s="417">
        <f t="shared" si="33"/>
        <v>0</v>
      </c>
      <c r="M177" s="417">
        <f t="shared" si="33"/>
        <v>0</v>
      </c>
      <c r="N177" s="417">
        <f t="shared" si="33"/>
        <v>0</v>
      </c>
      <c r="O177" s="417">
        <f t="shared" si="33"/>
        <v>0</v>
      </c>
      <c r="P177" s="417">
        <f t="shared" si="33"/>
        <v>0</v>
      </c>
      <c r="Q177" s="417">
        <f t="shared" si="33"/>
        <v>0</v>
      </c>
      <c r="R177" s="417">
        <f t="shared" si="33"/>
        <v>0</v>
      </c>
      <c r="S177" s="417">
        <f t="shared" si="33"/>
        <v>0</v>
      </c>
      <c r="T177" s="417">
        <f t="shared" si="33"/>
        <v>0</v>
      </c>
      <c r="U177" s="417">
        <f t="shared" si="33"/>
        <v>0</v>
      </c>
      <c r="V177" s="417">
        <f t="shared" si="33"/>
        <v>0</v>
      </c>
      <c r="W177" s="417">
        <f t="shared" si="33"/>
        <v>0</v>
      </c>
      <c r="X177" s="417">
        <f t="shared" si="33"/>
        <v>0</v>
      </c>
      <c r="Y177" s="417">
        <f t="shared" si="33"/>
        <v>0</v>
      </c>
      <c r="Z177" s="349"/>
      <c r="AA177" s="349"/>
    </row>
    <row r="178" spans="3:27" x14ac:dyDescent="0.25">
      <c r="F178" s="293" t="s">
        <v>48</v>
      </c>
      <c r="G178" s="293" t="s">
        <v>183</v>
      </c>
      <c r="H178" s="349"/>
      <c r="I178" s="349"/>
      <c r="J178" s="417">
        <f t="shared" ref="J178:Y178" si="34">J73 * (1 - J$118)</f>
        <v>0.21567672689429457</v>
      </c>
      <c r="K178" s="417">
        <f t="shared" si="34"/>
        <v>0.21567672689429457</v>
      </c>
      <c r="L178" s="417">
        <f t="shared" si="34"/>
        <v>0.19009368281529357</v>
      </c>
      <c r="M178" s="417">
        <f t="shared" si="34"/>
        <v>0.19009368281529357</v>
      </c>
      <c r="N178" s="417">
        <f t="shared" si="34"/>
        <v>0.13320035975611785</v>
      </c>
      <c r="O178" s="417">
        <f t="shared" si="34"/>
        <v>0</v>
      </c>
      <c r="P178" s="417">
        <f t="shared" si="34"/>
        <v>0</v>
      </c>
      <c r="Q178" s="417">
        <f t="shared" si="34"/>
        <v>0.13663114143815716</v>
      </c>
      <c r="R178" s="417">
        <f t="shared" si="34"/>
        <v>-0.14637846696139004</v>
      </c>
      <c r="S178" s="417">
        <f t="shared" si="34"/>
        <v>-0.14045874954751031</v>
      </c>
      <c r="T178" s="417">
        <f t="shared" si="34"/>
        <v>-0.14637846696139004</v>
      </c>
      <c r="U178" s="417">
        <f t="shared" si="34"/>
        <v>-0.14637846696139004</v>
      </c>
      <c r="V178" s="417">
        <f t="shared" si="34"/>
        <v>-0.14045874954751031</v>
      </c>
      <c r="W178" s="417">
        <f t="shared" si="34"/>
        <v>-0.14045874954751031</v>
      </c>
      <c r="X178" s="417">
        <f t="shared" si="34"/>
        <v>0</v>
      </c>
      <c r="Y178" s="417">
        <f t="shared" si="34"/>
        <v>0</v>
      </c>
      <c r="Z178" s="349"/>
      <c r="AA178" s="349"/>
    </row>
    <row r="179" spans="3:27" x14ac:dyDescent="0.25">
      <c r="F179" s="293" t="s">
        <v>49</v>
      </c>
      <c r="G179" s="293" t="s">
        <v>183</v>
      </c>
      <c r="H179" s="349"/>
      <c r="I179" s="349"/>
      <c r="J179" s="417">
        <f t="shared" ref="J179:Y179" si="35">J74 * (1 - J$119)</f>
        <v>8.1305764299181613E-2</v>
      </c>
      <c r="K179" s="417">
        <f t="shared" si="35"/>
        <v>8.1305764299181613E-2</v>
      </c>
      <c r="L179" s="417">
        <f t="shared" si="35"/>
        <v>7.1661474060289568E-2</v>
      </c>
      <c r="M179" s="417">
        <f t="shared" si="35"/>
        <v>7.1661474060289568E-2</v>
      </c>
      <c r="N179" s="417">
        <f t="shared" si="35"/>
        <v>0</v>
      </c>
      <c r="O179" s="417">
        <f t="shared" si="35"/>
        <v>0</v>
      </c>
      <c r="P179" s="417">
        <f t="shared" si="35"/>
        <v>0</v>
      </c>
      <c r="Q179" s="417">
        <f t="shared" si="35"/>
        <v>5.1507177161231397E-2</v>
      </c>
      <c r="R179" s="417">
        <f t="shared" si="35"/>
        <v>-5.5181721758376497E-2</v>
      </c>
      <c r="S179" s="417">
        <f t="shared" si="35"/>
        <v>0</v>
      </c>
      <c r="T179" s="417">
        <f t="shared" si="35"/>
        <v>-5.5181721758376497E-2</v>
      </c>
      <c r="U179" s="417">
        <f t="shared" si="35"/>
        <v>-5.5181721758376497E-2</v>
      </c>
      <c r="V179" s="417">
        <f t="shared" si="35"/>
        <v>0</v>
      </c>
      <c r="W179" s="417">
        <f t="shared" si="35"/>
        <v>0</v>
      </c>
      <c r="X179" s="417">
        <f t="shared" si="35"/>
        <v>0</v>
      </c>
      <c r="Y179" s="417">
        <f t="shared" si="35"/>
        <v>0</v>
      </c>
      <c r="Z179" s="349"/>
      <c r="AA179" s="349"/>
    </row>
    <row r="180" spans="3:27" x14ac:dyDescent="0.25">
      <c r="F180" s="293" t="s">
        <v>50</v>
      </c>
      <c r="G180" s="293" t="s">
        <v>183</v>
      </c>
      <c r="H180" s="349"/>
      <c r="I180" s="349"/>
      <c r="J180" s="417">
        <f t="shared" ref="J180:Y180" si="36">J75 * (1 - J$120)</f>
        <v>0</v>
      </c>
      <c r="K180" s="417">
        <f t="shared" si="36"/>
        <v>0</v>
      </c>
      <c r="L180" s="417">
        <f t="shared" si="36"/>
        <v>0</v>
      </c>
      <c r="M180" s="417">
        <f t="shared" si="36"/>
        <v>0</v>
      </c>
      <c r="N180" s="417">
        <f t="shared" si="36"/>
        <v>0</v>
      </c>
      <c r="O180" s="417">
        <f t="shared" si="36"/>
        <v>0</v>
      </c>
      <c r="P180" s="417">
        <f t="shared" si="36"/>
        <v>0</v>
      </c>
      <c r="Q180" s="417">
        <f t="shared" si="36"/>
        <v>0.13557998149007908</v>
      </c>
      <c r="R180" s="417">
        <f t="shared" si="36"/>
        <v>0</v>
      </c>
      <c r="S180" s="417">
        <f t="shared" si="36"/>
        <v>0</v>
      </c>
      <c r="T180" s="417">
        <f t="shared" si="36"/>
        <v>0</v>
      </c>
      <c r="U180" s="417">
        <f t="shared" si="36"/>
        <v>0</v>
      </c>
      <c r="V180" s="417">
        <f t="shared" si="36"/>
        <v>0</v>
      </c>
      <c r="W180" s="417">
        <f t="shared" si="36"/>
        <v>0</v>
      </c>
      <c r="X180" s="417">
        <f t="shared" si="36"/>
        <v>0</v>
      </c>
      <c r="Y180" s="417">
        <f t="shared" si="36"/>
        <v>0</v>
      </c>
      <c r="Z180" s="349"/>
      <c r="AA180" s="349"/>
    </row>
    <row r="181" spans="3:27" x14ac:dyDescent="0.25">
      <c r="F181" s="91" t="s">
        <v>124</v>
      </c>
      <c r="G181" s="91" t="s">
        <v>183</v>
      </c>
      <c r="H181" s="347"/>
      <c r="I181" s="347" t="s">
        <v>359</v>
      </c>
      <c r="J181" s="359"/>
      <c r="K181" s="359"/>
      <c r="L181" s="359"/>
      <c r="M181" s="359"/>
      <c r="N181" s="359"/>
      <c r="O181" s="359"/>
      <c r="P181" s="359"/>
      <c r="Q181" s="360">
        <f>Q76</f>
        <v>2.207787019838531</v>
      </c>
      <c r="R181" s="359"/>
      <c r="S181" s="359"/>
      <c r="T181" s="359"/>
      <c r="U181" s="359"/>
      <c r="V181" s="359"/>
      <c r="W181" s="359"/>
      <c r="X181" s="359"/>
      <c r="Y181" s="359"/>
      <c r="Z181" s="349"/>
      <c r="AA181" s="349" t="s">
        <v>729</v>
      </c>
    </row>
    <row r="182" spans="3:27" x14ac:dyDescent="0.25">
      <c r="F182" s="93" t="s">
        <v>123</v>
      </c>
      <c r="G182" s="93" t="s">
        <v>183</v>
      </c>
      <c r="H182" s="351"/>
      <c r="I182" s="351"/>
      <c r="J182" s="356"/>
      <c r="K182" s="356"/>
      <c r="L182" s="356"/>
      <c r="M182" s="356"/>
      <c r="N182" s="356"/>
      <c r="O182" s="356"/>
      <c r="P182" s="356"/>
      <c r="Q182" s="356"/>
      <c r="R182" s="356"/>
      <c r="S182" s="356"/>
      <c r="T182" s="356"/>
      <c r="U182" s="356"/>
      <c r="V182" s="356"/>
      <c r="W182" s="356"/>
      <c r="X182" s="356"/>
      <c r="Y182" s="356"/>
      <c r="Z182" s="349"/>
      <c r="AA182" s="349"/>
    </row>
    <row r="183" spans="3:27" x14ac:dyDescent="0.25">
      <c r="E183" s="293"/>
      <c r="J183" s="252"/>
      <c r="K183" s="252"/>
      <c r="L183" s="252"/>
      <c r="M183" s="252"/>
      <c r="N183" s="252"/>
      <c r="O183" s="252"/>
      <c r="P183" s="252"/>
      <c r="Q183" s="252"/>
      <c r="R183" s="252"/>
      <c r="S183" s="252"/>
      <c r="T183" s="252"/>
      <c r="U183" s="252"/>
      <c r="V183" s="252"/>
      <c r="W183" s="252"/>
      <c r="X183" s="252"/>
      <c r="Y183" s="252"/>
    </row>
    <row r="184" spans="3:27" x14ac:dyDescent="0.25">
      <c r="C184" s="7" t="str">
        <f ca="1">INDEX('Version control'!$H$35:$H$61,MATCH($A$1,'Version control'!$F$35:$F$61,0),1)&amp;"-G: Contributions to unit rate 3 p/kWh by network level (taking account of standing charges)"</f>
        <v>Section 514-G: Contributions to unit rate 3 p/kWh by network level (taking account of standing charges)</v>
      </c>
      <c r="D184" s="7"/>
      <c r="E184" s="7"/>
      <c r="F184" s="7"/>
      <c r="G184" s="7"/>
      <c r="H184" s="7"/>
      <c r="I184" s="7"/>
      <c r="J184" s="242"/>
      <c r="K184" s="242"/>
      <c r="L184" s="242"/>
      <c r="M184" s="242"/>
      <c r="N184" s="242"/>
      <c r="O184" s="242"/>
      <c r="P184" s="242"/>
      <c r="Q184" s="242"/>
      <c r="R184" s="242"/>
      <c r="S184" s="242"/>
      <c r="T184" s="242"/>
      <c r="U184" s="242"/>
      <c r="V184" s="242"/>
      <c r="W184" s="242"/>
      <c r="X184" s="242"/>
      <c r="Y184" s="242"/>
      <c r="Z184" s="7"/>
      <c r="AA184" s="7"/>
    </row>
    <row r="185" spans="3:27" x14ac:dyDescent="0.25">
      <c r="C185" s="96"/>
      <c r="D185" s="96"/>
      <c r="E185" s="293"/>
      <c r="I185" s="293" t="s">
        <v>359</v>
      </c>
      <c r="J185" s="252"/>
      <c r="K185" s="252"/>
      <c r="L185" s="252"/>
      <c r="M185" s="252"/>
      <c r="N185" s="252"/>
      <c r="O185" s="252"/>
      <c r="P185" s="252"/>
      <c r="Q185" s="252"/>
      <c r="R185" s="252"/>
      <c r="S185" s="252"/>
      <c r="T185" s="252"/>
      <c r="U185" s="252"/>
      <c r="V185" s="252"/>
      <c r="W185" s="252"/>
      <c r="X185" s="252"/>
      <c r="Y185" s="252"/>
      <c r="AA185" s="293" t="s">
        <v>730</v>
      </c>
    </row>
    <row r="186" spans="3:27" x14ac:dyDescent="0.25">
      <c r="E186" s="96" t="s">
        <v>139</v>
      </c>
      <c r="J186" s="252"/>
      <c r="K186" s="252"/>
      <c r="L186" s="252"/>
      <c r="M186" s="252"/>
      <c r="N186" s="252"/>
      <c r="O186" s="252"/>
      <c r="P186" s="252"/>
      <c r="Q186" s="252"/>
      <c r="R186" s="252"/>
      <c r="S186" s="252"/>
      <c r="T186" s="252"/>
      <c r="U186" s="252"/>
      <c r="V186" s="252"/>
      <c r="W186" s="252"/>
      <c r="X186" s="252"/>
      <c r="Y186" s="252"/>
    </row>
    <row r="187" spans="3:27" x14ac:dyDescent="0.25">
      <c r="F187" s="91" t="s">
        <v>267</v>
      </c>
      <c r="G187" s="91" t="s">
        <v>183</v>
      </c>
      <c r="H187" s="347"/>
      <c r="I187" s="347"/>
      <c r="J187" s="530">
        <f t="shared" ref="J187:Y188" si="37">J82 * (1 - J$112)</f>
        <v>0</v>
      </c>
      <c r="K187" s="530">
        <f t="shared" si="37"/>
        <v>0</v>
      </c>
      <c r="L187" s="530">
        <f t="shared" si="37"/>
        <v>0</v>
      </c>
      <c r="M187" s="530">
        <f t="shared" si="37"/>
        <v>0</v>
      </c>
      <c r="N187" s="530">
        <f t="shared" si="37"/>
        <v>0</v>
      </c>
      <c r="O187" s="530">
        <f t="shared" si="37"/>
        <v>0</v>
      </c>
      <c r="P187" s="530">
        <f t="shared" si="37"/>
        <v>0</v>
      </c>
      <c r="Q187" s="530">
        <f t="shared" si="37"/>
        <v>0</v>
      </c>
      <c r="R187" s="530">
        <f t="shared" si="37"/>
        <v>0</v>
      </c>
      <c r="S187" s="530">
        <f t="shared" si="37"/>
        <v>0</v>
      </c>
      <c r="T187" s="530">
        <f t="shared" si="37"/>
        <v>0</v>
      </c>
      <c r="U187" s="530">
        <f t="shared" si="37"/>
        <v>0</v>
      </c>
      <c r="V187" s="530">
        <f t="shared" si="37"/>
        <v>0</v>
      </c>
      <c r="W187" s="530">
        <f t="shared" si="37"/>
        <v>0</v>
      </c>
      <c r="X187" s="530">
        <f t="shared" si="37"/>
        <v>0</v>
      </c>
      <c r="Y187" s="530">
        <f t="shared" si="37"/>
        <v>0</v>
      </c>
      <c r="Z187" s="349"/>
      <c r="AA187" s="349"/>
    </row>
    <row r="188" spans="3:27" x14ac:dyDescent="0.25">
      <c r="F188" s="293" t="s">
        <v>43</v>
      </c>
      <c r="G188" s="293" t="s">
        <v>183</v>
      </c>
      <c r="H188" s="349"/>
      <c r="I188" s="349"/>
      <c r="J188" s="417">
        <f t="shared" si="37"/>
        <v>0</v>
      </c>
      <c r="K188" s="417">
        <f t="shared" si="37"/>
        <v>0</v>
      </c>
      <c r="L188" s="417">
        <f t="shared" si="37"/>
        <v>0</v>
      </c>
      <c r="M188" s="417">
        <f t="shared" si="37"/>
        <v>0</v>
      </c>
      <c r="N188" s="417">
        <f t="shared" si="37"/>
        <v>0</v>
      </c>
      <c r="O188" s="417">
        <f t="shared" si="37"/>
        <v>0</v>
      </c>
      <c r="P188" s="417">
        <f t="shared" si="37"/>
        <v>0</v>
      </c>
      <c r="Q188" s="417">
        <f t="shared" si="37"/>
        <v>0</v>
      </c>
      <c r="R188" s="417">
        <f t="shared" si="37"/>
        <v>0</v>
      </c>
      <c r="S188" s="417">
        <f t="shared" si="37"/>
        <v>0</v>
      </c>
      <c r="T188" s="417">
        <f t="shared" si="37"/>
        <v>0</v>
      </c>
      <c r="U188" s="417">
        <f t="shared" si="37"/>
        <v>0</v>
      </c>
      <c r="V188" s="417">
        <f t="shared" si="37"/>
        <v>0</v>
      </c>
      <c r="W188" s="417">
        <f t="shared" si="37"/>
        <v>0</v>
      </c>
      <c r="X188" s="417">
        <f t="shared" si="37"/>
        <v>0</v>
      </c>
      <c r="Y188" s="417">
        <f t="shared" si="37"/>
        <v>0</v>
      </c>
      <c r="Z188" s="349"/>
      <c r="AA188" s="349"/>
    </row>
    <row r="189" spans="3:27" x14ac:dyDescent="0.25">
      <c r="F189" s="293" t="s">
        <v>44</v>
      </c>
      <c r="G189" s="293" t="s">
        <v>183</v>
      </c>
      <c r="H189" s="349"/>
      <c r="I189" s="349"/>
      <c r="J189" s="417">
        <f t="shared" ref="J189:Y189" si="38">J84 * (1 - J$113)</f>
        <v>4.1738758879350316E-3</v>
      </c>
      <c r="K189" s="417">
        <f t="shared" si="38"/>
        <v>4.1738758879350316E-3</v>
      </c>
      <c r="L189" s="417">
        <f t="shared" si="38"/>
        <v>3.6787809726934093E-3</v>
      </c>
      <c r="M189" s="417">
        <f t="shared" si="38"/>
        <v>3.6787809726934093E-3</v>
      </c>
      <c r="N189" s="417">
        <f t="shared" si="38"/>
        <v>3.2221938005092153E-3</v>
      </c>
      <c r="O189" s="417">
        <f t="shared" si="38"/>
        <v>2.5772701458639589E-3</v>
      </c>
      <c r="P189" s="417">
        <f t="shared" si="38"/>
        <v>2.6888386752495037E-3</v>
      </c>
      <c r="Q189" s="417">
        <f t="shared" si="38"/>
        <v>2.7593292462275822E-3</v>
      </c>
      <c r="R189" s="417">
        <f t="shared" si="38"/>
        <v>-2.8327838731644008E-3</v>
      </c>
      <c r="S189" s="417">
        <f t="shared" si="38"/>
        <v>-2.7182227606467229E-3</v>
      </c>
      <c r="T189" s="417">
        <f t="shared" si="38"/>
        <v>-2.8327838731644008E-3</v>
      </c>
      <c r="U189" s="417">
        <f t="shared" si="38"/>
        <v>-2.8327838731644008E-3</v>
      </c>
      <c r="V189" s="417">
        <f t="shared" si="38"/>
        <v>-2.7182227606467229E-3</v>
      </c>
      <c r="W189" s="417">
        <f t="shared" si="38"/>
        <v>-2.7182227606467229E-3</v>
      </c>
      <c r="X189" s="417">
        <f t="shared" si="38"/>
        <v>-2.6791678359247869E-3</v>
      </c>
      <c r="Y189" s="417">
        <f t="shared" si="38"/>
        <v>-2.6791678359247869E-3</v>
      </c>
      <c r="Z189" s="349"/>
      <c r="AA189" s="349"/>
    </row>
    <row r="190" spans="3:27" x14ac:dyDescent="0.25">
      <c r="F190" s="293" t="s">
        <v>45</v>
      </c>
      <c r="G190" s="293" t="s">
        <v>183</v>
      </c>
      <c r="H190" s="349"/>
      <c r="I190" s="349"/>
      <c r="J190" s="417">
        <f t="shared" ref="J190:Y190" si="39">J85 * (1 - J$114)</f>
        <v>1.0799814723975805E-3</v>
      </c>
      <c r="K190" s="417">
        <f t="shared" si="39"/>
        <v>1.0799814723975805E-3</v>
      </c>
      <c r="L190" s="417">
        <f t="shared" si="39"/>
        <v>9.5187672038883435E-4</v>
      </c>
      <c r="M190" s="417">
        <f t="shared" si="39"/>
        <v>9.5187672038883435E-4</v>
      </c>
      <c r="N190" s="417">
        <f t="shared" si="39"/>
        <v>8.3373576466020316E-4</v>
      </c>
      <c r="O190" s="417">
        <f t="shared" si="39"/>
        <v>6.6686314630058088E-4</v>
      </c>
      <c r="P190" s="417">
        <f t="shared" si="39"/>
        <v>6.9573126501664675E-4</v>
      </c>
      <c r="Q190" s="417">
        <f t="shared" si="39"/>
        <v>7.1397054971965095E-4</v>
      </c>
      <c r="R190" s="417">
        <f t="shared" si="39"/>
        <v>-7.329767775720291E-4</v>
      </c>
      <c r="S190" s="417">
        <f t="shared" si="39"/>
        <v>-7.0333433436139557E-4</v>
      </c>
      <c r="T190" s="417">
        <f t="shared" si="39"/>
        <v>-7.329767775720291E-4</v>
      </c>
      <c r="U190" s="417">
        <f t="shared" si="39"/>
        <v>-7.329767775720291E-4</v>
      </c>
      <c r="V190" s="417">
        <f t="shared" si="39"/>
        <v>-7.0333433436139557E-4</v>
      </c>
      <c r="W190" s="417">
        <f t="shared" si="39"/>
        <v>-7.0333433436139557E-4</v>
      </c>
      <c r="X190" s="417">
        <f t="shared" si="39"/>
        <v>-6.9322895599413395E-4</v>
      </c>
      <c r="Y190" s="417">
        <f t="shared" si="39"/>
        <v>-6.9322895599413395E-4</v>
      </c>
      <c r="Z190" s="349"/>
      <c r="AA190" s="349"/>
    </row>
    <row r="191" spans="3:27" x14ac:dyDescent="0.25">
      <c r="F191" s="293" t="s">
        <v>46</v>
      </c>
      <c r="G191" s="293" t="s">
        <v>183</v>
      </c>
      <c r="H191" s="349"/>
      <c r="I191" s="349"/>
      <c r="J191" s="417">
        <f t="shared" ref="J191:Y191" si="40">J86 * (1 - J$115)</f>
        <v>4.4752393774894926E-3</v>
      </c>
      <c r="K191" s="417">
        <f t="shared" si="40"/>
        <v>4.4752393774894926E-3</v>
      </c>
      <c r="L191" s="417">
        <f t="shared" si="40"/>
        <v>3.9443974646552558E-3</v>
      </c>
      <c r="M191" s="417">
        <f t="shared" si="40"/>
        <v>3.9443974646552558E-3</v>
      </c>
      <c r="N191" s="417">
        <f t="shared" si="40"/>
        <v>3.4548436429611955E-3</v>
      </c>
      <c r="O191" s="417">
        <f t="shared" si="40"/>
        <v>2.7633550093183815E-3</v>
      </c>
      <c r="P191" s="417">
        <f t="shared" si="40"/>
        <v>2.2546328445671696E-3</v>
      </c>
      <c r="Q191" s="417">
        <f t="shared" si="40"/>
        <v>2.9585591976682866E-3</v>
      </c>
      <c r="R191" s="417">
        <f t="shared" si="40"/>
        <v>-3.0373174185048639E-3</v>
      </c>
      <c r="S191" s="417">
        <f t="shared" si="40"/>
        <v>-2.9144847287859168E-3</v>
      </c>
      <c r="T191" s="417">
        <f t="shared" si="40"/>
        <v>-3.0373174185048639E-3</v>
      </c>
      <c r="U191" s="417">
        <f t="shared" si="40"/>
        <v>-3.0373174185048639E-3</v>
      </c>
      <c r="V191" s="417">
        <f t="shared" si="40"/>
        <v>-2.9144847287859168E-3</v>
      </c>
      <c r="W191" s="417">
        <f t="shared" si="40"/>
        <v>-2.9144847287859168E-3</v>
      </c>
      <c r="X191" s="417">
        <f t="shared" si="40"/>
        <v>-2.8081546201463043E-3</v>
      </c>
      <c r="Y191" s="417">
        <f t="shared" si="40"/>
        <v>-2.8081546201463043E-3</v>
      </c>
      <c r="Z191" s="349"/>
      <c r="AA191" s="349"/>
    </row>
    <row r="192" spans="3:27" x14ac:dyDescent="0.25">
      <c r="F192" s="293" t="s">
        <v>47</v>
      </c>
      <c r="G192" s="293" t="s">
        <v>183</v>
      </c>
      <c r="H192" s="349"/>
      <c r="I192" s="349"/>
      <c r="J192" s="417">
        <f t="shared" ref="J192:Y192" si="41">J87 * (1 - J$116)</f>
        <v>3.1276286843639222E-3</v>
      </c>
      <c r="K192" s="417">
        <f t="shared" si="41"/>
        <v>3.1276286843639222E-3</v>
      </c>
      <c r="L192" s="417">
        <f t="shared" si="41"/>
        <v>2.756637044945887E-3</v>
      </c>
      <c r="M192" s="417">
        <f t="shared" si="41"/>
        <v>2.756637044945887E-3</v>
      </c>
      <c r="N192" s="417">
        <f t="shared" si="41"/>
        <v>2.4145005811464339E-3</v>
      </c>
      <c r="O192" s="417">
        <f t="shared" si="41"/>
        <v>1.9312371167669895E-3</v>
      </c>
      <c r="P192" s="417">
        <f t="shared" si="41"/>
        <v>0</v>
      </c>
      <c r="Q192" s="417">
        <f t="shared" si="41"/>
        <v>2.0676602591495168E-3</v>
      </c>
      <c r="R192" s="417">
        <f t="shared" si="41"/>
        <v>-2.1227023361961596E-3</v>
      </c>
      <c r="S192" s="417">
        <f t="shared" si="41"/>
        <v>-2.0368577564235206E-3</v>
      </c>
      <c r="T192" s="417">
        <f t="shared" si="41"/>
        <v>-2.1227023361961596E-3</v>
      </c>
      <c r="U192" s="417">
        <f t="shared" si="41"/>
        <v>-2.1227023361961596E-3</v>
      </c>
      <c r="V192" s="417">
        <f t="shared" si="41"/>
        <v>-2.0368577564235206E-3</v>
      </c>
      <c r="W192" s="417">
        <f t="shared" si="41"/>
        <v>-2.0368577564235206E-3</v>
      </c>
      <c r="X192" s="417">
        <f t="shared" si="41"/>
        <v>-1.921205728408407E-3</v>
      </c>
      <c r="Y192" s="417">
        <f t="shared" si="41"/>
        <v>-1.921205728408407E-3</v>
      </c>
      <c r="Z192" s="349"/>
      <c r="AA192" s="349"/>
    </row>
    <row r="193" spans="4:27" x14ac:dyDescent="0.25">
      <c r="F193" s="293" t="s">
        <v>51</v>
      </c>
      <c r="G193" s="293" t="s">
        <v>183</v>
      </c>
      <c r="H193" s="349"/>
      <c r="I193" s="349"/>
      <c r="J193" s="417">
        <f t="shared" ref="J193:Y193" si="42">J88 * (1 - J$117)</f>
        <v>0</v>
      </c>
      <c r="K193" s="417">
        <f t="shared" si="42"/>
        <v>0</v>
      </c>
      <c r="L193" s="417">
        <f t="shared" si="42"/>
        <v>0</v>
      </c>
      <c r="M193" s="417">
        <f t="shared" si="42"/>
        <v>0</v>
      </c>
      <c r="N193" s="417">
        <f t="shared" si="42"/>
        <v>0</v>
      </c>
      <c r="O193" s="417">
        <f t="shared" si="42"/>
        <v>0</v>
      </c>
      <c r="P193" s="417">
        <f t="shared" si="42"/>
        <v>0</v>
      </c>
      <c r="Q193" s="417">
        <f t="shared" si="42"/>
        <v>0</v>
      </c>
      <c r="R193" s="417">
        <f t="shared" si="42"/>
        <v>0</v>
      </c>
      <c r="S193" s="417">
        <f t="shared" si="42"/>
        <v>0</v>
      </c>
      <c r="T193" s="417">
        <f t="shared" si="42"/>
        <v>0</v>
      </c>
      <c r="U193" s="417">
        <f t="shared" si="42"/>
        <v>0</v>
      </c>
      <c r="V193" s="417">
        <f t="shared" si="42"/>
        <v>0</v>
      </c>
      <c r="W193" s="417">
        <f t="shared" si="42"/>
        <v>0</v>
      </c>
      <c r="X193" s="417">
        <f t="shared" si="42"/>
        <v>0</v>
      </c>
      <c r="Y193" s="417">
        <f t="shared" si="42"/>
        <v>0</v>
      </c>
      <c r="Z193" s="349"/>
      <c r="AA193" s="349"/>
    </row>
    <row r="194" spans="4:27" x14ac:dyDescent="0.25">
      <c r="F194" s="293" t="s">
        <v>48</v>
      </c>
      <c r="G194" s="293" t="s">
        <v>183</v>
      </c>
      <c r="H194" s="349"/>
      <c r="I194" s="349"/>
      <c r="J194" s="417">
        <f t="shared" ref="J194:Y194" si="43">J89 * (1 - J$118)</f>
        <v>1.3489343398189827E-2</v>
      </c>
      <c r="K194" s="417">
        <f t="shared" si="43"/>
        <v>1.3489343398189827E-2</v>
      </c>
      <c r="L194" s="417">
        <f t="shared" si="43"/>
        <v>1.1889270586802033E-2</v>
      </c>
      <c r="M194" s="417">
        <f t="shared" si="43"/>
        <v>1.1889270586802033E-2</v>
      </c>
      <c r="N194" s="417">
        <f t="shared" si="43"/>
        <v>8.3309192391134625E-3</v>
      </c>
      <c r="O194" s="417">
        <f t="shared" si="43"/>
        <v>0</v>
      </c>
      <c r="P194" s="417">
        <f t="shared" si="43"/>
        <v>0</v>
      </c>
      <c r="Q194" s="417">
        <f t="shared" si="43"/>
        <v>8.9177399497250027E-3</v>
      </c>
      <c r="R194" s="417">
        <f t="shared" si="43"/>
        <v>-9.1551343317191666E-3</v>
      </c>
      <c r="S194" s="417">
        <f t="shared" si="43"/>
        <v>-8.7848899285981712E-3</v>
      </c>
      <c r="T194" s="417">
        <f t="shared" si="43"/>
        <v>-9.1551343317191666E-3</v>
      </c>
      <c r="U194" s="417">
        <f t="shared" si="43"/>
        <v>-9.1551343317191666E-3</v>
      </c>
      <c r="V194" s="417">
        <f t="shared" si="43"/>
        <v>-8.7848899285981712E-3</v>
      </c>
      <c r="W194" s="417">
        <f t="shared" si="43"/>
        <v>-8.7848899285981712E-3</v>
      </c>
      <c r="X194" s="417">
        <f t="shared" si="43"/>
        <v>0</v>
      </c>
      <c r="Y194" s="417">
        <f t="shared" si="43"/>
        <v>0</v>
      </c>
      <c r="Z194" s="349"/>
      <c r="AA194" s="349"/>
    </row>
    <row r="195" spans="4:27" x14ac:dyDescent="0.25">
      <c r="F195" s="293" t="s">
        <v>49</v>
      </c>
      <c r="G195" s="293" t="s">
        <v>183</v>
      </c>
      <c r="H195" s="349"/>
      <c r="I195" s="349"/>
      <c r="J195" s="417">
        <f t="shared" ref="J195:Y195" si="44">J90 * (1 - J$119)</f>
        <v>4.4674184010976767E-3</v>
      </c>
      <c r="K195" s="417">
        <f t="shared" si="44"/>
        <v>4.4674184010976767E-3</v>
      </c>
      <c r="L195" s="417">
        <f t="shared" si="44"/>
        <v>3.9375041932905586E-3</v>
      </c>
      <c r="M195" s="417">
        <f t="shared" si="44"/>
        <v>3.9375041932905586E-3</v>
      </c>
      <c r="N195" s="417">
        <f t="shared" si="44"/>
        <v>0</v>
      </c>
      <c r="O195" s="417">
        <f t="shared" si="44"/>
        <v>0</v>
      </c>
      <c r="P195" s="417">
        <f t="shared" si="44"/>
        <v>0</v>
      </c>
      <c r="Q195" s="417">
        <f t="shared" si="44"/>
        <v>2.9533887878450396E-3</v>
      </c>
      <c r="R195" s="417">
        <f t="shared" si="44"/>
        <v>-3.0320093699691664E-3</v>
      </c>
      <c r="S195" s="417">
        <f t="shared" si="44"/>
        <v>0</v>
      </c>
      <c r="T195" s="417">
        <f t="shared" si="44"/>
        <v>-3.0320093699691664E-3</v>
      </c>
      <c r="U195" s="417">
        <f t="shared" si="44"/>
        <v>-3.0320093699691664E-3</v>
      </c>
      <c r="V195" s="417">
        <f t="shared" si="44"/>
        <v>0</v>
      </c>
      <c r="W195" s="417">
        <f t="shared" si="44"/>
        <v>0</v>
      </c>
      <c r="X195" s="417">
        <f t="shared" si="44"/>
        <v>0</v>
      </c>
      <c r="Y195" s="417">
        <f t="shared" si="44"/>
        <v>0</v>
      </c>
      <c r="Z195" s="349"/>
      <c r="AA195" s="349"/>
    </row>
    <row r="196" spans="4:27" x14ac:dyDescent="0.25">
      <c r="F196" s="293" t="s">
        <v>50</v>
      </c>
      <c r="G196" s="293" t="s">
        <v>183</v>
      </c>
      <c r="H196" s="349"/>
      <c r="I196" s="349"/>
      <c r="J196" s="417">
        <f t="shared" ref="J196:Y196" si="45">J91 * (1 - J$120)</f>
        <v>0</v>
      </c>
      <c r="K196" s="417">
        <f t="shared" si="45"/>
        <v>0</v>
      </c>
      <c r="L196" s="417">
        <f t="shared" si="45"/>
        <v>0</v>
      </c>
      <c r="M196" s="417">
        <f t="shared" si="45"/>
        <v>0</v>
      </c>
      <c r="N196" s="417">
        <f t="shared" si="45"/>
        <v>0</v>
      </c>
      <c r="O196" s="417">
        <f t="shared" si="45"/>
        <v>0</v>
      </c>
      <c r="P196" s="417">
        <f t="shared" si="45"/>
        <v>0</v>
      </c>
      <c r="Q196" s="417">
        <f t="shared" si="45"/>
        <v>5.9394203349143171E-4</v>
      </c>
      <c r="R196" s="417">
        <f t="shared" si="45"/>
        <v>0</v>
      </c>
      <c r="S196" s="417">
        <f t="shared" si="45"/>
        <v>0</v>
      </c>
      <c r="T196" s="417">
        <f t="shared" si="45"/>
        <v>0</v>
      </c>
      <c r="U196" s="417">
        <f t="shared" si="45"/>
        <v>0</v>
      </c>
      <c r="V196" s="417">
        <f t="shared" si="45"/>
        <v>0</v>
      </c>
      <c r="W196" s="417">
        <f t="shared" si="45"/>
        <v>0</v>
      </c>
      <c r="X196" s="417">
        <f t="shared" si="45"/>
        <v>0</v>
      </c>
      <c r="Y196" s="417">
        <f t="shared" si="45"/>
        <v>0</v>
      </c>
      <c r="Z196" s="349"/>
      <c r="AA196" s="349"/>
    </row>
    <row r="197" spans="4:27" x14ac:dyDescent="0.25">
      <c r="D197" s="293"/>
      <c r="F197" s="91" t="s">
        <v>124</v>
      </c>
      <c r="G197" s="91" t="s">
        <v>183</v>
      </c>
      <c r="H197" s="347"/>
      <c r="I197" s="347"/>
      <c r="J197" s="359"/>
      <c r="K197" s="359"/>
      <c r="L197" s="359"/>
      <c r="M197" s="359"/>
      <c r="N197" s="359"/>
      <c r="O197" s="359"/>
      <c r="P197" s="359"/>
      <c r="Q197" s="359"/>
      <c r="R197" s="359"/>
      <c r="S197" s="359"/>
      <c r="T197" s="359"/>
      <c r="U197" s="359"/>
      <c r="V197" s="359"/>
      <c r="W197" s="359"/>
      <c r="X197" s="359"/>
      <c r="Y197" s="359"/>
      <c r="Z197" s="349"/>
      <c r="AA197" s="349"/>
    </row>
    <row r="198" spans="4:27" x14ac:dyDescent="0.25">
      <c r="D198" s="293"/>
      <c r="F198" s="93" t="s">
        <v>123</v>
      </c>
      <c r="G198" s="93" t="s">
        <v>183</v>
      </c>
      <c r="H198" s="351"/>
      <c r="I198" s="351"/>
      <c r="J198" s="356"/>
      <c r="K198" s="356"/>
      <c r="L198" s="356"/>
      <c r="M198" s="356"/>
      <c r="N198" s="356"/>
      <c r="O198" s="356"/>
      <c r="P198" s="356"/>
      <c r="Q198" s="356"/>
      <c r="R198" s="356"/>
      <c r="S198" s="356"/>
      <c r="T198" s="356"/>
      <c r="U198" s="356"/>
      <c r="V198" s="356"/>
      <c r="W198" s="356"/>
      <c r="X198" s="356"/>
      <c r="Y198" s="356"/>
      <c r="Z198" s="349"/>
      <c r="AA198" s="349"/>
    </row>
    <row r="199" spans="4:27" x14ac:dyDescent="0.25">
      <c r="D199" s="293"/>
      <c r="J199" s="252"/>
      <c r="K199" s="252"/>
      <c r="L199" s="252"/>
      <c r="M199" s="252"/>
      <c r="N199" s="252"/>
      <c r="O199" s="252"/>
      <c r="P199" s="252"/>
      <c r="Q199" s="252"/>
      <c r="R199" s="252"/>
      <c r="S199" s="252"/>
      <c r="T199" s="252"/>
      <c r="U199" s="252"/>
      <c r="V199" s="252"/>
      <c r="W199" s="252"/>
      <c r="X199" s="252"/>
      <c r="Y199" s="252"/>
    </row>
    <row r="200" spans="4:27" x14ac:dyDescent="0.25">
      <c r="E200" s="96" t="s">
        <v>116</v>
      </c>
      <c r="J200" s="252"/>
      <c r="K200" s="252"/>
      <c r="L200" s="252"/>
      <c r="M200" s="252"/>
      <c r="N200" s="252"/>
      <c r="O200" s="252"/>
      <c r="P200" s="252"/>
      <c r="Q200" s="252"/>
      <c r="R200" s="252"/>
      <c r="S200" s="252"/>
      <c r="T200" s="252"/>
      <c r="U200" s="252"/>
      <c r="V200" s="252"/>
      <c r="W200" s="252"/>
      <c r="X200" s="252"/>
      <c r="Y200" s="252"/>
    </row>
    <row r="201" spans="4:27" x14ac:dyDescent="0.25">
      <c r="F201" s="91" t="s">
        <v>267</v>
      </c>
      <c r="G201" s="91" t="s">
        <v>183</v>
      </c>
      <c r="H201" s="347"/>
      <c r="I201" s="347"/>
      <c r="J201" s="530">
        <f t="shared" ref="J201:Y202" si="46">J96 * (1 - J$112)</f>
        <v>0</v>
      </c>
      <c r="K201" s="530">
        <f t="shared" si="46"/>
        <v>0</v>
      </c>
      <c r="L201" s="530">
        <f t="shared" si="46"/>
        <v>0</v>
      </c>
      <c r="M201" s="530">
        <f t="shared" si="46"/>
        <v>0</v>
      </c>
      <c r="N201" s="530">
        <f t="shared" si="46"/>
        <v>0</v>
      </c>
      <c r="O201" s="530">
        <f t="shared" si="46"/>
        <v>0</v>
      </c>
      <c r="P201" s="530">
        <f t="shared" si="46"/>
        <v>0</v>
      </c>
      <c r="Q201" s="530">
        <f t="shared" si="46"/>
        <v>0</v>
      </c>
      <c r="R201" s="530">
        <f t="shared" si="46"/>
        <v>0</v>
      </c>
      <c r="S201" s="530">
        <f t="shared" si="46"/>
        <v>0</v>
      </c>
      <c r="T201" s="530">
        <f t="shared" si="46"/>
        <v>0</v>
      </c>
      <c r="U201" s="530">
        <f t="shared" si="46"/>
        <v>0</v>
      </c>
      <c r="V201" s="530">
        <f t="shared" si="46"/>
        <v>0</v>
      </c>
      <c r="W201" s="530">
        <f t="shared" si="46"/>
        <v>0</v>
      </c>
      <c r="X201" s="530">
        <f t="shared" si="46"/>
        <v>0</v>
      </c>
      <c r="Y201" s="530">
        <f t="shared" si="46"/>
        <v>0</v>
      </c>
      <c r="Z201" s="349"/>
      <c r="AA201" s="349"/>
    </row>
    <row r="202" spans="4:27" x14ac:dyDescent="0.25">
      <c r="F202" s="293" t="s">
        <v>43</v>
      </c>
      <c r="G202" s="293" t="s">
        <v>183</v>
      </c>
      <c r="H202" s="349"/>
      <c r="I202" s="349"/>
      <c r="J202" s="417">
        <f t="shared" si="46"/>
        <v>0</v>
      </c>
      <c r="K202" s="417">
        <f t="shared" si="46"/>
        <v>0</v>
      </c>
      <c r="L202" s="417">
        <f t="shared" si="46"/>
        <v>0</v>
      </c>
      <c r="M202" s="417">
        <f t="shared" si="46"/>
        <v>0</v>
      </c>
      <c r="N202" s="417">
        <f t="shared" si="46"/>
        <v>0</v>
      </c>
      <c r="O202" s="417">
        <f t="shared" si="46"/>
        <v>0</v>
      </c>
      <c r="P202" s="417">
        <f t="shared" si="46"/>
        <v>0</v>
      </c>
      <c r="Q202" s="417">
        <f t="shared" si="46"/>
        <v>0</v>
      </c>
      <c r="R202" s="417">
        <f t="shared" si="46"/>
        <v>0</v>
      </c>
      <c r="S202" s="417">
        <f t="shared" si="46"/>
        <v>0</v>
      </c>
      <c r="T202" s="417">
        <f t="shared" si="46"/>
        <v>0</v>
      </c>
      <c r="U202" s="417">
        <f t="shared" si="46"/>
        <v>0</v>
      </c>
      <c r="V202" s="417">
        <f t="shared" si="46"/>
        <v>0</v>
      </c>
      <c r="W202" s="417">
        <f t="shared" si="46"/>
        <v>0</v>
      </c>
      <c r="X202" s="417">
        <f t="shared" si="46"/>
        <v>0</v>
      </c>
      <c r="Y202" s="417">
        <f t="shared" si="46"/>
        <v>0</v>
      </c>
      <c r="Z202" s="349"/>
      <c r="AA202" s="349"/>
    </row>
    <row r="203" spans="4:27" x14ac:dyDescent="0.25">
      <c r="F203" s="293" t="s">
        <v>44</v>
      </c>
      <c r="G203" s="293" t="s">
        <v>183</v>
      </c>
      <c r="H203" s="349"/>
      <c r="I203" s="349"/>
      <c r="J203" s="417">
        <f t="shared" ref="J203:Y203" si="47">J98 * (1 - J$113)</f>
        <v>2.3471446061362968E-3</v>
      </c>
      <c r="K203" s="417">
        <f t="shared" si="47"/>
        <v>2.3471446061362968E-3</v>
      </c>
      <c r="L203" s="417">
        <f t="shared" si="47"/>
        <v>2.0687320727895532E-3</v>
      </c>
      <c r="M203" s="417">
        <f t="shared" si="47"/>
        <v>2.0687320727895532E-3</v>
      </c>
      <c r="N203" s="417">
        <f t="shared" si="47"/>
        <v>1.8119740504628874E-3</v>
      </c>
      <c r="O203" s="417">
        <f t="shared" si="47"/>
        <v>1.449306563931749E-3</v>
      </c>
      <c r="P203" s="417">
        <f t="shared" si="47"/>
        <v>1.5120462042547383E-3</v>
      </c>
      <c r="Q203" s="417">
        <f t="shared" si="47"/>
        <v>1.5516859941998389E-3</v>
      </c>
      <c r="R203" s="417">
        <f t="shared" si="47"/>
        <v>-1.5929925965137387E-3</v>
      </c>
      <c r="S203" s="417">
        <f t="shared" si="47"/>
        <v>-1.5285701018017859E-3</v>
      </c>
      <c r="T203" s="417">
        <f t="shared" si="47"/>
        <v>-1.5929925965137387E-3</v>
      </c>
      <c r="U203" s="417">
        <f t="shared" si="47"/>
        <v>-1.5929925965137387E-3</v>
      </c>
      <c r="V203" s="417">
        <f t="shared" si="47"/>
        <v>-1.5285701018017859E-3</v>
      </c>
      <c r="W203" s="417">
        <f t="shared" si="47"/>
        <v>-1.5285701018017859E-3</v>
      </c>
      <c r="X203" s="417">
        <f t="shared" si="47"/>
        <v>-1.5066078876954383E-3</v>
      </c>
      <c r="Y203" s="417">
        <f t="shared" si="47"/>
        <v>-1.5066078876954383E-3</v>
      </c>
      <c r="Z203" s="349"/>
      <c r="AA203" s="349"/>
    </row>
    <row r="204" spans="4:27" x14ac:dyDescent="0.25">
      <c r="F204" s="293" t="s">
        <v>45</v>
      </c>
      <c r="G204" s="293" t="s">
        <v>183</v>
      </c>
      <c r="H204" s="349"/>
      <c r="I204" s="349"/>
      <c r="J204" s="417">
        <f t="shared" ref="J204:Y204" si="48">J99 * (1 - J$114)</f>
        <v>6.0731865434532893E-4</v>
      </c>
      <c r="K204" s="417">
        <f t="shared" si="48"/>
        <v>6.0731865434532893E-4</v>
      </c>
      <c r="L204" s="417">
        <f t="shared" si="48"/>
        <v>5.3528000591141151E-4</v>
      </c>
      <c r="M204" s="417">
        <f t="shared" si="48"/>
        <v>5.3528000591141151E-4</v>
      </c>
      <c r="N204" s="417">
        <f t="shared" si="48"/>
        <v>4.6884441595920729E-4</v>
      </c>
      <c r="O204" s="417">
        <f t="shared" si="48"/>
        <v>3.7500497832120802E-4</v>
      </c>
      <c r="P204" s="417">
        <f t="shared" si="48"/>
        <v>3.9123872626986556E-4</v>
      </c>
      <c r="Q204" s="417">
        <f t="shared" si="48"/>
        <v>4.0149543726460005E-4</v>
      </c>
      <c r="R204" s="417">
        <f t="shared" si="48"/>
        <v>-4.1218343240016623E-4</v>
      </c>
      <c r="S204" s="417">
        <f t="shared" si="48"/>
        <v>-3.955142494722184E-4</v>
      </c>
      <c r="T204" s="417">
        <f t="shared" si="48"/>
        <v>-4.1218343240016623E-4</v>
      </c>
      <c r="U204" s="417">
        <f t="shared" si="48"/>
        <v>-4.1218343240016623E-4</v>
      </c>
      <c r="V204" s="417">
        <f t="shared" si="48"/>
        <v>-3.955142494722184E-4</v>
      </c>
      <c r="W204" s="417">
        <f t="shared" si="48"/>
        <v>-3.955142494722184E-4</v>
      </c>
      <c r="X204" s="417">
        <f t="shared" si="48"/>
        <v>-3.8983157347405431E-4</v>
      </c>
      <c r="Y204" s="417">
        <f t="shared" si="48"/>
        <v>-3.8983157347405431E-4</v>
      </c>
      <c r="Z204" s="349"/>
      <c r="AA204" s="349"/>
    </row>
    <row r="205" spans="4:27" x14ac:dyDescent="0.25">
      <c r="F205" s="293" t="s">
        <v>46</v>
      </c>
      <c r="G205" s="293" t="s">
        <v>183</v>
      </c>
      <c r="H205" s="349"/>
      <c r="I205" s="349"/>
      <c r="J205" s="417">
        <f t="shared" ref="J205:Y205" si="49">J100 * (1 - J$115)</f>
        <v>2.548135360847512E-3</v>
      </c>
      <c r="K205" s="417">
        <f t="shared" si="49"/>
        <v>2.548135360847512E-3</v>
      </c>
      <c r="L205" s="417">
        <f t="shared" si="49"/>
        <v>2.2458817974031222E-3</v>
      </c>
      <c r="M205" s="417">
        <f t="shared" si="49"/>
        <v>2.2458817974031222E-3</v>
      </c>
      <c r="N205" s="417">
        <f t="shared" si="49"/>
        <v>1.9671370646919834E-3</v>
      </c>
      <c r="O205" s="417">
        <f t="shared" si="49"/>
        <v>1.5734136254783632E-3</v>
      </c>
      <c r="P205" s="417">
        <f t="shared" si="49"/>
        <v>1.3132206307950075E-3</v>
      </c>
      <c r="Q205" s="417">
        <f t="shared" si="49"/>
        <v>1.6845600140764554E-3</v>
      </c>
      <c r="R205" s="417">
        <f t="shared" si="49"/>
        <v>-1.7294037845528628E-3</v>
      </c>
      <c r="S205" s="417">
        <f t="shared" si="49"/>
        <v>-1.6594646609128575E-3</v>
      </c>
      <c r="T205" s="417">
        <f t="shared" si="49"/>
        <v>-1.7294037845528628E-3</v>
      </c>
      <c r="U205" s="417">
        <f t="shared" si="49"/>
        <v>-1.7294037845528628E-3</v>
      </c>
      <c r="V205" s="417">
        <f t="shared" si="49"/>
        <v>-1.6594646609128575E-3</v>
      </c>
      <c r="W205" s="417">
        <f t="shared" si="49"/>
        <v>-1.6594646609128575E-3</v>
      </c>
      <c r="X205" s="417">
        <f t="shared" si="49"/>
        <v>-1.6356217778537643E-3</v>
      </c>
      <c r="Y205" s="417">
        <f t="shared" si="49"/>
        <v>-1.6356217778537643E-3</v>
      </c>
      <c r="Z205" s="349"/>
      <c r="AA205" s="349"/>
    </row>
    <row r="206" spans="4:27" x14ac:dyDescent="0.25">
      <c r="F206" s="293" t="s">
        <v>47</v>
      </c>
      <c r="G206" s="293" t="s">
        <v>183</v>
      </c>
      <c r="H206" s="349"/>
      <c r="I206" s="349"/>
      <c r="J206" s="417">
        <f t="shared" ref="J206:Y206" si="50">J101 * (1 - J$116)</f>
        <v>1.8027857814506588E-3</v>
      </c>
      <c r="K206" s="417">
        <f t="shared" si="50"/>
        <v>1.8027857814506588E-3</v>
      </c>
      <c r="L206" s="417">
        <f t="shared" si="50"/>
        <v>1.5889437560454203E-3</v>
      </c>
      <c r="M206" s="417">
        <f t="shared" si="50"/>
        <v>1.5889437560454203E-3</v>
      </c>
      <c r="N206" s="417">
        <f t="shared" si="50"/>
        <v>1.3917340439919886E-3</v>
      </c>
      <c r="O206" s="417">
        <f t="shared" si="50"/>
        <v>1.1131777989257581E-3</v>
      </c>
      <c r="P206" s="417">
        <f t="shared" si="50"/>
        <v>0</v>
      </c>
      <c r="Q206" s="417">
        <f t="shared" si="50"/>
        <v>1.1918129970800607E-3</v>
      </c>
      <c r="R206" s="417">
        <f t="shared" si="50"/>
        <v>-1.2235396129591386E-3</v>
      </c>
      <c r="S206" s="417">
        <f t="shared" si="50"/>
        <v>-1.174058231552703E-3</v>
      </c>
      <c r="T206" s="417">
        <f t="shared" si="50"/>
        <v>-1.2235396129591386E-3</v>
      </c>
      <c r="U206" s="417">
        <f t="shared" si="50"/>
        <v>-1.2235396129591386E-3</v>
      </c>
      <c r="V206" s="417">
        <f t="shared" si="50"/>
        <v>-1.174058231552703E-3</v>
      </c>
      <c r="W206" s="417">
        <f t="shared" si="50"/>
        <v>-1.174058231552703E-3</v>
      </c>
      <c r="X206" s="417">
        <f t="shared" si="50"/>
        <v>-1.1571895788005087E-3</v>
      </c>
      <c r="Y206" s="417">
        <f t="shared" si="50"/>
        <v>-1.1571895788005087E-3</v>
      </c>
      <c r="Z206" s="349"/>
      <c r="AA206" s="349"/>
    </row>
    <row r="207" spans="4:27" x14ac:dyDescent="0.25">
      <c r="F207" s="293" t="s">
        <v>51</v>
      </c>
      <c r="G207" s="293" t="s">
        <v>183</v>
      </c>
      <c r="H207" s="349"/>
      <c r="I207" s="349"/>
      <c r="J207" s="417">
        <f t="shared" ref="J207:Y207" si="51">J102 * (1 - J$117)</f>
        <v>0</v>
      </c>
      <c r="K207" s="417">
        <f t="shared" si="51"/>
        <v>0</v>
      </c>
      <c r="L207" s="417">
        <f t="shared" si="51"/>
        <v>0</v>
      </c>
      <c r="M207" s="417">
        <f t="shared" si="51"/>
        <v>0</v>
      </c>
      <c r="N207" s="417">
        <f t="shared" si="51"/>
        <v>0</v>
      </c>
      <c r="O207" s="417">
        <f t="shared" si="51"/>
        <v>0</v>
      </c>
      <c r="P207" s="417">
        <f t="shared" si="51"/>
        <v>0</v>
      </c>
      <c r="Q207" s="417">
        <f t="shared" si="51"/>
        <v>0</v>
      </c>
      <c r="R207" s="417">
        <f t="shared" si="51"/>
        <v>0</v>
      </c>
      <c r="S207" s="417">
        <f t="shared" si="51"/>
        <v>0</v>
      </c>
      <c r="T207" s="417">
        <f t="shared" si="51"/>
        <v>0</v>
      </c>
      <c r="U207" s="417">
        <f t="shared" si="51"/>
        <v>0</v>
      </c>
      <c r="V207" s="417">
        <f t="shared" si="51"/>
        <v>0</v>
      </c>
      <c r="W207" s="417">
        <f t="shared" si="51"/>
        <v>0</v>
      </c>
      <c r="X207" s="417">
        <f t="shared" si="51"/>
        <v>0</v>
      </c>
      <c r="Y207" s="417">
        <f t="shared" si="51"/>
        <v>0</v>
      </c>
      <c r="Z207" s="349"/>
      <c r="AA207" s="349"/>
    </row>
    <row r="208" spans="4:27" x14ac:dyDescent="0.25">
      <c r="F208" s="293" t="s">
        <v>48</v>
      </c>
      <c r="G208" s="293" t="s">
        <v>183</v>
      </c>
      <c r="H208" s="349"/>
      <c r="I208" s="349"/>
      <c r="J208" s="417">
        <f t="shared" ref="J208:Y208" si="52">J103 * (1 - J$118)</f>
        <v>1.1559909900095651E-2</v>
      </c>
      <c r="K208" s="417">
        <f t="shared" si="52"/>
        <v>1.1559909900095651E-2</v>
      </c>
      <c r="L208" s="417">
        <f t="shared" si="52"/>
        <v>1.0188701755471074E-2</v>
      </c>
      <c r="M208" s="417">
        <f t="shared" si="52"/>
        <v>1.0188701755471074E-2</v>
      </c>
      <c r="N208" s="417">
        <f t="shared" si="52"/>
        <v>7.1393153058916447E-3</v>
      </c>
      <c r="O208" s="417">
        <f t="shared" si="52"/>
        <v>0</v>
      </c>
      <c r="P208" s="417">
        <f t="shared" si="52"/>
        <v>0</v>
      </c>
      <c r="Q208" s="417">
        <f t="shared" si="52"/>
        <v>7.642200757164967E-3</v>
      </c>
      <c r="R208" s="417">
        <f t="shared" si="52"/>
        <v>-7.8456396930445052E-3</v>
      </c>
      <c r="S208" s="417">
        <f t="shared" si="52"/>
        <v>-7.5283527936934403E-3</v>
      </c>
      <c r="T208" s="417">
        <f t="shared" si="52"/>
        <v>-7.8456396930445052E-3</v>
      </c>
      <c r="U208" s="417">
        <f t="shared" si="52"/>
        <v>-7.8456396930445052E-3</v>
      </c>
      <c r="V208" s="417">
        <f t="shared" si="52"/>
        <v>-7.5283527936934403E-3</v>
      </c>
      <c r="W208" s="417">
        <f t="shared" si="52"/>
        <v>-7.5283527936934403E-3</v>
      </c>
      <c r="X208" s="417">
        <f t="shared" si="52"/>
        <v>0</v>
      </c>
      <c r="Y208" s="417">
        <f t="shared" si="52"/>
        <v>0</v>
      </c>
      <c r="Z208" s="349"/>
      <c r="AA208" s="349"/>
    </row>
    <row r="209" spans="2:27" x14ac:dyDescent="0.25">
      <c r="F209" s="293" t="s">
        <v>49</v>
      </c>
      <c r="G209" s="293" t="s">
        <v>183</v>
      </c>
      <c r="H209" s="349"/>
      <c r="I209" s="349"/>
      <c r="J209" s="417">
        <f t="shared" ref="J209:Y209" si="53">J104 * (1 - J$119)</f>
        <v>4.3578522504080916E-3</v>
      </c>
      <c r="K209" s="417">
        <f t="shared" si="53"/>
        <v>4.3578522504080916E-3</v>
      </c>
      <c r="L209" s="417">
        <f t="shared" si="53"/>
        <v>3.8409345105232273E-3</v>
      </c>
      <c r="M209" s="417">
        <f t="shared" si="53"/>
        <v>3.8409345105232273E-3</v>
      </c>
      <c r="N209" s="417">
        <f t="shared" si="53"/>
        <v>0</v>
      </c>
      <c r="O209" s="417">
        <f t="shared" si="53"/>
        <v>0</v>
      </c>
      <c r="P209" s="417">
        <f t="shared" si="53"/>
        <v>0</v>
      </c>
      <c r="Q209" s="417">
        <f t="shared" si="53"/>
        <v>2.8809551333446128E-3</v>
      </c>
      <c r="R209" s="417">
        <f t="shared" si="53"/>
        <v>-2.9576474979222931E-3</v>
      </c>
      <c r="S209" s="417">
        <f t="shared" si="53"/>
        <v>0</v>
      </c>
      <c r="T209" s="417">
        <f t="shared" si="53"/>
        <v>-2.9576474979222931E-3</v>
      </c>
      <c r="U209" s="417">
        <f t="shared" si="53"/>
        <v>-2.9576474979222931E-3</v>
      </c>
      <c r="V209" s="417">
        <f t="shared" si="53"/>
        <v>0</v>
      </c>
      <c r="W209" s="417">
        <f t="shared" si="53"/>
        <v>0</v>
      </c>
      <c r="X209" s="417">
        <f t="shared" si="53"/>
        <v>0</v>
      </c>
      <c r="Y209" s="417">
        <f t="shared" si="53"/>
        <v>0</v>
      </c>
      <c r="Z209" s="349"/>
      <c r="AA209" s="349"/>
    </row>
    <row r="210" spans="2:27" x14ac:dyDescent="0.25">
      <c r="F210" s="293" t="s">
        <v>50</v>
      </c>
      <c r="G210" s="293" t="s">
        <v>183</v>
      </c>
      <c r="H210" s="349"/>
      <c r="I210" s="349"/>
      <c r="J210" s="417">
        <f t="shared" ref="J210:Y210" si="54">J105 * (1 - J$120)</f>
        <v>0</v>
      </c>
      <c r="K210" s="417">
        <f t="shared" si="54"/>
        <v>0</v>
      </c>
      <c r="L210" s="417">
        <f t="shared" si="54"/>
        <v>0</v>
      </c>
      <c r="M210" s="417">
        <f t="shared" si="54"/>
        <v>0</v>
      </c>
      <c r="N210" s="417">
        <f t="shared" si="54"/>
        <v>0</v>
      </c>
      <c r="O210" s="417">
        <f t="shared" si="54"/>
        <v>0</v>
      </c>
      <c r="P210" s="417">
        <f t="shared" si="54"/>
        <v>0</v>
      </c>
      <c r="Q210" s="417">
        <f t="shared" si="54"/>
        <v>7.583406142214465E-3</v>
      </c>
      <c r="R210" s="417">
        <f t="shared" si="54"/>
        <v>0</v>
      </c>
      <c r="S210" s="417">
        <f t="shared" si="54"/>
        <v>0</v>
      </c>
      <c r="T210" s="417">
        <f t="shared" si="54"/>
        <v>0</v>
      </c>
      <c r="U210" s="417">
        <f t="shared" si="54"/>
        <v>0</v>
      </c>
      <c r="V210" s="417">
        <f t="shared" si="54"/>
        <v>0</v>
      </c>
      <c r="W210" s="417">
        <f t="shared" si="54"/>
        <v>0</v>
      </c>
      <c r="X210" s="417">
        <f t="shared" si="54"/>
        <v>0</v>
      </c>
      <c r="Y210" s="417">
        <f t="shared" si="54"/>
        <v>0</v>
      </c>
      <c r="Z210" s="349"/>
      <c r="AA210" s="349"/>
    </row>
    <row r="211" spans="2:27" x14ac:dyDescent="0.25">
      <c r="D211" s="293"/>
      <c r="F211" s="91" t="s">
        <v>124</v>
      </c>
      <c r="G211" s="91" t="s">
        <v>183</v>
      </c>
      <c r="H211" s="347"/>
      <c r="I211" s="347" t="s">
        <v>359</v>
      </c>
      <c r="J211" s="359"/>
      <c r="K211" s="359"/>
      <c r="L211" s="359"/>
      <c r="M211" s="359"/>
      <c r="N211" s="359"/>
      <c r="O211" s="359"/>
      <c r="P211" s="359"/>
      <c r="Q211" s="360">
        <f>Q106</f>
        <v>2.207787019838531</v>
      </c>
      <c r="R211" s="359"/>
      <c r="S211" s="359"/>
      <c r="T211" s="359"/>
      <c r="U211" s="359"/>
      <c r="V211" s="359"/>
      <c r="W211" s="359"/>
      <c r="X211" s="359"/>
      <c r="Y211" s="359"/>
      <c r="Z211" s="349"/>
      <c r="AA211" s="349" t="s">
        <v>729</v>
      </c>
    </row>
    <row r="212" spans="2:27" x14ac:dyDescent="0.25">
      <c r="D212" s="293"/>
      <c r="F212" s="93" t="s">
        <v>123</v>
      </c>
      <c r="G212" s="93" t="s">
        <v>183</v>
      </c>
      <c r="H212" s="351"/>
      <c r="I212" s="351"/>
      <c r="J212" s="356"/>
      <c r="K212" s="356"/>
      <c r="L212" s="356"/>
      <c r="M212" s="356"/>
      <c r="N212" s="356"/>
      <c r="O212" s="356"/>
      <c r="P212" s="356"/>
      <c r="Q212" s="356"/>
      <c r="R212" s="356"/>
      <c r="S212" s="356"/>
      <c r="T212" s="356"/>
      <c r="U212" s="356"/>
      <c r="V212" s="356"/>
      <c r="W212" s="356"/>
      <c r="X212" s="356"/>
      <c r="Y212" s="356"/>
      <c r="Z212" s="349"/>
      <c r="AA212" s="349"/>
    </row>
    <row r="213" spans="2:27" x14ac:dyDescent="0.25">
      <c r="J213" s="252"/>
      <c r="K213" s="252"/>
      <c r="L213" s="252"/>
      <c r="M213" s="252"/>
      <c r="N213" s="252"/>
      <c r="O213" s="252"/>
      <c r="P213" s="252"/>
      <c r="Q213" s="252"/>
      <c r="R213" s="252"/>
      <c r="S213" s="252"/>
      <c r="T213" s="252"/>
      <c r="U213" s="252"/>
      <c r="V213" s="252"/>
      <c r="W213" s="252"/>
      <c r="X213" s="252"/>
      <c r="Y213" s="252"/>
    </row>
    <row r="214" spans="2:27" x14ac:dyDescent="0.25">
      <c r="C214" s="7" t="str">
        <f ca="1">INDEX('Version control'!$H$35:$H$61,MATCH($A$1,'Version control'!$F$35:$F$61,0),1)&amp;"-H: Unit rates, post application of standing charges"</f>
        <v>Section 514-H: Unit rates, post application of standing charges</v>
      </c>
      <c r="D214" s="7"/>
      <c r="E214" s="7"/>
      <c r="F214" s="7"/>
      <c r="G214" s="7"/>
      <c r="H214" s="7"/>
      <c r="I214" s="7"/>
      <c r="J214" s="242"/>
      <c r="K214" s="242"/>
      <c r="L214" s="242"/>
      <c r="M214" s="242"/>
      <c r="N214" s="242"/>
      <c r="O214" s="242"/>
      <c r="P214" s="242"/>
      <c r="Q214" s="242"/>
      <c r="R214" s="242"/>
      <c r="S214" s="242"/>
      <c r="T214" s="242"/>
      <c r="U214" s="242"/>
      <c r="V214" s="242"/>
      <c r="W214" s="242"/>
      <c r="X214" s="242"/>
      <c r="Y214" s="242"/>
      <c r="Z214" s="7"/>
      <c r="AA214" s="7"/>
    </row>
    <row r="215" spans="2:27" x14ac:dyDescent="0.25">
      <c r="J215" s="252"/>
      <c r="K215" s="252"/>
      <c r="L215" s="252"/>
      <c r="M215" s="252"/>
      <c r="N215" s="252"/>
      <c r="O215" s="252"/>
      <c r="P215" s="252"/>
      <c r="Q215" s="252"/>
      <c r="R215" s="252"/>
      <c r="S215" s="252"/>
      <c r="T215" s="252"/>
      <c r="U215" s="252"/>
      <c r="V215" s="252"/>
      <c r="W215" s="252"/>
      <c r="X215" s="252"/>
      <c r="Y215" s="252"/>
      <c r="AA215" s="88"/>
    </row>
    <row r="216" spans="2:27" x14ac:dyDescent="0.25">
      <c r="D216" s="293"/>
      <c r="E216" s="96" t="s">
        <v>235</v>
      </c>
      <c r="F216" s="98"/>
      <c r="J216" s="252"/>
      <c r="K216" s="252"/>
      <c r="L216" s="252"/>
      <c r="M216" s="252"/>
      <c r="N216" s="252"/>
      <c r="O216" s="252"/>
      <c r="P216" s="252"/>
      <c r="Q216" s="252"/>
      <c r="R216" s="252"/>
      <c r="S216" s="252"/>
      <c r="T216" s="252"/>
      <c r="U216" s="252"/>
      <c r="V216" s="252"/>
      <c r="W216" s="252"/>
      <c r="X216" s="252"/>
      <c r="Y216" s="252"/>
      <c r="AA216" s="88"/>
    </row>
    <row r="217" spans="2:27" x14ac:dyDescent="0.25">
      <c r="D217" s="293"/>
      <c r="F217" s="91" t="s">
        <v>296</v>
      </c>
      <c r="G217" s="91" t="s">
        <v>183</v>
      </c>
      <c r="H217" s="347"/>
      <c r="I217" s="347"/>
      <c r="J217" s="531">
        <f t="shared" ref="J217:Y217" si="55">SUM(J127:J138,J141:J152)</f>
        <v>8.5989408053984455</v>
      </c>
      <c r="K217" s="531">
        <f t="shared" si="55"/>
        <v>8.5989408053984455</v>
      </c>
      <c r="L217" s="531">
        <f t="shared" si="55"/>
        <v>7.5789555486440312</v>
      </c>
      <c r="M217" s="531">
        <f t="shared" si="55"/>
        <v>7.5789555486440312</v>
      </c>
      <c r="N217" s="531">
        <f t="shared" si="55"/>
        <v>5.9204564495108425</v>
      </c>
      <c r="O217" s="531">
        <f t="shared" si="55"/>
        <v>3.9038218301509833</v>
      </c>
      <c r="P217" s="531">
        <f t="shared" si="55"/>
        <v>3.1819974844838343</v>
      </c>
      <c r="Q217" s="531">
        <f t="shared" si="55"/>
        <v>19.148182617811354</v>
      </c>
      <c r="R217" s="531">
        <f t="shared" si="55"/>
        <v>-5.8360481944946567</v>
      </c>
      <c r="S217" s="531">
        <f t="shared" si="55"/>
        <v>-5.2137444437929998</v>
      </c>
      <c r="T217" s="531">
        <f t="shared" si="55"/>
        <v>-5.8360481944946567</v>
      </c>
      <c r="U217" s="531">
        <f t="shared" si="55"/>
        <v>-5.8360481944946567</v>
      </c>
      <c r="V217" s="531">
        <f t="shared" si="55"/>
        <v>-5.2137444437929998</v>
      </c>
      <c r="W217" s="531">
        <f t="shared" si="55"/>
        <v>-5.2137444437929998</v>
      </c>
      <c r="X217" s="531">
        <f t="shared" si="55"/>
        <v>-4.0256541373289458</v>
      </c>
      <c r="Y217" s="531">
        <f t="shared" si="55"/>
        <v>-4.0256541373289458</v>
      </c>
      <c r="Z217" s="349"/>
      <c r="AA217" s="349"/>
    </row>
    <row r="218" spans="2:27" x14ac:dyDescent="0.25">
      <c r="D218" s="293"/>
      <c r="F218" s="293" t="s">
        <v>297</v>
      </c>
      <c r="G218" s="293" t="s">
        <v>183</v>
      </c>
      <c r="H218" s="349"/>
      <c r="I218" s="349"/>
      <c r="J218" s="531">
        <f t="shared" ref="J218:Y218" si="56">SUM(J157:J168,J171:J182)</f>
        <v>1.1153673022347455</v>
      </c>
      <c r="K218" s="531">
        <f t="shared" si="56"/>
        <v>1.1153673022347455</v>
      </c>
      <c r="L218" s="531">
        <f t="shared" si="56"/>
        <v>0.98306516992664039</v>
      </c>
      <c r="M218" s="531">
        <f t="shared" si="56"/>
        <v>0.98306516992664039</v>
      </c>
      <c r="N218" s="531">
        <f t="shared" si="56"/>
        <v>0.66178237649677973</v>
      </c>
      <c r="O218" s="531">
        <f t="shared" si="56"/>
        <v>0.2984634805719768</v>
      </c>
      <c r="P218" s="531">
        <f t="shared" si="56"/>
        <v>0.21573751303447605</v>
      </c>
      <c r="Q218" s="531">
        <f t="shared" si="56"/>
        <v>3.0935343821070407</v>
      </c>
      <c r="R218" s="531">
        <f t="shared" si="56"/>
        <v>-0.75699292246771566</v>
      </c>
      <c r="S218" s="531">
        <f t="shared" si="56"/>
        <v>-0.61914773795816491</v>
      </c>
      <c r="T218" s="531">
        <f t="shared" si="56"/>
        <v>-0.75699292246771566</v>
      </c>
      <c r="U218" s="531">
        <f t="shared" si="56"/>
        <v>-0.75699292246771566</v>
      </c>
      <c r="V218" s="531">
        <f t="shared" si="56"/>
        <v>-0.61914773795816491</v>
      </c>
      <c r="W218" s="531">
        <f t="shared" si="56"/>
        <v>-0.61914773795816491</v>
      </c>
      <c r="X218" s="531">
        <f t="shared" si="56"/>
        <v>-0.30677292562270519</v>
      </c>
      <c r="Y218" s="531">
        <f t="shared" si="56"/>
        <v>-0.30677292562270519</v>
      </c>
      <c r="Z218" s="349"/>
      <c r="AA218" s="349"/>
    </row>
    <row r="219" spans="2:27" x14ac:dyDescent="0.25">
      <c r="D219" s="293"/>
      <c r="F219" s="93" t="s">
        <v>298</v>
      </c>
      <c r="G219" s="93" t="s">
        <v>183</v>
      </c>
      <c r="H219" s="351"/>
      <c r="I219" s="351"/>
      <c r="J219" s="352">
        <f t="shared" ref="J219:Y219" si="57">SUM(J187:J198,J201:J212)</f>
        <v>5.4036633774757072E-2</v>
      </c>
      <c r="K219" s="352">
        <f t="shared" si="57"/>
        <v>5.4036633774757072E-2</v>
      </c>
      <c r="L219" s="352">
        <f t="shared" si="57"/>
        <v>4.7626940880919788E-2</v>
      </c>
      <c r="M219" s="352">
        <f t="shared" si="57"/>
        <v>4.7626940880919788E-2</v>
      </c>
      <c r="N219" s="352">
        <f t="shared" si="57"/>
        <v>3.1035197909388225E-2</v>
      </c>
      <c r="O219" s="352">
        <f t="shared" si="57"/>
        <v>1.2449628384906991E-2</v>
      </c>
      <c r="P219" s="352">
        <f t="shared" si="57"/>
        <v>8.8557083461529313E-3</v>
      </c>
      <c r="Q219" s="352">
        <f t="shared" si="57"/>
        <v>2.2516877263377024</v>
      </c>
      <c r="R219" s="352">
        <f t="shared" si="57"/>
        <v>-3.6674330724518492E-2</v>
      </c>
      <c r="S219" s="352">
        <f t="shared" si="57"/>
        <v>-2.9443749546248729E-2</v>
      </c>
      <c r="T219" s="352">
        <f t="shared" si="57"/>
        <v>-3.6674330724518492E-2</v>
      </c>
      <c r="U219" s="352">
        <f t="shared" si="57"/>
        <v>-3.6674330724518492E-2</v>
      </c>
      <c r="V219" s="352">
        <f t="shared" si="57"/>
        <v>-2.9443749546248729E-2</v>
      </c>
      <c r="W219" s="352">
        <f t="shared" si="57"/>
        <v>-2.9443749546248729E-2</v>
      </c>
      <c r="X219" s="352">
        <f t="shared" si="57"/>
        <v>-1.2791007958297398E-2</v>
      </c>
      <c r="Y219" s="352">
        <f t="shared" si="57"/>
        <v>-1.2791007958297398E-2</v>
      </c>
      <c r="Z219" s="349"/>
      <c r="AA219" s="349"/>
    </row>
    <row r="221" spans="2:27" x14ac:dyDescent="0.25">
      <c r="B221" s="95" t="s">
        <v>109</v>
      </c>
      <c r="C221" s="95"/>
      <c r="D221" s="95"/>
      <c r="E221" s="95"/>
      <c r="F221" s="95"/>
      <c r="G221" s="95"/>
      <c r="H221" s="95"/>
      <c r="I221" s="95"/>
      <c r="J221" s="95"/>
      <c r="K221" s="95"/>
      <c r="L221" s="95"/>
      <c r="M221" s="95"/>
      <c r="N221" s="95"/>
      <c r="O221" s="95"/>
      <c r="P221" s="95"/>
      <c r="Q221" s="95"/>
      <c r="R221" s="95"/>
      <c r="S221" s="95"/>
      <c r="T221" s="95"/>
      <c r="U221" s="95"/>
      <c r="V221" s="95"/>
      <c r="W221" s="95"/>
      <c r="X221" s="95"/>
      <c r="Y221" s="95"/>
      <c r="Z221" s="95"/>
      <c r="AA221" s="95"/>
    </row>
    <row r="222" spans="2:27" x14ac:dyDescent="0.25">
      <c r="AA222" s="88"/>
    </row>
    <row r="223" spans="2:27" x14ac:dyDescent="0.25">
      <c r="E223" s="293" t="s">
        <v>415</v>
      </c>
      <c r="G223" s="122" t="s">
        <v>588</v>
      </c>
      <c r="H223" s="310">
        <f t="array" ref="H223">SUM(IF(ISERROR(H22:Y219), 1))</f>
        <v>0</v>
      </c>
      <c r="AA223" s="88"/>
    </row>
    <row r="225" spans="2:27" x14ac:dyDescent="0.25">
      <c r="B225" s="95" t="s">
        <v>110</v>
      </c>
      <c r="C225" s="95"/>
      <c r="D225" s="95"/>
      <c r="E225" s="95"/>
      <c r="F225" s="95"/>
      <c r="G225" s="95"/>
      <c r="H225" s="95"/>
      <c r="I225" s="95"/>
      <c r="J225" s="95"/>
      <c r="K225" s="95"/>
      <c r="L225" s="95"/>
      <c r="M225" s="95"/>
      <c r="N225" s="95"/>
      <c r="O225" s="95"/>
      <c r="P225" s="95"/>
      <c r="Q225" s="95"/>
      <c r="R225" s="95"/>
      <c r="S225" s="95"/>
      <c r="T225" s="95"/>
      <c r="U225" s="95"/>
      <c r="V225" s="95"/>
      <c r="W225" s="95"/>
      <c r="X225" s="95"/>
      <c r="Y225" s="95"/>
      <c r="Z225" s="95"/>
      <c r="AA225" s="95"/>
    </row>
  </sheetData>
  <sheetProtection sheet="1" objects="1" formatCells="0" formatColumns="0" formatRows="0" sort="0" autoFilter="0"/>
  <conditionalFormatting sqref="A4:I4 Z4:XFD4">
    <cfRule type="expression" dxfId="89" priority="10">
      <formula>LEFT($A$4,1) &lt;&gt; "0"</formula>
    </cfRule>
  </conditionalFormatting>
  <conditionalFormatting sqref="N4:P4">
    <cfRule type="expression" dxfId="88" priority="9">
      <formula>LEFT($A$4,1) &lt;&gt; "0"</formula>
    </cfRule>
  </conditionalFormatting>
  <conditionalFormatting sqref="L4:M4">
    <cfRule type="expression" dxfId="87" priority="8">
      <formula>LEFT($A$4,1) &lt;&gt; "0"</formula>
    </cfRule>
  </conditionalFormatting>
  <conditionalFormatting sqref="J4:K4">
    <cfRule type="expression" dxfId="86" priority="7">
      <formula>LEFT($A$4,1) &lt;&gt; "0"</formula>
    </cfRule>
  </conditionalFormatting>
  <conditionalFormatting sqref="Q4">
    <cfRule type="expression" dxfId="85" priority="6">
      <formula>LEFT($A$4,1) &lt;&gt; "0"</formula>
    </cfRule>
  </conditionalFormatting>
  <conditionalFormatting sqref="R4:S4">
    <cfRule type="expression" dxfId="84" priority="5">
      <formula>LEFT($A$4,1) &lt;&gt; "0"</formula>
    </cfRule>
  </conditionalFormatting>
  <conditionalFormatting sqref="T4:U4">
    <cfRule type="expression" dxfId="83" priority="4">
      <formula>LEFT($A$4,1) &lt;&gt; "0"</formula>
    </cfRule>
  </conditionalFormatting>
  <conditionalFormatting sqref="V4:W4">
    <cfRule type="expression" dxfId="82" priority="3">
      <formula>LEFT($A$4,1) &lt;&gt; "0"</formula>
    </cfRule>
  </conditionalFormatting>
  <conditionalFormatting sqref="X4:Y4">
    <cfRule type="expression" dxfId="81" priority="2">
      <formula>LEFT($A$4,1) &lt;&gt; "0"</formula>
    </cfRule>
  </conditionalFormatting>
  <conditionalFormatting sqref="H223">
    <cfRule type="cellIs" dxfId="80" priority="1" operator="greaterThan">
      <formula>0</formula>
    </cfRule>
  </conditionalFormatting>
  <hyperlinks>
    <hyperlink ref="B5:F5" location="'Model map'!A1" display="Click here to return to model map" xr:uid="{99CBAF2B-3C3E-4DEE-8D03-158174F9D021}"/>
  </hyperlinks>
  <pageMargins left="0.7" right="0.7" top="0.75" bottom="0.75" header="0.3" footer="0.3"/>
  <pageSetup paperSize="9" scale="32" fitToHeight="0" orientation="portrait" r:id="rId1"/>
  <headerFooter>
    <oddHeader>&amp;L&amp;A&amp;C&amp;R&amp;P of &amp;N</oddHeader>
    <oddFooter>&amp;F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4C2514-FB57-40E6-826F-24FA376E5D83}">
  <sheetPr codeName="Sheet51">
    <tabColor theme="4" tint="0.59999389629810485"/>
    <pageSetUpPr fitToPage="1"/>
  </sheetPr>
  <dimension ref="A1:LC297"/>
  <sheetViews>
    <sheetView showGridLines="0" zoomScale="80" zoomScaleNormal="80" workbookViewId="0">
      <pane xSplit="9" ySplit="5" topLeftCell="J6" activePane="bottomRight" state="frozen"/>
      <selection pane="topRight"/>
      <selection pane="bottomLeft"/>
      <selection pane="bottomRight"/>
    </sheetView>
  </sheetViews>
  <sheetFormatPr defaultColWidth="0" defaultRowHeight="15" x14ac:dyDescent="0.25"/>
  <cols>
    <col min="1" max="3" width="2.5703125" style="293" customWidth="1"/>
    <col min="4" max="5" width="2.5703125" style="98" customWidth="1"/>
    <col min="6" max="6" width="59.5703125" style="293" customWidth="1"/>
    <col min="7" max="8" width="20.5703125" style="293" customWidth="1"/>
    <col min="9" max="9" width="2.42578125" style="293" customWidth="1"/>
    <col min="10" max="25" width="17" style="293" customWidth="1"/>
    <col min="26" max="26" width="2.42578125" style="293" customWidth="1"/>
    <col min="27" max="27" width="50.5703125" style="293" customWidth="1"/>
    <col min="28" max="28" width="2.42578125" style="293" customWidth="1"/>
    <col min="29" max="29" width="24.5703125" style="293" hidden="1" customWidth="1"/>
    <col min="30" max="30" width="3.5703125" style="293" hidden="1" customWidth="1"/>
    <col min="31" max="31" width="15.42578125" style="293" hidden="1" customWidth="1"/>
    <col min="32" max="315" width="24.5703125" style="293" hidden="1" customWidth="1"/>
    <col min="316" max="16384" width="8.5703125" style="293" hidden="1"/>
  </cols>
  <sheetData>
    <row r="1" spans="1:27" s="10" customFormat="1" x14ac:dyDescent="0.25">
      <c r="A1" s="10" t="str">
        <f ca="1">MID(CELL("filename",A1),FIND("]",CELL("filename",A1))+1,255)</f>
        <v>Capacity charges</v>
      </c>
    </row>
    <row r="2" spans="1:27" s="10" customFormat="1" x14ac:dyDescent="0.25">
      <c r="A2" s="10" t="str">
        <f>Cover!D21&amp;" - "&amp;Cover!D23</f>
        <v>Southern Electric Power Distribution plc - Final</v>
      </c>
    </row>
    <row r="3" spans="1:27" s="46" customFormat="1" x14ac:dyDescent="0.25">
      <c r="A3" s="46" t="str">
        <f>Cover!D2&amp;" - "&amp;Cover!D8&amp;" v"&amp;Cover!D10&amp;" - "&amp;Cover!D19</f>
        <v>ARP model - Release for charge setting v7 - 2023/24</v>
      </c>
    </row>
    <row r="4" spans="1:27" x14ac:dyDescent="0.25">
      <c r="A4" s="366" t="str">
        <f>H295 &amp; IF(H295 = 1, " issue", " issues") &amp;" identified in checks on this sheet"</f>
        <v>0 issues identified in checks on this sheet</v>
      </c>
      <c r="B4" s="108"/>
      <c r="C4" s="108"/>
      <c r="D4" s="108"/>
      <c r="E4" s="108"/>
      <c r="F4" s="108"/>
      <c r="G4" s="108"/>
      <c r="H4" s="111"/>
      <c r="I4" s="111"/>
      <c r="AA4" s="420"/>
    </row>
    <row r="5" spans="1:27" ht="60" x14ac:dyDescent="0.25">
      <c r="B5" s="367" t="s">
        <v>451</v>
      </c>
      <c r="C5" s="368"/>
      <c r="D5" s="368"/>
      <c r="E5" s="368"/>
      <c r="F5" s="368"/>
      <c r="G5" s="1" t="s">
        <v>91</v>
      </c>
      <c r="H5" s="2" t="s">
        <v>92</v>
      </c>
      <c r="J5" s="2" t="s">
        <v>926</v>
      </c>
      <c r="K5" s="2" t="s">
        <v>927</v>
      </c>
      <c r="L5" s="2" t="s">
        <v>928</v>
      </c>
      <c r="M5" s="2" t="s">
        <v>929</v>
      </c>
      <c r="N5" s="2" t="s">
        <v>930</v>
      </c>
      <c r="O5" s="2" t="s">
        <v>931</v>
      </c>
      <c r="P5" s="2" t="s">
        <v>932</v>
      </c>
      <c r="Q5" s="2" t="s">
        <v>933</v>
      </c>
      <c r="R5" s="2" t="s">
        <v>934</v>
      </c>
      <c r="S5" s="2" t="s">
        <v>935</v>
      </c>
      <c r="T5" s="2" t="s">
        <v>936</v>
      </c>
      <c r="U5" s="2" t="s">
        <v>937</v>
      </c>
      <c r="V5" s="2" t="s">
        <v>938</v>
      </c>
      <c r="W5" s="2" t="s">
        <v>939</v>
      </c>
      <c r="X5" s="2" t="s">
        <v>940</v>
      </c>
      <c r="Y5" s="2" t="s">
        <v>941</v>
      </c>
      <c r="AA5" s="1" t="s">
        <v>93</v>
      </c>
    </row>
    <row r="7" spans="1:27" x14ac:dyDescent="0.25">
      <c r="B7" s="95" t="s">
        <v>90</v>
      </c>
      <c r="C7" s="95"/>
      <c r="D7" s="95"/>
      <c r="E7" s="95"/>
      <c r="F7" s="95"/>
      <c r="G7" s="95"/>
      <c r="H7" s="95"/>
      <c r="I7" s="95"/>
      <c r="J7" s="95"/>
      <c r="K7" s="95"/>
      <c r="L7" s="95"/>
      <c r="M7" s="95"/>
      <c r="N7" s="95"/>
      <c r="O7" s="95"/>
      <c r="P7" s="95"/>
      <c r="Q7" s="95"/>
      <c r="R7" s="95"/>
      <c r="S7" s="95"/>
      <c r="T7" s="95"/>
      <c r="U7" s="95"/>
      <c r="V7" s="95"/>
      <c r="W7" s="95"/>
      <c r="X7" s="95"/>
      <c r="Y7" s="95"/>
      <c r="Z7" s="95"/>
      <c r="AA7" s="95"/>
    </row>
    <row r="9" spans="1:27" x14ac:dyDescent="0.25">
      <c r="D9" s="82" t="s">
        <v>396</v>
      </c>
      <c r="E9" s="293"/>
    </row>
    <row r="10" spans="1:27" x14ac:dyDescent="0.25">
      <c r="D10" s="82" t="s">
        <v>735</v>
      </c>
      <c r="E10" s="293"/>
    </row>
    <row r="11" spans="1:27" x14ac:dyDescent="0.25">
      <c r="D11" s="82" t="s">
        <v>820</v>
      </c>
      <c r="E11" s="293"/>
    </row>
    <row r="12" spans="1:27" x14ac:dyDescent="0.25">
      <c r="D12" s="82" t="s">
        <v>765</v>
      </c>
      <c r="E12" s="293"/>
    </row>
    <row r="13" spans="1:27" x14ac:dyDescent="0.25">
      <c r="D13" s="82" t="s">
        <v>536</v>
      </c>
      <c r="E13" s="293"/>
    </row>
    <row r="14" spans="1:27" x14ac:dyDescent="0.25">
      <c r="D14" s="82" t="s">
        <v>766</v>
      </c>
      <c r="E14" s="293"/>
    </row>
    <row r="15" spans="1:27" x14ac:dyDescent="0.25">
      <c r="D15" s="82" t="s">
        <v>736</v>
      </c>
    </row>
    <row r="17" spans="2:27" x14ac:dyDescent="0.25">
      <c r="B17" s="95" t="s">
        <v>656</v>
      </c>
      <c r="C17" s="95"/>
      <c r="D17" s="95"/>
      <c r="E17" s="95"/>
      <c r="F17" s="95"/>
      <c r="G17" s="95"/>
      <c r="H17" s="95"/>
      <c r="I17" s="95"/>
      <c r="J17" s="95"/>
      <c r="K17" s="95"/>
      <c r="L17" s="95"/>
      <c r="M17" s="95"/>
      <c r="N17" s="95"/>
      <c r="O17" s="95"/>
      <c r="P17" s="95"/>
      <c r="Q17" s="95"/>
      <c r="R17" s="95"/>
      <c r="S17" s="95"/>
      <c r="T17" s="95"/>
      <c r="U17" s="95"/>
      <c r="V17" s="95"/>
      <c r="W17" s="95"/>
      <c r="X17" s="95"/>
      <c r="Y17" s="95"/>
      <c r="Z17" s="95"/>
      <c r="AA17" s="95"/>
    </row>
    <row r="18" spans="2:27" x14ac:dyDescent="0.25">
      <c r="D18" s="293"/>
      <c r="E18" s="293"/>
    </row>
    <row r="19" spans="2:27" x14ac:dyDescent="0.25">
      <c r="C19" s="7" t="str">
        <f ca="1">INDEX('Version control'!$H$35:$H$61,MATCH($A$1,'Version control'!$F$35:$F$61,0),1)&amp;"-A: Inputs to capacity charge calculations"</f>
        <v>Section 515-A: Inputs to capacity charge calculations</v>
      </c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</row>
    <row r="21" spans="2:27" x14ac:dyDescent="0.25">
      <c r="E21" s="96" t="s">
        <v>266</v>
      </c>
      <c r="F21" s="98"/>
    </row>
    <row r="22" spans="2:27" x14ac:dyDescent="0.25">
      <c r="D22" s="293"/>
      <c r="E22" s="82" t="s">
        <v>737</v>
      </c>
      <c r="F22" s="98"/>
    </row>
    <row r="23" spans="2:27" x14ac:dyDescent="0.25">
      <c r="C23" s="86"/>
      <c r="F23" s="73" t="s">
        <v>267</v>
      </c>
      <c r="G23" s="73" t="s">
        <v>94</v>
      </c>
      <c r="H23" s="421">
        <f>'System peak demand'!H226</f>
        <v>4.949939187329E-2</v>
      </c>
    </row>
    <row r="24" spans="2:27" x14ac:dyDescent="0.25">
      <c r="C24" s="86"/>
      <c r="F24" s="293" t="s">
        <v>43</v>
      </c>
      <c r="G24" s="293" t="s">
        <v>94</v>
      </c>
      <c r="H24" s="143">
        <f>'System peak demand'!H226</f>
        <v>4.949939187329E-2</v>
      </c>
    </row>
    <row r="25" spans="2:27" x14ac:dyDescent="0.25">
      <c r="C25" s="86"/>
      <c r="F25" s="293" t="s">
        <v>44</v>
      </c>
      <c r="G25" s="293" t="s">
        <v>94</v>
      </c>
      <c r="H25" s="143">
        <f>'System peak demand'!H227</f>
        <v>8.4907667851456869E-2</v>
      </c>
    </row>
    <row r="26" spans="2:27" x14ac:dyDescent="0.25">
      <c r="C26" s="86"/>
      <c r="F26" s="293" t="s">
        <v>45</v>
      </c>
      <c r="G26" s="293" t="s">
        <v>94</v>
      </c>
      <c r="H26" s="143">
        <f>'System peak demand'!H228</f>
        <v>8.4907667851456869E-2</v>
      </c>
    </row>
    <row r="27" spans="2:27" x14ac:dyDescent="0.25">
      <c r="C27" s="86"/>
      <c r="F27" s="293" t="s">
        <v>46</v>
      </c>
      <c r="G27" s="293" t="s">
        <v>94</v>
      </c>
      <c r="H27" s="143">
        <f>'System peak demand'!H229</f>
        <v>0.17181913007620908</v>
      </c>
    </row>
    <row r="28" spans="2:27" x14ac:dyDescent="0.25">
      <c r="C28" s="86"/>
      <c r="F28" s="293" t="s">
        <v>47</v>
      </c>
      <c r="G28" s="293" t="s">
        <v>94</v>
      </c>
      <c r="H28" s="143">
        <f>'System peak demand'!H230</f>
        <v>0.17181913007620908</v>
      </c>
    </row>
    <row r="29" spans="2:27" x14ac:dyDescent="0.25">
      <c r="C29" s="86"/>
      <c r="F29" s="293" t="s">
        <v>51</v>
      </c>
      <c r="G29" s="293" t="s">
        <v>94</v>
      </c>
      <c r="H29" s="143">
        <f>'System peak demand'!H231</f>
        <v>8.4907667851456869E-2</v>
      </c>
    </row>
    <row r="30" spans="2:27" x14ac:dyDescent="0.25">
      <c r="C30" s="86"/>
      <c r="F30" s="293" t="s">
        <v>48</v>
      </c>
      <c r="G30" s="293" t="s">
        <v>94</v>
      </c>
      <c r="H30" s="143">
        <f>'System peak demand'!H232</f>
        <v>0.60539220820440676</v>
      </c>
    </row>
    <row r="31" spans="2:27" x14ac:dyDescent="0.25">
      <c r="C31" s="86"/>
      <c r="F31" s="293" t="s">
        <v>49</v>
      </c>
      <c r="G31" s="293" t="s">
        <v>94</v>
      </c>
      <c r="H31" s="143">
        <f>'System peak demand'!H233</f>
        <v>0.60539220820440676</v>
      </c>
    </row>
    <row r="32" spans="2:27" x14ac:dyDescent="0.25">
      <c r="C32" s="86"/>
      <c r="F32" s="293" t="s">
        <v>50</v>
      </c>
      <c r="G32" s="293" t="s">
        <v>94</v>
      </c>
      <c r="H32" s="143">
        <f>'System peak demand'!H234</f>
        <v>0.92121933656946653</v>
      </c>
    </row>
    <row r="33" spans="3:8" x14ac:dyDescent="0.25">
      <c r="C33" s="86"/>
      <c r="F33" s="293" t="s">
        <v>124</v>
      </c>
      <c r="G33" s="293" t="s">
        <v>94</v>
      </c>
      <c r="H33" s="79"/>
    </row>
    <row r="34" spans="3:8" x14ac:dyDescent="0.25">
      <c r="C34" s="86"/>
      <c r="F34" s="93" t="s">
        <v>123</v>
      </c>
      <c r="G34" s="93" t="s">
        <v>94</v>
      </c>
      <c r="H34" s="102"/>
    </row>
    <row r="35" spans="3:8" x14ac:dyDescent="0.25">
      <c r="C35" s="86"/>
      <c r="F35" s="98"/>
    </row>
    <row r="36" spans="3:8" x14ac:dyDescent="0.25">
      <c r="E36" s="86" t="s">
        <v>100</v>
      </c>
      <c r="F36" s="98"/>
    </row>
    <row r="37" spans="3:8" x14ac:dyDescent="0.25">
      <c r="C37" s="86"/>
      <c r="F37" s="91" t="s">
        <v>267</v>
      </c>
      <c r="G37" s="16" t="s">
        <v>427</v>
      </c>
      <c r="H37" s="272">
        <f t="array" ref="H37:H46">TRANSPOSE('Load &amp; loss characteristics'!J29:S29)</f>
        <v>1</v>
      </c>
    </row>
    <row r="38" spans="3:8" x14ac:dyDescent="0.25">
      <c r="C38" s="86"/>
      <c r="F38" s="293" t="s">
        <v>43</v>
      </c>
      <c r="G38" s="14" t="s">
        <v>427</v>
      </c>
      <c r="H38" s="273">
        <v>1</v>
      </c>
    </row>
    <row r="39" spans="3:8" x14ac:dyDescent="0.25">
      <c r="C39" s="86"/>
      <c r="F39" s="293" t="s">
        <v>44</v>
      </c>
      <c r="G39" s="14" t="s">
        <v>427</v>
      </c>
      <c r="H39" s="273">
        <v>1.004</v>
      </c>
    </row>
    <row r="40" spans="3:8" x14ac:dyDescent="0.25">
      <c r="C40" s="86"/>
      <c r="F40" s="293" t="s">
        <v>45</v>
      </c>
      <c r="G40" s="14" t="s">
        <v>427</v>
      </c>
      <c r="H40" s="273">
        <v>1.008</v>
      </c>
    </row>
    <row r="41" spans="3:8" x14ac:dyDescent="0.25">
      <c r="C41" s="86"/>
      <c r="F41" s="293" t="s">
        <v>46</v>
      </c>
      <c r="G41" s="14" t="s">
        <v>427</v>
      </c>
      <c r="H41" s="273">
        <v>1.014</v>
      </c>
    </row>
    <row r="42" spans="3:8" x14ac:dyDescent="0.25">
      <c r="C42" s="86"/>
      <c r="F42" s="293" t="s">
        <v>47</v>
      </c>
      <c r="G42" s="14" t="s">
        <v>427</v>
      </c>
      <c r="H42" s="273">
        <v>1.02</v>
      </c>
    </row>
    <row r="43" spans="3:8" x14ac:dyDescent="0.25">
      <c r="C43" s="86"/>
      <c r="F43" s="293" t="s">
        <v>51</v>
      </c>
      <c r="G43" s="14" t="s">
        <v>427</v>
      </c>
      <c r="H43" s="273">
        <v>1.02</v>
      </c>
    </row>
    <row r="44" spans="3:8" x14ac:dyDescent="0.25">
      <c r="C44" s="86"/>
      <c r="F44" s="293" t="s">
        <v>48</v>
      </c>
      <c r="G44" s="14" t="s">
        <v>427</v>
      </c>
      <c r="H44" s="273">
        <v>1.0289999999999999</v>
      </c>
    </row>
    <row r="45" spans="3:8" x14ac:dyDescent="0.25">
      <c r="C45" s="86"/>
      <c r="F45" s="293" t="s">
        <v>49</v>
      </c>
      <c r="G45" s="14" t="s">
        <v>427</v>
      </c>
      <c r="H45" s="273">
        <v>1.044</v>
      </c>
    </row>
    <row r="46" spans="3:8" x14ac:dyDescent="0.25">
      <c r="C46" s="86"/>
      <c r="F46" s="293" t="s">
        <v>50</v>
      </c>
      <c r="G46" s="14" t="s">
        <v>427</v>
      </c>
      <c r="H46" s="273">
        <v>1.0880000000000001</v>
      </c>
    </row>
    <row r="47" spans="3:8" x14ac:dyDescent="0.25">
      <c r="C47" s="86"/>
      <c r="F47" s="293" t="s">
        <v>124</v>
      </c>
      <c r="G47" s="14" t="s">
        <v>427</v>
      </c>
      <c r="H47" s="279"/>
    </row>
    <row r="48" spans="3:8" x14ac:dyDescent="0.25">
      <c r="C48" s="86"/>
      <c r="F48" s="93" t="s">
        <v>123</v>
      </c>
      <c r="G48" s="15" t="s">
        <v>427</v>
      </c>
      <c r="H48" s="240"/>
    </row>
    <row r="49" spans="3:8" x14ac:dyDescent="0.25">
      <c r="C49" s="86"/>
      <c r="F49" s="98"/>
      <c r="H49" s="252"/>
    </row>
    <row r="50" spans="3:8" x14ac:dyDescent="0.25">
      <c r="C50" s="86"/>
      <c r="E50" s="86" t="s">
        <v>126</v>
      </c>
      <c r="H50" s="252"/>
    </row>
    <row r="51" spans="3:8" x14ac:dyDescent="0.25">
      <c r="C51" s="86"/>
      <c r="E51" s="82"/>
      <c r="F51" s="91" t="s">
        <v>267</v>
      </c>
      <c r="G51" s="91" t="s">
        <v>108</v>
      </c>
      <c r="H51" s="238"/>
    </row>
    <row r="52" spans="3:8" x14ac:dyDescent="0.25">
      <c r="C52" s="86"/>
      <c r="E52" s="82"/>
      <c r="F52" s="293" t="s">
        <v>43</v>
      </c>
      <c r="G52" s="293" t="s">
        <v>108</v>
      </c>
      <c r="H52" s="279"/>
    </row>
    <row r="53" spans="3:8" x14ac:dyDescent="0.25">
      <c r="C53" s="86"/>
      <c r="E53" s="82"/>
      <c r="F53" s="293" t="s">
        <v>44</v>
      </c>
      <c r="G53" s="293" t="s">
        <v>108</v>
      </c>
      <c r="H53" s="273">
        <f t="array" ref="H53:H60">TRANSPOSE('Unit costs'!L114:S114)</f>
        <v>10.883631559807021</v>
      </c>
    </row>
    <row r="54" spans="3:8" x14ac:dyDescent="0.25">
      <c r="C54" s="86"/>
      <c r="E54" s="82"/>
      <c r="F54" s="293" t="s">
        <v>45</v>
      </c>
      <c r="G54" s="293" t="s">
        <v>108</v>
      </c>
      <c r="H54" s="273">
        <v>2.8273360106831418</v>
      </c>
    </row>
    <row r="55" spans="3:8" x14ac:dyDescent="0.25">
      <c r="C55" s="86"/>
      <c r="E55" s="82"/>
      <c r="F55" s="293" t="s">
        <v>46</v>
      </c>
      <c r="G55" s="293" t="s">
        <v>108</v>
      </c>
      <c r="H55" s="273">
        <v>7.8356229955375181</v>
      </c>
    </row>
    <row r="56" spans="3:8" x14ac:dyDescent="0.25">
      <c r="C56" s="86"/>
      <c r="E56" s="82"/>
      <c r="F56" s="293" t="s">
        <v>47</v>
      </c>
      <c r="G56" s="293" t="s">
        <v>108</v>
      </c>
      <c r="H56" s="273">
        <v>5.576444424745584</v>
      </c>
    </row>
    <row r="57" spans="3:8" x14ac:dyDescent="0.25">
      <c r="C57" s="86"/>
      <c r="E57" s="82"/>
      <c r="F57" s="293" t="s">
        <v>51</v>
      </c>
      <c r="G57" s="293" t="s">
        <v>108</v>
      </c>
      <c r="H57" s="273">
        <v>0</v>
      </c>
    </row>
    <row r="58" spans="3:8" x14ac:dyDescent="0.25">
      <c r="C58" s="86"/>
      <c r="E58" s="82"/>
      <c r="F58" s="293" t="s">
        <v>48</v>
      </c>
      <c r="G58" s="293" t="s">
        <v>108</v>
      </c>
      <c r="H58" s="273">
        <v>18.206544316732039</v>
      </c>
    </row>
    <row r="59" spans="3:8" x14ac:dyDescent="0.25">
      <c r="C59" s="86"/>
      <c r="E59" s="82"/>
      <c r="F59" s="293" t="s">
        <v>49</v>
      </c>
      <c r="G59" s="293" t="s">
        <v>108</v>
      </c>
      <c r="H59" s="273">
        <v>6.9635500131531867</v>
      </c>
    </row>
    <row r="60" spans="3:8" x14ac:dyDescent="0.25">
      <c r="C60" s="86"/>
      <c r="E60" s="82"/>
      <c r="F60" s="293" t="s">
        <v>50</v>
      </c>
      <c r="G60" s="293" t="s">
        <v>108</v>
      </c>
      <c r="H60" s="273">
        <v>19.102355227863391</v>
      </c>
    </row>
    <row r="61" spans="3:8" x14ac:dyDescent="0.25">
      <c r="C61" s="86"/>
      <c r="E61" s="82"/>
      <c r="F61" s="293" t="s">
        <v>124</v>
      </c>
      <c r="G61" s="293" t="s">
        <v>108</v>
      </c>
      <c r="H61" s="279"/>
    </row>
    <row r="62" spans="3:8" x14ac:dyDescent="0.25">
      <c r="C62" s="86"/>
      <c r="E62" s="82"/>
      <c r="F62" s="93" t="s">
        <v>123</v>
      </c>
      <c r="G62" s="93" t="s">
        <v>108</v>
      </c>
      <c r="H62" s="240"/>
    </row>
    <row r="63" spans="3:8" x14ac:dyDescent="0.25">
      <c r="C63" s="86"/>
      <c r="D63" s="293"/>
      <c r="E63" s="82"/>
      <c r="H63" s="252"/>
    </row>
    <row r="64" spans="3:8" x14ac:dyDescent="0.25">
      <c r="C64" s="86"/>
      <c r="E64" s="86" t="s">
        <v>127</v>
      </c>
      <c r="H64" s="252"/>
    </row>
    <row r="65" spans="3:25" x14ac:dyDescent="0.25">
      <c r="C65" s="86"/>
      <c r="F65" s="91" t="s">
        <v>267</v>
      </c>
      <c r="G65" s="91" t="s">
        <v>108</v>
      </c>
      <c r="H65" s="272">
        <f t="array" ref="H65:H74">TRANSPOSE('Unit costs'!J115:S115)</f>
        <v>2.7548504565186631</v>
      </c>
    </row>
    <row r="66" spans="3:25" x14ac:dyDescent="0.25">
      <c r="C66" s="86"/>
      <c r="F66" s="293" t="s">
        <v>43</v>
      </c>
      <c r="G66" s="293" t="s">
        <v>108</v>
      </c>
      <c r="H66" s="273">
        <v>0</v>
      </c>
    </row>
    <row r="67" spans="3:25" x14ac:dyDescent="0.25">
      <c r="C67" s="86"/>
      <c r="F67" s="293" t="s">
        <v>44</v>
      </c>
      <c r="G67" s="293" t="s">
        <v>108</v>
      </c>
      <c r="H67" s="273">
        <v>6.1203202482894374</v>
      </c>
    </row>
    <row r="68" spans="3:25" x14ac:dyDescent="0.25">
      <c r="C68" s="86"/>
      <c r="F68" s="293" t="s">
        <v>45</v>
      </c>
      <c r="G68" s="293" t="s">
        <v>108</v>
      </c>
      <c r="H68" s="273">
        <v>1.5899290360770664</v>
      </c>
    </row>
    <row r="69" spans="3:25" x14ac:dyDescent="0.25">
      <c r="C69" s="86"/>
      <c r="F69" s="293" t="s">
        <v>46</v>
      </c>
      <c r="G69" s="293" t="s">
        <v>108</v>
      </c>
      <c r="H69" s="273">
        <v>4.4062978256864964</v>
      </c>
    </row>
    <row r="70" spans="3:25" x14ac:dyDescent="0.25">
      <c r="C70" s="86"/>
      <c r="F70" s="293" t="s">
        <v>47</v>
      </c>
      <c r="G70" s="293" t="s">
        <v>108</v>
      </c>
      <c r="H70" s="273">
        <v>3.1358674297897946</v>
      </c>
    </row>
    <row r="71" spans="3:25" x14ac:dyDescent="0.25">
      <c r="C71" s="86"/>
      <c r="F71" s="293" t="s">
        <v>51</v>
      </c>
      <c r="G71" s="293" t="s">
        <v>108</v>
      </c>
      <c r="H71" s="273">
        <v>0</v>
      </c>
    </row>
    <row r="72" spans="3:25" x14ac:dyDescent="0.25">
      <c r="C72" s="86"/>
      <c r="F72" s="293" t="s">
        <v>48</v>
      </c>
      <c r="G72" s="293" t="s">
        <v>108</v>
      </c>
      <c r="H72" s="273">
        <v>10.238299709132184</v>
      </c>
    </row>
    <row r="73" spans="3:25" x14ac:dyDescent="0.25">
      <c r="C73" s="86"/>
      <c r="F73" s="293" t="s">
        <v>49</v>
      </c>
      <c r="G73" s="293" t="s">
        <v>108</v>
      </c>
      <c r="H73" s="273">
        <v>3.9158947922189049</v>
      </c>
    </row>
    <row r="74" spans="3:25" x14ac:dyDescent="0.25">
      <c r="C74" s="86"/>
      <c r="F74" s="293" t="s">
        <v>50</v>
      </c>
      <c r="G74" s="293" t="s">
        <v>108</v>
      </c>
      <c r="H74" s="273">
        <v>10.742051570623261</v>
      </c>
    </row>
    <row r="75" spans="3:25" x14ac:dyDescent="0.25">
      <c r="C75" s="86"/>
      <c r="F75" s="293" t="s">
        <v>124</v>
      </c>
      <c r="G75" s="293" t="s">
        <v>108</v>
      </c>
      <c r="H75" s="279"/>
    </row>
    <row r="76" spans="3:25" x14ac:dyDescent="0.25">
      <c r="C76" s="86"/>
      <c r="F76" s="93" t="s">
        <v>123</v>
      </c>
      <c r="G76" s="93" t="s">
        <v>108</v>
      </c>
      <c r="H76" s="240"/>
    </row>
    <row r="77" spans="3:25" x14ac:dyDescent="0.25">
      <c r="C77" s="86"/>
      <c r="F77" s="98"/>
    </row>
    <row r="78" spans="3:25" x14ac:dyDescent="0.25">
      <c r="E78" s="96" t="s">
        <v>334</v>
      </c>
      <c r="F78" s="98"/>
    </row>
    <row r="79" spans="3:25" x14ac:dyDescent="0.25">
      <c r="E79" s="82" t="s">
        <v>325</v>
      </c>
    </row>
    <row r="80" spans="3:25" x14ac:dyDescent="0.25">
      <c r="C80" s="86"/>
      <c r="F80" s="91" t="s">
        <v>267</v>
      </c>
      <c r="G80" s="16" t="s">
        <v>427</v>
      </c>
      <c r="H80" s="33"/>
      <c r="I80" s="33"/>
      <c r="J80" s="272">
        <f t="array" ref="J80:Y89">TRANSPOSE('Load &amp; loss characteristics'!J145:S160)</f>
        <v>1.0880000000000001</v>
      </c>
      <c r="K80" s="272">
        <v>1.0880000000000001</v>
      </c>
      <c r="L80" s="272">
        <v>1.0880000000000001</v>
      </c>
      <c r="M80" s="272">
        <v>1.0880000000000001</v>
      </c>
      <c r="N80" s="272">
        <v>1.0880000000000001</v>
      </c>
      <c r="O80" s="272">
        <v>1.044</v>
      </c>
      <c r="P80" s="272">
        <v>1.0289999999999999</v>
      </c>
      <c r="Q80" s="272">
        <v>1.0880000000000001</v>
      </c>
      <c r="R80" s="272">
        <v>-1.0880000000000001</v>
      </c>
      <c r="S80" s="272">
        <v>-1.044</v>
      </c>
      <c r="T80" s="272">
        <v>-1.0880000000000001</v>
      </c>
      <c r="U80" s="272">
        <v>-1.0880000000000001</v>
      </c>
      <c r="V80" s="272">
        <v>-1.044</v>
      </c>
      <c r="W80" s="272">
        <v>-1.044</v>
      </c>
      <c r="X80" s="272">
        <v>-1.0289999999999999</v>
      </c>
      <c r="Y80" s="272">
        <v>-1.0289999999999999</v>
      </c>
    </row>
    <row r="81" spans="3:42" x14ac:dyDescent="0.25">
      <c r="C81" s="86"/>
      <c r="F81" s="293" t="s">
        <v>43</v>
      </c>
      <c r="G81" s="14" t="s">
        <v>427</v>
      </c>
      <c r="H81" s="142"/>
      <c r="I81" s="142"/>
      <c r="J81" s="273">
        <v>1.0880000000000001</v>
      </c>
      <c r="K81" s="273">
        <v>1.0880000000000001</v>
      </c>
      <c r="L81" s="273">
        <v>1.0880000000000001</v>
      </c>
      <c r="M81" s="273">
        <v>1.0880000000000001</v>
      </c>
      <c r="N81" s="273">
        <v>1.0880000000000001</v>
      </c>
      <c r="O81" s="273">
        <v>1.044</v>
      </c>
      <c r="P81" s="273">
        <v>1.0289999999999999</v>
      </c>
      <c r="Q81" s="273">
        <v>1.0880000000000001</v>
      </c>
      <c r="R81" s="273">
        <v>-1.0880000000000001</v>
      </c>
      <c r="S81" s="273">
        <v>-1.044</v>
      </c>
      <c r="T81" s="273">
        <v>-1.0880000000000001</v>
      </c>
      <c r="U81" s="273">
        <v>-1.0880000000000001</v>
      </c>
      <c r="V81" s="273">
        <v>-1.044</v>
      </c>
      <c r="W81" s="273">
        <v>-1.044</v>
      </c>
      <c r="X81" s="273">
        <v>-1.0289999999999999</v>
      </c>
      <c r="Y81" s="273">
        <v>-1.0289999999999999</v>
      </c>
    </row>
    <row r="82" spans="3:42" x14ac:dyDescent="0.25">
      <c r="C82" s="86"/>
      <c r="F82" s="293" t="s">
        <v>44</v>
      </c>
      <c r="G82" s="14" t="s">
        <v>427</v>
      </c>
      <c r="H82" s="142"/>
      <c r="I82" s="142"/>
      <c r="J82" s="273">
        <v>1.0880000000000001</v>
      </c>
      <c r="K82" s="273">
        <v>1.0880000000000001</v>
      </c>
      <c r="L82" s="273">
        <v>1.0880000000000001</v>
      </c>
      <c r="M82" s="273">
        <v>1.0880000000000001</v>
      </c>
      <c r="N82" s="273">
        <v>1.0880000000000001</v>
      </c>
      <c r="O82" s="273">
        <v>1.044</v>
      </c>
      <c r="P82" s="273">
        <v>1.0289999999999999</v>
      </c>
      <c r="Q82" s="273">
        <v>1.0880000000000001</v>
      </c>
      <c r="R82" s="273">
        <v>-1.0880000000000001</v>
      </c>
      <c r="S82" s="273">
        <v>-1.044</v>
      </c>
      <c r="T82" s="273">
        <v>-1.0880000000000001</v>
      </c>
      <c r="U82" s="273">
        <v>-1.0880000000000001</v>
      </c>
      <c r="V82" s="273">
        <v>-1.044</v>
      </c>
      <c r="W82" s="273">
        <v>-1.044</v>
      </c>
      <c r="X82" s="273">
        <v>-1.0289999999999999</v>
      </c>
      <c r="Y82" s="273">
        <v>-1.0289999999999999</v>
      </c>
    </row>
    <row r="83" spans="3:42" x14ac:dyDescent="0.25">
      <c r="C83" s="86"/>
      <c r="F83" s="293" t="s">
        <v>45</v>
      </c>
      <c r="G83" s="14" t="s">
        <v>427</v>
      </c>
      <c r="H83" s="142"/>
      <c r="I83" s="142"/>
      <c r="J83" s="273">
        <v>1.0880000000000001</v>
      </c>
      <c r="K83" s="273">
        <v>1.0880000000000001</v>
      </c>
      <c r="L83" s="273">
        <v>1.0880000000000001</v>
      </c>
      <c r="M83" s="273">
        <v>1.0880000000000001</v>
      </c>
      <c r="N83" s="273">
        <v>1.0880000000000001</v>
      </c>
      <c r="O83" s="273">
        <v>1.044</v>
      </c>
      <c r="P83" s="273">
        <v>1.0289999999999999</v>
      </c>
      <c r="Q83" s="273">
        <v>1.0880000000000001</v>
      </c>
      <c r="R83" s="273">
        <v>-1.0880000000000001</v>
      </c>
      <c r="S83" s="273">
        <v>-1.044</v>
      </c>
      <c r="T83" s="273">
        <v>-1.0880000000000001</v>
      </c>
      <c r="U83" s="273">
        <v>-1.0880000000000001</v>
      </c>
      <c r="V83" s="273">
        <v>-1.044</v>
      </c>
      <c r="W83" s="273">
        <v>-1.044</v>
      </c>
      <c r="X83" s="273">
        <v>-1.0289999999999999</v>
      </c>
      <c r="Y83" s="273">
        <v>-1.0289999999999999</v>
      </c>
    </row>
    <row r="84" spans="3:42" x14ac:dyDescent="0.25">
      <c r="C84" s="86"/>
      <c r="F84" s="293" t="s">
        <v>46</v>
      </c>
      <c r="G84" s="14" t="s">
        <v>427</v>
      </c>
      <c r="H84" s="142"/>
      <c r="I84" s="142"/>
      <c r="J84" s="273">
        <v>1.0880000000000001</v>
      </c>
      <c r="K84" s="273">
        <v>1.0880000000000001</v>
      </c>
      <c r="L84" s="273">
        <v>1.0880000000000001</v>
      </c>
      <c r="M84" s="273">
        <v>1.0880000000000001</v>
      </c>
      <c r="N84" s="273">
        <v>1.0880000000000001</v>
      </c>
      <c r="O84" s="273">
        <v>1.044</v>
      </c>
      <c r="P84" s="273">
        <v>1.0289999999999999</v>
      </c>
      <c r="Q84" s="273">
        <v>1.0880000000000001</v>
      </c>
      <c r="R84" s="273">
        <v>-1.0880000000000001</v>
      </c>
      <c r="S84" s="273">
        <v>-1.044</v>
      </c>
      <c r="T84" s="273">
        <v>-1.0880000000000001</v>
      </c>
      <c r="U84" s="273">
        <v>-1.0880000000000001</v>
      </c>
      <c r="V84" s="273">
        <v>-1.044</v>
      </c>
      <c r="W84" s="273">
        <v>-1.044</v>
      </c>
      <c r="X84" s="273">
        <v>-1.0289999999999999</v>
      </c>
      <c r="Y84" s="273">
        <v>-1.0289999999999999</v>
      </c>
    </row>
    <row r="85" spans="3:42" x14ac:dyDescent="0.25">
      <c r="C85" s="86"/>
      <c r="F85" s="293" t="s">
        <v>47</v>
      </c>
      <c r="G85" s="14" t="s">
        <v>427</v>
      </c>
      <c r="H85" s="142"/>
      <c r="I85" s="142"/>
      <c r="J85" s="273">
        <v>1.0880000000000001</v>
      </c>
      <c r="K85" s="273">
        <v>1.0880000000000001</v>
      </c>
      <c r="L85" s="273">
        <v>1.0880000000000001</v>
      </c>
      <c r="M85" s="273">
        <v>1.0880000000000001</v>
      </c>
      <c r="N85" s="273">
        <v>1.0880000000000001</v>
      </c>
      <c r="O85" s="273">
        <v>1.044</v>
      </c>
      <c r="P85" s="273">
        <v>1.0289999999999999</v>
      </c>
      <c r="Q85" s="273">
        <v>1.0880000000000001</v>
      </c>
      <c r="R85" s="273">
        <v>-1.0880000000000001</v>
      </c>
      <c r="S85" s="273">
        <v>-1.044</v>
      </c>
      <c r="T85" s="273">
        <v>-1.0880000000000001</v>
      </c>
      <c r="U85" s="273">
        <v>-1.0880000000000001</v>
      </c>
      <c r="V85" s="273">
        <v>-1.044</v>
      </c>
      <c r="W85" s="273">
        <v>-1.044</v>
      </c>
      <c r="X85" s="273">
        <v>-1.0289999999999999</v>
      </c>
      <c r="Y85" s="273">
        <v>-1.0289999999999999</v>
      </c>
    </row>
    <row r="86" spans="3:42" x14ac:dyDescent="0.25">
      <c r="C86" s="86"/>
      <c r="F86" s="293" t="s">
        <v>51</v>
      </c>
      <c r="G86" s="14" t="s">
        <v>427</v>
      </c>
      <c r="H86" s="142"/>
      <c r="I86" s="142"/>
      <c r="J86" s="273">
        <v>0</v>
      </c>
      <c r="K86" s="273">
        <v>0</v>
      </c>
      <c r="L86" s="273">
        <v>0</v>
      </c>
      <c r="M86" s="273">
        <v>0</v>
      </c>
      <c r="N86" s="273">
        <v>0</v>
      </c>
      <c r="O86" s="273">
        <v>0</v>
      </c>
      <c r="P86" s="273">
        <v>0</v>
      </c>
      <c r="Q86" s="273">
        <v>0</v>
      </c>
      <c r="R86" s="273">
        <v>0</v>
      </c>
      <c r="S86" s="273">
        <v>0</v>
      </c>
      <c r="T86" s="273">
        <v>0</v>
      </c>
      <c r="U86" s="273">
        <v>0</v>
      </c>
      <c r="V86" s="273">
        <v>0</v>
      </c>
      <c r="W86" s="273">
        <v>0</v>
      </c>
      <c r="X86" s="273">
        <v>0</v>
      </c>
      <c r="Y86" s="273">
        <v>0</v>
      </c>
    </row>
    <row r="87" spans="3:42" x14ac:dyDescent="0.25">
      <c r="C87" s="86"/>
      <c r="F87" s="293" t="s">
        <v>48</v>
      </c>
      <c r="G87" s="14" t="s">
        <v>427</v>
      </c>
      <c r="H87" s="142"/>
      <c r="I87" s="142"/>
      <c r="J87" s="273">
        <v>1.0880000000000001</v>
      </c>
      <c r="K87" s="273">
        <v>1.0880000000000001</v>
      </c>
      <c r="L87" s="273">
        <v>1.0880000000000001</v>
      </c>
      <c r="M87" s="273">
        <v>1.0880000000000001</v>
      </c>
      <c r="N87" s="273">
        <v>1.0880000000000001</v>
      </c>
      <c r="O87" s="273">
        <v>1.044</v>
      </c>
      <c r="P87" s="273">
        <v>1.0289999999999999</v>
      </c>
      <c r="Q87" s="273">
        <v>1.0880000000000001</v>
      </c>
      <c r="R87" s="273">
        <v>-1.0880000000000001</v>
      </c>
      <c r="S87" s="273">
        <v>-1.044</v>
      </c>
      <c r="T87" s="273">
        <v>-1.0880000000000001</v>
      </c>
      <c r="U87" s="273">
        <v>-1.0880000000000001</v>
      </c>
      <c r="V87" s="273">
        <v>-1.044</v>
      </c>
      <c r="W87" s="273">
        <v>-1.044</v>
      </c>
      <c r="X87" s="273">
        <v>0</v>
      </c>
      <c r="Y87" s="273">
        <v>0</v>
      </c>
    </row>
    <row r="88" spans="3:42" x14ac:dyDescent="0.25">
      <c r="C88" s="86"/>
      <c r="F88" s="293" t="s">
        <v>49</v>
      </c>
      <c r="G88" s="14" t="s">
        <v>427</v>
      </c>
      <c r="H88" s="142"/>
      <c r="I88" s="142"/>
      <c r="J88" s="273">
        <v>1.0880000000000001</v>
      </c>
      <c r="K88" s="273">
        <v>1.0880000000000001</v>
      </c>
      <c r="L88" s="273">
        <v>1.0880000000000001</v>
      </c>
      <c r="M88" s="273">
        <v>1.0880000000000001</v>
      </c>
      <c r="N88" s="273">
        <v>1.0880000000000001</v>
      </c>
      <c r="O88" s="273">
        <v>1.044</v>
      </c>
      <c r="P88" s="273">
        <v>0</v>
      </c>
      <c r="Q88" s="273">
        <v>1.0880000000000001</v>
      </c>
      <c r="R88" s="273">
        <v>-1.0880000000000001</v>
      </c>
      <c r="S88" s="273">
        <v>0</v>
      </c>
      <c r="T88" s="273">
        <v>-1.0880000000000001</v>
      </c>
      <c r="U88" s="273">
        <v>-1.0880000000000001</v>
      </c>
      <c r="V88" s="273">
        <v>0</v>
      </c>
      <c r="W88" s="273">
        <v>0</v>
      </c>
      <c r="X88" s="273">
        <v>0</v>
      </c>
      <c r="Y88" s="273">
        <v>0</v>
      </c>
    </row>
    <row r="89" spans="3:42" x14ac:dyDescent="0.25">
      <c r="C89" s="86"/>
      <c r="F89" s="293" t="s">
        <v>50</v>
      </c>
      <c r="G89" s="14" t="s">
        <v>427</v>
      </c>
      <c r="H89" s="142"/>
      <c r="I89" s="142"/>
      <c r="J89" s="273">
        <v>1.0880000000000001</v>
      </c>
      <c r="K89" s="273">
        <v>1.0880000000000001</v>
      </c>
      <c r="L89" s="273">
        <v>1.0880000000000001</v>
      </c>
      <c r="M89" s="273">
        <v>1.0880000000000001</v>
      </c>
      <c r="N89" s="273">
        <v>1.0880000000000001</v>
      </c>
      <c r="O89" s="273">
        <v>0</v>
      </c>
      <c r="P89" s="273">
        <v>0</v>
      </c>
      <c r="Q89" s="273">
        <v>1.0880000000000001</v>
      </c>
      <c r="R89" s="273">
        <v>0</v>
      </c>
      <c r="S89" s="273">
        <v>0</v>
      </c>
      <c r="T89" s="273">
        <v>0</v>
      </c>
      <c r="U89" s="273">
        <v>0</v>
      </c>
      <c r="V89" s="273">
        <v>0</v>
      </c>
      <c r="W89" s="273">
        <v>0</v>
      </c>
      <c r="X89" s="273">
        <v>0</v>
      </c>
      <c r="Y89" s="273">
        <v>0</v>
      </c>
    </row>
    <row r="90" spans="3:42" x14ac:dyDescent="0.25">
      <c r="C90" s="86"/>
      <c r="F90" s="293" t="s">
        <v>124</v>
      </c>
      <c r="G90" s="14" t="s">
        <v>427</v>
      </c>
      <c r="J90" s="279"/>
      <c r="K90" s="279"/>
      <c r="L90" s="279"/>
      <c r="M90" s="279"/>
      <c r="N90" s="279"/>
      <c r="O90" s="279"/>
      <c r="P90" s="279"/>
      <c r="Q90" s="279"/>
      <c r="R90" s="279"/>
      <c r="S90" s="279"/>
      <c r="T90" s="279"/>
      <c r="U90" s="279"/>
      <c r="V90" s="279"/>
      <c r="W90" s="279"/>
      <c r="X90" s="279"/>
      <c r="Y90" s="279"/>
    </row>
    <row r="91" spans="3:42" x14ac:dyDescent="0.25">
      <c r="C91" s="86"/>
      <c r="F91" s="93" t="s">
        <v>123</v>
      </c>
      <c r="G91" s="15" t="s">
        <v>427</v>
      </c>
      <c r="H91" s="93"/>
      <c r="I91" s="93"/>
      <c r="J91" s="240"/>
      <c r="K91" s="240"/>
      <c r="L91" s="240"/>
      <c r="M91" s="240"/>
      <c r="N91" s="240"/>
      <c r="O91" s="240"/>
      <c r="P91" s="240"/>
      <c r="Q91" s="240"/>
      <c r="R91" s="240"/>
      <c r="S91" s="240"/>
      <c r="T91" s="240"/>
      <c r="U91" s="240"/>
      <c r="V91" s="240"/>
      <c r="W91" s="240"/>
      <c r="X91" s="240"/>
      <c r="Y91" s="240"/>
    </row>
    <row r="92" spans="3:42" x14ac:dyDescent="0.25">
      <c r="C92" s="86"/>
      <c r="F92" s="98"/>
    </row>
    <row r="93" spans="3:42" x14ac:dyDescent="0.25">
      <c r="D93" s="293"/>
      <c r="E93" s="96" t="s">
        <v>263</v>
      </c>
      <c r="H93" s="111"/>
      <c r="J93" s="90"/>
      <c r="L93" s="90"/>
      <c r="AP93" s="88"/>
    </row>
    <row r="94" spans="3:42" x14ac:dyDescent="0.25">
      <c r="C94" s="96"/>
      <c r="D94" s="293"/>
      <c r="E94" s="293"/>
      <c r="F94" s="91" t="s">
        <v>43</v>
      </c>
      <c r="G94" s="91" t="s">
        <v>94</v>
      </c>
      <c r="H94" s="74"/>
      <c r="I94" s="91"/>
      <c r="J94" s="137">
        <f>'Standing charge factors'!J44</f>
        <v>0</v>
      </c>
      <c r="K94" s="137">
        <f>'Standing charge factors'!K44</f>
        <v>0</v>
      </c>
      <c r="L94" s="137">
        <f>'Standing charge factors'!L44</f>
        <v>0</v>
      </c>
      <c r="M94" s="137">
        <f>'Standing charge factors'!M44</f>
        <v>0</v>
      </c>
      <c r="N94" s="137">
        <f>'Standing charge factors'!N44</f>
        <v>0</v>
      </c>
      <c r="O94" s="137">
        <f>'Standing charge factors'!O44</f>
        <v>0</v>
      </c>
      <c r="P94" s="137">
        <f>'Standing charge factors'!P44</f>
        <v>0</v>
      </c>
      <c r="Q94" s="137">
        <f>'Standing charge factors'!Q44</f>
        <v>0</v>
      </c>
      <c r="R94" s="137">
        <f>'Standing charge factors'!R44</f>
        <v>0</v>
      </c>
      <c r="S94" s="137">
        <f>'Standing charge factors'!S44</f>
        <v>0</v>
      </c>
      <c r="T94" s="137">
        <f>'Standing charge factors'!T44</f>
        <v>0</v>
      </c>
      <c r="U94" s="137">
        <f>'Standing charge factors'!U44</f>
        <v>0</v>
      </c>
      <c r="V94" s="137">
        <f>'Standing charge factors'!V44</f>
        <v>0</v>
      </c>
      <c r="W94" s="137">
        <f>'Standing charge factors'!W44</f>
        <v>0</v>
      </c>
      <c r="X94" s="137">
        <f>'Standing charge factors'!X44</f>
        <v>0</v>
      </c>
      <c r="Y94" s="137">
        <f>'Standing charge factors'!Y44</f>
        <v>0</v>
      </c>
      <c r="AP94" s="88"/>
    </row>
    <row r="95" spans="3:42" x14ac:dyDescent="0.25">
      <c r="C95" s="96"/>
      <c r="D95" s="293"/>
      <c r="E95" s="293"/>
      <c r="F95" s="293" t="s">
        <v>44</v>
      </c>
      <c r="G95" s="293" t="s">
        <v>94</v>
      </c>
      <c r="H95" s="90"/>
      <c r="J95" s="143">
        <f>'Standing charge factors'!J45</f>
        <v>0</v>
      </c>
      <c r="K95" s="143">
        <f>'Standing charge factors'!K45</f>
        <v>0</v>
      </c>
      <c r="L95" s="143">
        <f>'Standing charge factors'!L45</f>
        <v>0</v>
      </c>
      <c r="M95" s="143">
        <f>'Standing charge factors'!M45</f>
        <v>0</v>
      </c>
      <c r="N95" s="143">
        <f>'Standing charge factors'!N45</f>
        <v>0</v>
      </c>
      <c r="O95" s="143">
        <f>'Standing charge factors'!O45</f>
        <v>0</v>
      </c>
      <c r="P95" s="143">
        <f>'Standing charge factors'!P45</f>
        <v>0</v>
      </c>
      <c r="Q95" s="143">
        <f>'Standing charge factors'!Q45</f>
        <v>0</v>
      </c>
      <c r="R95" s="143">
        <f>'Standing charge factors'!R45</f>
        <v>0</v>
      </c>
      <c r="S95" s="143">
        <f>'Standing charge factors'!S45</f>
        <v>0</v>
      </c>
      <c r="T95" s="143">
        <f>'Standing charge factors'!T45</f>
        <v>0</v>
      </c>
      <c r="U95" s="143">
        <f>'Standing charge factors'!U45</f>
        <v>0</v>
      </c>
      <c r="V95" s="143">
        <f>'Standing charge factors'!V45</f>
        <v>0</v>
      </c>
      <c r="W95" s="143">
        <f>'Standing charge factors'!W45</f>
        <v>0</v>
      </c>
      <c r="X95" s="143">
        <f>'Standing charge factors'!X45</f>
        <v>0</v>
      </c>
      <c r="Y95" s="143">
        <f>'Standing charge factors'!Y45</f>
        <v>0</v>
      </c>
      <c r="AP95" s="88"/>
    </row>
    <row r="96" spans="3:42" x14ac:dyDescent="0.25">
      <c r="C96" s="96"/>
      <c r="D96" s="293"/>
      <c r="E96" s="293"/>
      <c r="F96" s="293" t="s">
        <v>45</v>
      </c>
      <c r="G96" s="293" t="s">
        <v>94</v>
      </c>
      <c r="H96" s="90"/>
      <c r="J96" s="143">
        <f>'Standing charge factors'!J46</f>
        <v>0</v>
      </c>
      <c r="K96" s="143">
        <f>'Standing charge factors'!K46</f>
        <v>0</v>
      </c>
      <c r="L96" s="143">
        <f>'Standing charge factors'!L46</f>
        <v>0</v>
      </c>
      <c r="M96" s="143">
        <f>'Standing charge factors'!M46</f>
        <v>0</v>
      </c>
      <c r="N96" s="143">
        <f>'Standing charge factors'!N46</f>
        <v>0</v>
      </c>
      <c r="O96" s="143">
        <f>'Standing charge factors'!O46</f>
        <v>0</v>
      </c>
      <c r="P96" s="143">
        <f>'Standing charge factors'!P46</f>
        <v>0</v>
      </c>
      <c r="Q96" s="143">
        <f>'Standing charge factors'!Q46</f>
        <v>0</v>
      </c>
      <c r="R96" s="143">
        <f>'Standing charge factors'!R46</f>
        <v>0</v>
      </c>
      <c r="S96" s="143">
        <f>'Standing charge factors'!S46</f>
        <v>0</v>
      </c>
      <c r="T96" s="143">
        <f>'Standing charge factors'!T46</f>
        <v>0</v>
      </c>
      <c r="U96" s="143">
        <f>'Standing charge factors'!U46</f>
        <v>0</v>
      </c>
      <c r="V96" s="143">
        <f>'Standing charge factors'!V46</f>
        <v>0</v>
      </c>
      <c r="W96" s="143">
        <f>'Standing charge factors'!W46</f>
        <v>0</v>
      </c>
      <c r="X96" s="143">
        <f>'Standing charge factors'!X46</f>
        <v>0</v>
      </c>
      <c r="Y96" s="143">
        <f>'Standing charge factors'!Y46</f>
        <v>0</v>
      </c>
      <c r="AP96" s="88"/>
    </row>
    <row r="97" spans="3:42" x14ac:dyDescent="0.25">
      <c r="C97" s="96"/>
      <c r="D97" s="293"/>
      <c r="E97" s="293"/>
      <c r="F97" s="293" t="s">
        <v>46</v>
      </c>
      <c r="G97" s="293" t="s">
        <v>94</v>
      </c>
      <c r="H97" s="90"/>
      <c r="J97" s="143">
        <f>'Standing charge factors'!J47</f>
        <v>0</v>
      </c>
      <c r="K97" s="143">
        <f>'Standing charge factors'!K47</f>
        <v>0</v>
      </c>
      <c r="L97" s="143">
        <f>'Standing charge factors'!L47</f>
        <v>0</v>
      </c>
      <c r="M97" s="143">
        <f>'Standing charge factors'!M47</f>
        <v>0</v>
      </c>
      <c r="N97" s="143">
        <f>'Standing charge factors'!N47</f>
        <v>0</v>
      </c>
      <c r="O97" s="143">
        <f>'Standing charge factors'!O47</f>
        <v>0</v>
      </c>
      <c r="P97" s="143">
        <f>'Standing charge factors'!P47</f>
        <v>0.2</v>
      </c>
      <c r="Q97" s="143">
        <f>'Standing charge factors'!Q47</f>
        <v>0</v>
      </c>
      <c r="R97" s="143">
        <f>'Standing charge factors'!R47</f>
        <v>0</v>
      </c>
      <c r="S97" s="143">
        <f>'Standing charge factors'!S47</f>
        <v>0</v>
      </c>
      <c r="T97" s="143">
        <f>'Standing charge factors'!T47</f>
        <v>0</v>
      </c>
      <c r="U97" s="143">
        <f>'Standing charge factors'!U47</f>
        <v>0</v>
      </c>
      <c r="V97" s="143">
        <f>'Standing charge factors'!V47</f>
        <v>0</v>
      </c>
      <c r="W97" s="143">
        <f>'Standing charge factors'!W47</f>
        <v>0</v>
      </c>
      <c r="X97" s="143">
        <f>'Standing charge factors'!X47</f>
        <v>0</v>
      </c>
      <c r="Y97" s="143">
        <f>'Standing charge factors'!Y47</f>
        <v>0</v>
      </c>
      <c r="AP97" s="88"/>
    </row>
    <row r="98" spans="3:42" x14ac:dyDescent="0.25">
      <c r="C98" s="96"/>
      <c r="D98" s="293"/>
      <c r="E98" s="293"/>
      <c r="F98" s="293" t="s">
        <v>47</v>
      </c>
      <c r="G98" s="293" t="s">
        <v>94</v>
      </c>
      <c r="H98" s="90"/>
      <c r="J98" s="143">
        <f>'Standing charge factors'!J48</f>
        <v>0</v>
      </c>
      <c r="K98" s="143">
        <f>'Standing charge factors'!K48</f>
        <v>0</v>
      </c>
      <c r="L98" s="143">
        <f>'Standing charge factors'!L48</f>
        <v>0</v>
      </c>
      <c r="M98" s="143">
        <f>'Standing charge factors'!M48</f>
        <v>0</v>
      </c>
      <c r="N98" s="143">
        <f>'Standing charge factors'!N48</f>
        <v>0</v>
      </c>
      <c r="O98" s="143">
        <f>'Standing charge factors'!O48</f>
        <v>0</v>
      </c>
      <c r="P98" s="143">
        <f>'Standing charge factors'!P48</f>
        <v>1</v>
      </c>
      <c r="Q98" s="143">
        <f>'Standing charge factors'!Q48</f>
        <v>0</v>
      </c>
      <c r="R98" s="143">
        <f>'Standing charge factors'!R48</f>
        <v>0</v>
      </c>
      <c r="S98" s="143">
        <f>'Standing charge factors'!S48</f>
        <v>0</v>
      </c>
      <c r="T98" s="143">
        <f>'Standing charge factors'!T48</f>
        <v>0</v>
      </c>
      <c r="U98" s="143">
        <f>'Standing charge factors'!U48</f>
        <v>0</v>
      </c>
      <c r="V98" s="143">
        <f>'Standing charge factors'!V48</f>
        <v>0</v>
      </c>
      <c r="W98" s="143">
        <f>'Standing charge factors'!W48</f>
        <v>0</v>
      </c>
      <c r="X98" s="143">
        <f>'Standing charge factors'!X48</f>
        <v>0</v>
      </c>
      <c r="Y98" s="143">
        <f>'Standing charge factors'!Y48</f>
        <v>0</v>
      </c>
      <c r="AP98" s="88"/>
    </row>
    <row r="99" spans="3:42" x14ac:dyDescent="0.25">
      <c r="C99" s="96"/>
      <c r="D99" s="293"/>
      <c r="E99" s="293"/>
      <c r="F99" s="293" t="s">
        <v>51</v>
      </c>
      <c r="G99" s="293" t="s">
        <v>94</v>
      </c>
      <c r="H99" s="90"/>
      <c r="J99" s="143">
        <f>'Standing charge factors'!J49</f>
        <v>0</v>
      </c>
      <c r="K99" s="143">
        <f>'Standing charge factors'!K49</f>
        <v>0</v>
      </c>
      <c r="L99" s="143">
        <f>'Standing charge factors'!L49</f>
        <v>0</v>
      </c>
      <c r="M99" s="143">
        <f>'Standing charge factors'!M49</f>
        <v>0</v>
      </c>
      <c r="N99" s="143">
        <f>'Standing charge factors'!N49</f>
        <v>0</v>
      </c>
      <c r="O99" s="143">
        <f>'Standing charge factors'!O49</f>
        <v>0</v>
      </c>
      <c r="P99" s="143">
        <f>'Standing charge factors'!P49</f>
        <v>1</v>
      </c>
      <c r="Q99" s="143">
        <f>'Standing charge factors'!Q49</f>
        <v>0</v>
      </c>
      <c r="R99" s="143">
        <f>'Standing charge factors'!R49</f>
        <v>0</v>
      </c>
      <c r="S99" s="143">
        <f>'Standing charge factors'!S49</f>
        <v>0</v>
      </c>
      <c r="T99" s="143">
        <f>'Standing charge factors'!T49</f>
        <v>0</v>
      </c>
      <c r="U99" s="143">
        <f>'Standing charge factors'!U49</f>
        <v>0</v>
      </c>
      <c r="V99" s="143">
        <f>'Standing charge factors'!V49</f>
        <v>0</v>
      </c>
      <c r="W99" s="143">
        <f>'Standing charge factors'!W49</f>
        <v>0</v>
      </c>
      <c r="X99" s="143">
        <f>'Standing charge factors'!X49</f>
        <v>0</v>
      </c>
      <c r="Y99" s="143">
        <f>'Standing charge factors'!Y49</f>
        <v>0</v>
      </c>
      <c r="AP99" s="88"/>
    </row>
    <row r="100" spans="3:42" x14ac:dyDescent="0.25">
      <c r="C100" s="96"/>
      <c r="D100" s="293"/>
      <c r="E100" s="293"/>
      <c r="F100" s="293" t="s">
        <v>48</v>
      </c>
      <c r="G100" s="293" t="s">
        <v>94</v>
      </c>
      <c r="H100" s="90"/>
      <c r="J100" s="143">
        <f>'Standing charge factors'!J50</f>
        <v>0</v>
      </c>
      <c r="K100" s="143">
        <f>'Standing charge factors'!K50</f>
        <v>0</v>
      </c>
      <c r="L100" s="143">
        <f>'Standing charge factors'!L50</f>
        <v>0</v>
      </c>
      <c r="M100" s="143">
        <f>'Standing charge factors'!M50</f>
        <v>0</v>
      </c>
      <c r="N100" s="143">
        <f>'Standing charge factors'!N50</f>
        <v>0.2</v>
      </c>
      <c r="O100" s="143">
        <f>'Standing charge factors'!O50</f>
        <v>1</v>
      </c>
      <c r="P100" s="143">
        <f>'Standing charge factors'!P50</f>
        <v>1</v>
      </c>
      <c r="Q100" s="143">
        <f>'Standing charge factors'!Q50</f>
        <v>0</v>
      </c>
      <c r="R100" s="143">
        <f>'Standing charge factors'!R50</f>
        <v>0</v>
      </c>
      <c r="S100" s="143">
        <f>'Standing charge factors'!S50</f>
        <v>0</v>
      </c>
      <c r="T100" s="143">
        <f>'Standing charge factors'!T50</f>
        <v>0</v>
      </c>
      <c r="U100" s="143">
        <f>'Standing charge factors'!U50</f>
        <v>0</v>
      </c>
      <c r="V100" s="143">
        <f>'Standing charge factors'!V50</f>
        <v>0</v>
      </c>
      <c r="W100" s="143">
        <f>'Standing charge factors'!W50</f>
        <v>0</v>
      </c>
      <c r="X100" s="143">
        <f>'Standing charge factors'!X50</f>
        <v>0</v>
      </c>
      <c r="Y100" s="143">
        <f>'Standing charge factors'!Y50</f>
        <v>0</v>
      </c>
      <c r="AP100" s="88"/>
    </row>
    <row r="101" spans="3:42" x14ac:dyDescent="0.25">
      <c r="C101" s="96"/>
      <c r="D101" s="293"/>
      <c r="E101" s="293"/>
      <c r="F101" s="293" t="s">
        <v>49</v>
      </c>
      <c r="G101" s="293" t="s">
        <v>94</v>
      </c>
      <c r="H101" s="90"/>
      <c r="J101" s="143">
        <f>'Standing charge factors'!J51</f>
        <v>0</v>
      </c>
      <c r="K101" s="143">
        <f>'Standing charge factors'!K51</f>
        <v>0</v>
      </c>
      <c r="L101" s="143">
        <f>'Standing charge factors'!L51</f>
        <v>0</v>
      </c>
      <c r="M101" s="143">
        <f>'Standing charge factors'!M51</f>
        <v>0</v>
      </c>
      <c r="N101" s="143">
        <f>'Standing charge factors'!N51</f>
        <v>1</v>
      </c>
      <c r="O101" s="143">
        <f>'Standing charge factors'!O51</f>
        <v>1</v>
      </c>
      <c r="P101" s="143">
        <f>'Standing charge factors'!P51</f>
        <v>0</v>
      </c>
      <c r="Q101" s="143">
        <f>'Standing charge factors'!Q51</f>
        <v>0</v>
      </c>
      <c r="R101" s="143">
        <f>'Standing charge factors'!R51</f>
        <v>0</v>
      </c>
      <c r="S101" s="143">
        <f>'Standing charge factors'!S51</f>
        <v>0</v>
      </c>
      <c r="T101" s="143">
        <f>'Standing charge factors'!T51</f>
        <v>0</v>
      </c>
      <c r="U101" s="143">
        <f>'Standing charge factors'!U51</f>
        <v>0</v>
      </c>
      <c r="V101" s="143">
        <f>'Standing charge factors'!V51</f>
        <v>0</v>
      </c>
      <c r="W101" s="143">
        <f>'Standing charge factors'!W51</f>
        <v>0</v>
      </c>
      <c r="X101" s="143">
        <f>'Standing charge factors'!X51</f>
        <v>0</v>
      </c>
      <c r="Y101" s="143">
        <f>'Standing charge factors'!Y51</f>
        <v>0</v>
      </c>
      <c r="AP101" s="88"/>
    </row>
    <row r="102" spans="3:42" x14ac:dyDescent="0.25">
      <c r="C102" s="96"/>
      <c r="D102" s="293"/>
      <c r="E102" s="293"/>
      <c r="F102" s="93" t="s">
        <v>50</v>
      </c>
      <c r="G102" s="93" t="s">
        <v>94</v>
      </c>
      <c r="H102" s="187"/>
      <c r="I102" s="93"/>
      <c r="J102" s="390">
        <f>'Standing charge factors'!J52</f>
        <v>1</v>
      </c>
      <c r="K102" s="390">
        <f>'Standing charge factors'!K52</f>
        <v>1</v>
      </c>
      <c r="L102" s="390">
        <f>'Standing charge factors'!L52</f>
        <v>1</v>
      </c>
      <c r="M102" s="390">
        <f>'Standing charge factors'!M52</f>
        <v>1</v>
      </c>
      <c r="N102" s="390">
        <f>'Standing charge factors'!N52</f>
        <v>1</v>
      </c>
      <c r="O102" s="390">
        <f>'Standing charge factors'!O52</f>
        <v>0</v>
      </c>
      <c r="P102" s="390">
        <f>'Standing charge factors'!P52</f>
        <v>0</v>
      </c>
      <c r="Q102" s="390">
        <f>'Standing charge factors'!Q52</f>
        <v>0</v>
      </c>
      <c r="R102" s="390">
        <f>'Standing charge factors'!R52</f>
        <v>0</v>
      </c>
      <c r="S102" s="390">
        <f>'Standing charge factors'!S52</f>
        <v>0</v>
      </c>
      <c r="T102" s="390">
        <f>'Standing charge factors'!T52</f>
        <v>0</v>
      </c>
      <c r="U102" s="390">
        <f>'Standing charge factors'!U52</f>
        <v>0</v>
      </c>
      <c r="V102" s="390">
        <f>'Standing charge factors'!V52</f>
        <v>0</v>
      </c>
      <c r="W102" s="390">
        <f>'Standing charge factors'!W52</f>
        <v>0</v>
      </c>
      <c r="X102" s="390">
        <f>'Standing charge factors'!X52</f>
        <v>0</v>
      </c>
      <c r="Y102" s="390">
        <f>'Standing charge factors'!Y52</f>
        <v>0</v>
      </c>
      <c r="AP102" s="88"/>
    </row>
    <row r="103" spans="3:42" x14ac:dyDescent="0.25">
      <c r="C103" s="86"/>
      <c r="D103" s="293"/>
      <c r="F103" s="98"/>
    </row>
    <row r="104" spans="3:42" x14ac:dyDescent="0.25">
      <c r="E104" s="96" t="s">
        <v>154</v>
      </c>
    </row>
    <row r="105" spans="3:42" x14ac:dyDescent="0.25">
      <c r="C105" s="86"/>
      <c r="F105" s="91" t="s">
        <v>267</v>
      </c>
      <c r="G105" s="91" t="s">
        <v>94</v>
      </c>
      <c r="H105" s="33"/>
      <c r="I105" s="33"/>
      <c r="J105" s="106"/>
      <c r="K105" s="106"/>
      <c r="L105" s="106"/>
      <c r="M105" s="106"/>
      <c r="N105" s="106"/>
      <c r="O105" s="106"/>
      <c r="P105" s="106"/>
      <c r="Q105" s="106"/>
      <c r="R105" s="106"/>
      <c r="S105" s="106"/>
      <c r="T105" s="106"/>
      <c r="U105" s="106"/>
      <c r="V105" s="106"/>
      <c r="W105" s="106"/>
      <c r="X105" s="106"/>
      <c r="Y105" s="106"/>
    </row>
    <row r="106" spans="3:42" x14ac:dyDescent="0.25">
      <c r="C106" s="86"/>
      <c r="F106" s="293" t="s">
        <v>43</v>
      </c>
      <c r="G106" s="293" t="s">
        <v>94</v>
      </c>
      <c r="H106" s="142"/>
      <c r="I106" s="142"/>
      <c r="J106" s="79"/>
      <c r="K106" s="79"/>
      <c r="L106" s="79"/>
      <c r="M106" s="79"/>
      <c r="N106" s="79"/>
      <c r="O106" s="79"/>
      <c r="P106" s="79"/>
      <c r="Q106" s="79"/>
      <c r="R106" s="79"/>
      <c r="S106" s="79"/>
      <c r="T106" s="79"/>
      <c r="U106" s="79"/>
      <c r="V106" s="79"/>
      <c r="W106" s="79"/>
      <c r="X106" s="79"/>
      <c r="Y106" s="79"/>
    </row>
    <row r="107" spans="3:42" x14ac:dyDescent="0.25">
      <c r="C107" s="86"/>
      <c r="F107" s="293" t="s">
        <v>44</v>
      </c>
      <c r="G107" s="293" t="s">
        <v>94</v>
      </c>
      <c r="H107" s="142"/>
      <c r="I107" s="142"/>
      <c r="J107" s="143">
        <f t="array" ref="J107:Y114">TRANSPOSE('Customer contributions'!L51:S66)</f>
        <v>0</v>
      </c>
      <c r="K107" s="143">
        <v>0</v>
      </c>
      <c r="L107" s="143">
        <v>0</v>
      </c>
      <c r="M107" s="143">
        <v>0</v>
      </c>
      <c r="N107" s="143">
        <v>0</v>
      </c>
      <c r="O107" s="143">
        <v>0</v>
      </c>
      <c r="P107" s="143">
        <v>0</v>
      </c>
      <c r="Q107" s="143">
        <v>0</v>
      </c>
      <c r="R107" s="143">
        <v>0</v>
      </c>
      <c r="S107" s="143">
        <v>0</v>
      </c>
      <c r="T107" s="143">
        <v>0</v>
      </c>
      <c r="U107" s="143">
        <v>0</v>
      </c>
      <c r="V107" s="143">
        <v>0</v>
      </c>
      <c r="W107" s="143">
        <v>0</v>
      </c>
      <c r="X107" s="143">
        <v>0</v>
      </c>
      <c r="Y107" s="143">
        <v>0</v>
      </c>
    </row>
    <row r="108" spans="3:42" x14ac:dyDescent="0.25">
      <c r="C108" s="86"/>
      <c r="F108" s="293" t="s">
        <v>45</v>
      </c>
      <c r="G108" s="293" t="s">
        <v>94</v>
      </c>
      <c r="H108" s="142"/>
      <c r="I108" s="142"/>
      <c r="J108" s="143">
        <v>0</v>
      </c>
      <c r="K108" s="143">
        <v>0</v>
      </c>
      <c r="L108" s="143">
        <v>0</v>
      </c>
      <c r="M108" s="143">
        <v>0</v>
      </c>
      <c r="N108" s="143">
        <v>0</v>
      </c>
      <c r="O108" s="143">
        <v>0</v>
      </c>
      <c r="P108" s="143">
        <v>0</v>
      </c>
      <c r="Q108" s="143">
        <v>0</v>
      </c>
      <c r="R108" s="143">
        <v>0</v>
      </c>
      <c r="S108" s="143">
        <v>0</v>
      </c>
      <c r="T108" s="143">
        <v>0</v>
      </c>
      <c r="U108" s="143">
        <v>0</v>
      </c>
      <c r="V108" s="143">
        <v>0</v>
      </c>
      <c r="W108" s="143">
        <v>0</v>
      </c>
      <c r="X108" s="143">
        <v>0</v>
      </c>
      <c r="Y108" s="143">
        <v>0</v>
      </c>
    </row>
    <row r="109" spans="3:42" x14ac:dyDescent="0.25">
      <c r="C109" s="86"/>
      <c r="F109" s="293" t="s">
        <v>46</v>
      </c>
      <c r="G109" s="293" t="s">
        <v>94</v>
      </c>
      <c r="H109" s="142"/>
      <c r="I109" s="142"/>
      <c r="J109" s="143">
        <v>1.2370413198693E-2</v>
      </c>
      <c r="K109" s="143">
        <v>1.2370413198693E-2</v>
      </c>
      <c r="L109" s="143">
        <v>1.2370413198693E-2</v>
      </c>
      <c r="M109" s="143">
        <v>1.2370413198693E-2</v>
      </c>
      <c r="N109" s="143">
        <v>1.2370413198693E-2</v>
      </c>
      <c r="O109" s="143">
        <v>1.2370413198693E-2</v>
      </c>
      <c r="P109" s="143">
        <v>3.4530744799792602E-2</v>
      </c>
      <c r="Q109" s="143">
        <v>1.2370413198693E-2</v>
      </c>
      <c r="R109" s="143">
        <v>1.2370413198693E-2</v>
      </c>
      <c r="S109" s="143">
        <v>1.2370413198693E-2</v>
      </c>
      <c r="T109" s="143">
        <v>1.2370413198693E-2</v>
      </c>
      <c r="U109" s="143">
        <v>1.2370413198693E-2</v>
      </c>
      <c r="V109" s="143">
        <v>1.2370413198693E-2</v>
      </c>
      <c r="W109" s="143">
        <v>1.2370413198693E-2</v>
      </c>
      <c r="X109" s="143">
        <v>3.4530744799792602E-2</v>
      </c>
      <c r="Y109" s="143">
        <v>3.4530744799792602E-2</v>
      </c>
    </row>
    <row r="110" spans="3:42" x14ac:dyDescent="0.25">
      <c r="C110" s="86"/>
      <c r="F110" s="293" t="s">
        <v>47</v>
      </c>
      <c r="G110" s="293" t="s">
        <v>94</v>
      </c>
      <c r="H110" s="142"/>
      <c r="I110" s="142"/>
      <c r="J110" s="143">
        <v>2.4400925983857801E-2</v>
      </c>
      <c r="K110" s="143">
        <v>2.4400925983857801E-2</v>
      </c>
      <c r="L110" s="143">
        <v>2.4400925983857801E-2</v>
      </c>
      <c r="M110" s="143">
        <v>2.4400925983857801E-2</v>
      </c>
      <c r="N110" s="143">
        <v>2.4400925983857801E-2</v>
      </c>
      <c r="O110" s="143">
        <v>2.4400925983857801E-2</v>
      </c>
      <c r="P110" s="143">
        <v>6.6381013698021907E-2</v>
      </c>
      <c r="Q110" s="143">
        <v>2.4400925983857801E-2</v>
      </c>
      <c r="R110" s="143">
        <v>2.4400925983857801E-2</v>
      </c>
      <c r="S110" s="143">
        <v>2.4400925983857801E-2</v>
      </c>
      <c r="T110" s="143">
        <v>2.4400925983857801E-2</v>
      </c>
      <c r="U110" s="143">
        <v>2.4400925983857801E-2</v>
      </c>
      <c r="V110" s="143">
        <v>2.4400925983857801E-2</v>
      </c>
      <c r="W110" s="143">
        <v>2.4400925983857801E-2</v>
      </c>
      <c r="X110" s="143">
        <v>6.6381013698021907E-2</v>
      </c>
      <c r="Y110" s="143">
        <v>6.6381013698021907E-2</v>
      </c>
    </row>
    <row r="111" spans="3:42" x14ac:dyDescent="0.25">
      <c r="C111" s="86"/>
      <c r="F111" s="293" t="s">
        <v>51</v>
      </c>
      <c r="G111" s="293" t="s">
        <v>94</v>
      </c>
      <c r="H111" s="142"/>
      <c r="I111" s="142"/>
      <c r="J111" s="143">
        <v>0</v>
      </c>
      <c r="K111" s="143">
        <v>0</v>
      </c>
      <c r="L111" s="143">
        <v>0</v>
      </c>
      <c r="M111" s="143">
        <v>0</v>
      </c>
      <c r="N111" s="143">
        <v>0</v>
      </c>
      <c r="O111" s="143">
        <v>0</v>
      </c>
      <c r="P111" s="143">
        <v>0</v>
      </c>
      <c r="Q111" s="143">
        <v>0</v>
      </c>
      <c r="R111" s="143">
        <v>0</v>
      </c>
      <c r="S111" s="143">
        <v>0</v>
      </c>
      <c r="T111" s="143">
        <v>0</v>
      </c>
      <c r="U111" s="143">
        <v>0</v>
      </c>
      <c r="V111" s="143">
        <v>0</v>
      </c>
      <c r="W111" s="143">
        <v>0</v>
      </c>
      <c r="X111" s="143">
        <v>0</v>
      </c>
      <c r="Y111" s="143">
        <v>0</v>
      </c>
    </row>
    <row r="112" spans="3:42" x14ac:dyDescent="0.25">
      <c r="C112" s="86"/>
      <c r="F112" s="293" t="s">
        <v>48</v>
      </c>
      <c r="G112" s="293" t="s">
        <v>94</v>
      </c>
      <c r="H112" s="142"/>
      <c r="I112" s="142"/>
      <c r="J112" s="143">
        <v>0.34379931777325301</v>
      </c>
      <c r="K112" s="143">
        <v>0.34379931777325301</v>
      </c>
      <c r="L112" s="143">
        <v>0.34379931777325301</v>
      </c>
      <c r="M112" s="143">
        <v>0.34379931777325301</v>
      </c>
      <c r="N112" s="143">
        <v>0.34379931777325301</v>
      </c>
      <c r="O112" s="143">
        <v>0.34379931777325301</v>
      </c>
      <c r="P112" s="143">
        <v>0.38323267678152101</v>
      </c>
      <c r="Q112" s="143">
        <v>0.34379931777325301</v>
      </c>
      <c r="R112" s="143">
        <v>0.34379931777325301</v>
      </c>
      <c r="S112" s="143">
        <v>0.34379931777325301</v>
      </c>
      <c r="T112" s="143">
        <v>0.34379931777325301</v>
      </c>
      <c r="U112" s="143">
        <v>0.34379931777325301</v>
      </c>
      <c r="V112" s="143">
        <v>0.34379931777325301</v>
      </c>
      <c r="W112" s="143">
        <v>0.34379931777325301</v>
      </c>
      <c r="X112" s="143">
        <v>0.38323267678152101</v>
      </c>
      <c r="Y112" s="143">
        <v>0.38323267678152101</v>
      </c>
    </row>
    <row r="113" spans="2:27" x14ac:dyDescent="0.25">
      <c r="C113" s="86"/>
      <c r="F113" s="293" t="s">
        <v>49</v>
      </c>
      <c r="G113" s="293" t="s">
        <v>94</v>
      </c>
      <c r="H113" s="142"/>
      <c r="I113" s="142"/>
      <c r="J113" s="143">
        <v>0.42351973684210498</v>
      </c>
      <c r="K113" s="143">
        <v>0.42351973684210498</v>
      </c>
      <c r="L113" s="143">
        <v>0.42351973684210498</v>
      </c>
      <c r="M113" s="143">
        <v>0.42351973684210498</v>
      </c>
      <c r="N113" s="143">
        <v>0.42351973684210498</v>
      </c>
      <c r="O113" s="143">
        <v>0.42351973684210498</v>
      </c>
      <c r="P113" s="143">
        <v>0</v>
      </c>
      <c r="Q113" s="143">
        <v>0.42351973684210498</v>
      </c>
      <c r="R113" s="143">
        <v>0.42351973684210498</v>
      </c>
      <c r="S113" s="143">
        <v>0.42351973684210498</v>
      </c>
      <c r="T113" s="143">
        <v>0.42351973684210498</v>
      </c>
      <c r="U113" s="143">
        <v>0.42351973684210498</v>
      </c>
      <c r="V113" s="143">
        <v>0.42351973684210498</v>
      </c>
      <c r="W113" s="143">
        <v>0.42351973684210498</v>
      </c>
      <c r="X113" s="143">
        <v>0</v>
      </c>
      <c r="Y113" s="143">
        <v>0</v>
      </c>
    </row>
    <row r="114" spans="2:27" x14ac:dyDescent="0.25">
      <c r="C114" s="86"/>
      <c r="F114" s="293" t="s">
        <v>50</v>
      </c>
      <c r="G114" s="293" t="s">
        <v>94</v>
      </c>
      <c r="H114" s="142"/>
      <c r="I114" s="142"/>
      <c r="J114" s="143">
        <v>0.95595667870036105</v>
      </c>
      <c r="K114" s="143">
        <v>0.95595667870036105</v>
      </c>
      <c r="L114" s="143">
        <v>0.95595667870036105</v>
      </c>
      <c r="M114" s="143">
        <v>0.95595667870036105</v>
      </c>
      <c r="N114" s="143">
        <v>0.95595667870036105</v>
      </c>
      <c r="O114" s="143">
        <v>0</v>
      </c>
      <c r="P114" s="143">
        <v>0</v>
      </c>
      <c r="Q114" s="143">
        <v>0.95595667870036105</v>
      </c>
      <c r="R114" s="143">
        <v>0.95595667870036105</v>
      </c>
      <c r="S114" s="143">
        <v>0</v>
      </c>
      <c r="T114" s="143">
        <v>0.95595667870036105</v>
      </c>
      <c r="U114" s="143">
        <v>0.95595667870036105</v>
      </c>
      <c r="V114" s="143">
        <v>0</v>
      </c>
      <c r="W114" s="143">
        <v>0</v>
      </c>
      <c r="X114" s="143">
        <v>0</v>
      </c>
      <c r="Y114" s="143">
        <v>0</v>
      </c>
    </row>
    <row r="115" spans="2:27" x14ac:dyDescent="0.25">
      <c r="C115" s="86"/>
      <c r="F115" s="293" t="s">
        <v>124</v>
      </c>
      <c r="G115" s="293" t="s">
        <v>94</v>
      </c>
      <c r="J115" s="79"/>
      <c r="K115" s="79"/>
      <c r="L115" s="79"/>
      <c r="M115" s="79"/>
      <c r="N115" s="79"/>
      <c r="O115" s="79"/>
      <c r="P115" s="79"/>
      <c r="Q115" s="79"/>
      <c r="R115" s="79"/>
      <c r="S115" s="79"/>
      <c r="T115" s="79"/>
      <c r="U115" s="79"/>
      <c r="V115" s="79"/>
      <c r="W115" s="79"/>
      <c r="X115" s="79"/>
      <c r="Y115" s="79"/>
    </row>
    <row r="116" spans="2:27" x14ac:dyDescent="0.25">
      <c r="C116" s="86"/>
      <c r="F116" s="93" t="s">
        <v>123</v>
      </c>
      <c r="G116" s="93" t="s">
        <v>94</v>
      </c>
      <c r="H116" s="93"/>
      <c r="I116" s="93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</row>
    <row r="117" spans="2:27" x14ac:dyDescent="0.25">
      <c r="C117" s="86"/>
      <c r="D117" s="293"/>
      <c r="F117" s="98"/>
    </row>
    <row r="118" spans="2:27" x14ac:dyDescent="0.25">
      <c r="D118" s="293"/>
      <c r="E118" s="96" t="s">
        <v>305</v>
      </c>
      <c r="F118" s="98"/>
      <c r="I118" s="293" t="s">
        <v>359</v>
      </c>
      <c r="AA118" s="293" t="s">
        <v>821</v>
      </c>
    </row>
    <row r="119" spans="2:27" x14ac:dyDescent="0.25">
      <c r="D119" s="293"/>
      <c r="E119" s="82" t="s">
        <v>397</v>
      </c>
      <c r="F119" s="98"/>
    </row>
    <row r="120" spans="2:27" x14ac:dyDescent="0.25">
      <c r="D120" s="293"/>
      <c r="E120" s="82" t="s">
        <v>398</v>
      </c>
      <c r="F120" s="98"/>
    </row>
    <row r="121" spans="2:27" x14ac:dyDescent="0.25">
      <c r="D121" s="293"/>
      <c r="F121" s="91" t="s">
        <v>306</v>
      </c>
      <c r="G121" s="91" t="s">
        <v>155</v>
      </c>
      <c r="H121" s="91"/>
      <c r="I121" s="91"/>
      <c r="J121" s="199">
        <f>'Fixed inputs'!J136</f>
        <v>0</v>
      </c>
      <c r="K121" s="199">
        <f>'Fixed inputs'!K136</f>
        <v>0</v>
      </c>
      <c r="L121" s="199">
        <f>'Fixed inputs'!L136</f>
        <v>0</v>
      </c>
      <c r="M121" s="199">
        <f>'Fixed inputs'!M136</f>
        <v>0</v>
      </c>
      <c r="N121" s="199">
        <f>'Fixed inputs'!N136</f>
        <v>1</v>
      </c>
      <c r="O121" s="199">
        <f>'Fixed inputs'!O136</f>
        <v>1</v>
      </c>
      <c r="P121" s="199">
        <f>'Fixed inputs'!P136</f>
        <v>1</v>
      </c>
      <c r="Q121" s="199">
        <f>'Fixed inputs'!Q136</f>
        <v>0</v>
      </c>
      <c r="R121" s="199">
        <f>'Fixed inputs'!R136</f>
        <v>0</v>
      </c>
      <c r="S121" s="199">
        <f>'Fixed inputs'!S136</f>
        <v>0</v>
      </c>
      <c r="T121" s="199">
        <f>'Fixed inputs'!T136</f>
        <v>0</v>
      </c>
      <c r="U121" s="199">
        <f>'Fixed inputs'!U136</f>
        <v>0</v>
      </c>
      <c r="V121" s="199">
        <f>'Fixed inputs'!V136</f>
        <v>0</v>
      </c>
      <c r="W121" s="199">
        <f>'Fixed inputs'!W136</f>
        <v>0</v>
      </c>
      <c r="X121" s="199">
        <f>'Fixed inputs'!X136</f>
        <v>0</v>
      </c>
      <c r="Y121" s="199">
        <f>'Fixed inputs'!Y136</f>
        <v>0</v>
      </c>
    </row>
    <row r="122" spans="2:27" x14ac:dyDescent="0.25">
      <c r="D122" s="293"/>
      <c r="F122" s="293" t="s">
        <v>307</v>
      </c>
      <c r="G122" s="293" t="s">
        <v>155</v>
      </c>
      <c r="J122" s="397">
        <f>'Fixed inputs'!J137</f>
        <v>0</v>
      </c>
      <c r="K122" s="397">
        <f>'Fixed inputs'!K137</f>
        <v>0</v>
      </c>
      <c r="L122" s="397">
        <f>'Fixed inputs'!L137</f>
        <v>0</v>
      </c>
      <c r="M122" s="397">
        <f>'Fixed inputs'!M137</f>
        <v>0</v>
      </c>
      <c r="N122" s="397">
        <f>'Fixed inputs'!N137</f>
        <v>1</v>
      </c>
      <c r="O122" s="397">
        <f>'Fixed inputs'!O137</f>
        <v>1</v>
      </c>
      <c r="P122" s="397">
        <f>'Fixed inputs'!P137</f>
        <v>1</v>
      </c>
      <c r="Q122" s="397">
        <f>'Fixed inputs'!Q137</f>
        <v>0</v>
      </c>
      <c r="R122" s="397">
        <f>'Fixed inputs'!R137</f>
        <v>0</v>
      </c>
      <c r="S122" s="397">
        <f>'Fixed inputs'!S137</f>
        <v>0</v>
      </c>
      <c r="T122" s="397">
        <f>'Fixed inputs'!T137</f>
        <v>0</v>
      </c>
      <c r="U122" s="397">
        <f>'Fixed inputs'!U137</f>
        <v>0</v>
      </c>
      <c r="V122" s="397">
        <f>'Fixed inputs'!V137</f>
        <v>0</v>
      </c>
      <c r="W122" s="397">
        <f>'Fixed inputs'!W137</f>
        <v>0</v>
      </c>
      <c r="X122" s="397">
        <f>'Fixed inputs'!X137</f>
        <v>0</v>
      </c>
      <c r="Y122" s="397">
        <f>'Fixed inputs'!Y137</f>
        <v>0</v>
      </c>
    </row>
    <row r="123" spans="2:27" x14ac:dyDescent="0.25">
      <c r="D123" s="293"/>
      <c r="F123" s="93" t="s">
        <v>308</v>
      </c>
      <c r="G123" s="93" t="s">
        <v>155</v>
      </c>
      <c r="H123" s="93"/>
      <c r="I123" s="93"/>
      <c r="J123" s="532">
        <f>'Fixed inputs'!J139</f>
        <v>1</v>
      </c>
      <c r="K123" s="532">
        <f>'Fixed inputs'!K139</f>
        <v>0</v>
      </c>
      <c r="L123" s="532">
        <f>'Fixed inputs'!L139</f>
        <v>1</v>
      </c>
      <c r="M123" s="532">
        <f>'Fixed inputs'!M139</f>
        <v>0</v>
      </c>
      <c r="N123" s="532">
        <f>'Fixed inputs'!N139</f>
        <v>0</v>
      </c>
      <c r="O123" s="532">
        <f>'Fixed inputs'!O139</f>
        <v>0</v>
      </c>
      <c r="P123" s="532">
        <f>'Fixed inputs'!P139</f>
        <v>0</v>
      </c>
      <c r="Q123" s="532">
        <f>'Fixed inputs'!Q139</f>
        <v>0</v>
      </c>
      <c r="R123" s="532">
        <f>'Fixed inputs'!R139</f>
        <v>0</v>
      </c>
      <c r="S123" s="532">
        <f>'Fixed inputs'!S139</f>
        <v>0</v>
      </c>
      <c r="T123" s="532">
        <f>'Fixed inputs'!T139</f>
        <v>0</v>
      </c>
      <c r="U123" s="532">
        <f>'Fixed inputs'!U139</f>
        <v>0</v>
      </c>
      <c r="V123" s="532">
        <f>'Fixed inputs'!V139</f>
        <v>0</v>
      </c>
      <c r="W123" s="532">
        <f>'Fixed inputs'!W139</f>
        <v>0</v>
      </c>
      <c r="X123" s="532">
        <f>'Fixed inputs'!X139</f>
        <v>0</v>
      </c>
      <c r="Y123" s="532">
        <f>'Fixed inputs'!Y139</f>
        <v>0</v>
      </c>
    </row>
    <row r="124" spans="2:27" x14ac:dyDescent="0.25">
      <c r="C124" s="86"/>
    </row>
    <row r="125" spans="2:27" x14ac:dyDescent="0.25">
      <c r="B125" s="95" t="s">
        <v>399</v>
      </c>
      <c r="C125" s="95"/>
      <c r="D125" s="95"/>
      <c r="E125" s="95"/>
      <c r="F125" s="95"/>
      <c r="G125" s="95"/>
      <c r="H125" s="95"/>
      <c r="I125" s="95"/>
      <c r="J125" s="95"/>
      <c r="K125" s="95"/>
      <c r="L125" s="95"/>
      <c r="M125" s="95"/>
      <c r="N125" s="95"/>
      <c r="O125" s="95"/>
      <c r="P125" s="95"/>
      <c r="Q125" s="95"/>
      <c r="R125" s="95"/>
      <c r="S125" s="95"/>
      <c r="T125" s="95"/>
      <c r="U125" s="95"/>
      <c r="V125" s="95"/>
      <c r="W125" s="95"/>
      <c r="X125" s="95"/>
      <c r="Y125" s="95"/>
      <c r="Z125" s="95"/>
      <c r="AA125" s="95"/>
    </row>
    <row r="126" spans="2:27" x14ac:dyDescent="0.25">
      <c r="C126" s="86"/>
    </row>
    <row r="127" spans="2:27" x14ac:dyDescent="0.25">
      <c r="B127" s="67"/>
      <c r="C127" s="82" t="s">
        <v>738</v>
      </c>
      <c r="D127" s="293"/>
      <c r="E127" s="293"/>
    </row>
    <row r="128" spans="2:27" x14ac:dyDescent="0.25">
      <c r="C128" s="86"/>
    </row>
    <row r="129" spans="3:27" x14ac:dyDescent="0.25">
      <c r="C129" s="7" t="str">
        <f ca="1">INDEX('Version control'!$H$35:$H$61,MATCH($A$1,'Version control'!$F$35:$F$61,0),1)&amp;"-B: Capacity-based charge elements (to be split between capacity &amp; fixed charges)"</f>
        <v>Section 515-B: Capacity-based charge elements (to be split between capacity &amp; fixed charges)</v>
      </c>
      <c r="D129" s="7"/>
      <c r="E129" s="7"/>
      <c r="F129" s="7"/>
      <c r="G129" s="7"/>
      <c r="H129" s="7"/>
      <c r="I129" s="7"/>
      <c r="J129" s="7"/>
      <c r="K129" s="7"/>
      <c r="L129" s="7"/>
      <c r="M129" s="7"/>
      <c r="N129" s="7"/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7"/>
      <c r="Z129" s="7"/>
      <c r="AA129" s="7"/>
    </row>
    <row r="131" spans="3:27" x14ac:dyDescent="0.25">
      <c r="C131" s="86"/>
      <c r="E131" s="96" t="s">
        <v>139</v>
      </c>
      <c r="I131" s="293" t="s">
        <v>359</v>
      </c>
      <c r="AA131" s="293" t="s">
        <v>739</v>
      </c>
    </row>
    <row r="132" spans="3:27" x14ac:dyDescent="0.25">
      <c r="C132" s="86"/>
      <c r="F132" s="91" t="s">
        <v>267</v>
      </c>
      <c r="G132" s="91" t="s">
        <v>251</v>
      </c>
      <c r="H132" s="91"/>
      <c r="I132" s="91"/>
      <c r="J132" s="238"/>
      <c r="K132" s="238"/>
      <c r="L132" s="238"/>
      <c r="M132" s="238"/>
      <c r="N132" s="238"/>
      <c r="O132" s="238"/>
      <c r="P132" s="238"/>
      <c r="Q132" s="238"/>
      <c r="R132" s="238"/>
      <c r="S132" s="238"/>
      <c r="T132" s="238"/>
      <c r="U132" s="238"/>
      <c r="V132" s="238"/>
      <c r="W132" s="238"/>
      <c r="X132" s="238"/>
      <c r="Y132" s="238"/>
    </row>
    <row r="133" spans="3:27" x14ac:dyDescent="0.25">
      <c r="C133" s="86"/>
      <c r="F133" s="293" t="s">
        <v>43</v>
      </c>
      <c r="G133" s="293" t="s">
        <v>251</v>
      </c>
      <c r="J133" s="279"/>
      <c r="K133" s="279"/>
      <c r="L133" s="279"/>
      <c r="M133" s="279"/>
      <c r="N133" s="279"/>
      <c r="O133" s="279"/>
      <c r="P133" s="279"/>
      <c r="Q133" s="279"/>
      <c r="R133" s="279"/>
      <c r="S133" s="279"/>
      <c r="T133" s="279"/>
      <c r="U133" s="279"/>
      <c r="V133" s="279"/>
      <c r="W133" s="279"/>
      <c r="X133" s="279"/>
      <c r="Y133" s="279"/>
    </row>
    <row r="134" spans="3:27" x14ac:dyDescent="0.25">
      <c r="C134" s="86"/>
      <c r="F134" s="293" t="s">
        <v>44</v>
      </c>
      <c r="G134" s="293" t="s">
        <v>251</v>
      </c>
      <c r="J134" s="275">
        <f t="shared" ref="J134:K134" si="0">hundred*J95*$H53*J82/$H39*(1-J107)/days_in_year/(1+$H25)*PowerFactor</f>
        <v>0</v>
      </c>
      <c r="K134" s="275">
        <f t="shared" si="0"/>
        <v>0</v>
      </c>
      <c r="L134" s="275">
        <f t="shared" ref="L134:M134" si="1">hundred*L95*$H53*L82/$H39*(1-L107)/days_in_year/(1+$H25)*PowerFactor</f>
        <v>0</v>
      </c>
      <c r="M134" s="275">
        <f t="shared" si="1"/>
        <v>0</v>
      </c>
      <c r="N134" s="275">
        <f t="shared" ref="N134:P134" si="2">hundred*N95*$H53*N82/$H39*(1-N107)/days_in_year/(1+$H25)*PowerFactor</f>
        <v>0</v>
      </c>
      <c r="O134" s="275">
        <f t="shared" si="2"/>
        <v>0</v>
      </c>
      <c r="P134" s="275">
        <f t="shared" si="2"/>
        <v>0</v>
      </c>
      <c r="Q134" s="275">
        <f t="shared" ref="Q134" si="3">hundred*Q95*$H53*Q82/$H39*(1-Q107)/days_in_year/(1+$H25)*PowerFactor</f>
        <v>0</v>
      </c>
      <c r="R134" s="279"/>
      <c r="S134" s="279"/>
      <c r="T134" s="279"/>
      <c r="U134" s="279"/>
      <c r="V134" s="279"/>
      <c r="W134" s="279"/>
      <c r="X134" s="279"/>
      <c r="Y134" s="279"/>
    </row>
    <row r="135" spans="3:27" x14ac:dyDescent="0.25">
      <c r="C135" s="86"/>
      <c r="F135" s="293" t="s">
        <v>45</v>
      </c>
      <c r="G135" s="293" t="s">
        <v>251</v>
      </c>
      <c r="J135" s="275">
        <f t="shared" ref="J135:K135" si="4">hundred*J96*$H54*J83/$H40*(1-J108)/days_in_year/(1+$H26)*PowerFactor</f>
        <v>0</v>
      </c>
      <c r="K135" s="275">
        <f t="shared" si="4"/>
        <v>0</v>
      </c>
      <c r="L135" s="275">
        <f t="shared" ref="L135:M135" si="5">hundred*L96*$H54*L83/$H40*(1-L108)/days_in_year/(1+$H26)*PowerFactor</f>
        <v>0</v>
      </c>
      <c r="M135" s="275">
        <f t="shared" si="5"/>
        <v>0</v>
      </c>
      <c r="N135" s="275">
        <f t="shared" ref="N135:P135" si="6">hundred*N96*$H54*N83/$H40*(1-N108)/days_in_year/(1+$H26)*PowerFactor</f>
        <v>0</v>
      </c>
      <c r="O135" s="275">
        <f t="shared" si="6"/>
        <v>0</v>
      </c>
      <c r="P135" s="275">
        <f t="shared" si="6"/>
        <v>0</v>
      </c>
      <c r="Q135" s="275">
        <f t="shared" ref="Q135" si="7">hundred*Q96*$H54*Q83/$H40*(1-Q108)/days_in_year/(1+$H26)*PowerFactor</f>
        <v>0</v>
      </c>
      <c r="R135" s="279"/>
      <c r="S135" s="279"/>
      <c r="T135" s="279"/>
      <c r="U135" s="279"/>
      <c r="V135" s="279"/>
      <c r="W135" s="279"/>
      <c r="X135" s="279"/>
      <c r="Y135" s="279"/>
    </row>
    <row r="136" spans="3:27" x14ac:dyDescent="0.25">
      <c r="C136" s="86"/>
      <c r="F136" s="293" t="s">
        <v>46</v>
      </c>
      <c r="G136" s="293" t="s">
        <v>251</v>
      </c>
      <c r="J136" s="275">
        <f t="shared" ref="J136:K136" si="8">hundred*J97*$H55*J84/$H41*(1-J109)/days_in_year/(1+$H27)*PowerFactor</f>
        <v>0</v>
      </c>
      <c r="K136" s="275">
        <f t="shared" si="8"/>
        <v>0</v>
      </c>
      <c r="L136" s="275">
        <f t="shared" ref="L136:M136" si="9">hundred*L97*$H55*L84/$H41*(1-L109)/days_in_year/(1+$H27)*PowerFactor</f>
        <v>0</v>
      </c>
      <c r="M136" s="275">
        <f t="shared" si="9"/>
        <v>0</v>
      </c>
      <c r="N136" s="275">
        <f t="shared" ref="N136:P136" si="10">hundred*N97*$H55*N84/$H41*(1-N109)/days_in_year/(1+$H27)*PowerFactor</f>
        <v>0</v>
      </c>
      <c r="O136" s="275">
        <f t="shared" si="10"/>
        <v>0</v>
      </c>
      <c r="P136" s="275">
        <f t="shared" si="10"/>
        <v>0.34009584981962038</v>
      </c>
      <c r="Q136" s="275">
        <f t="shared" ref="Q136" si="11">hundred*Q97*$H55*Q84/$H41*(1-Q109)/days_in_year/(1+$H27)*PowerFactor</f>
        <v>0</v>
      </c>
      <c r="R136" s="279"/>
      <c r="S136" s="279"/>
      <c r="T136" s="279"/>
      <c r="U136" s="279"/>
      <c r="V136" s="279"/>
      <c r="W136" s="279"/>
      <c r="X136" s="279"/>
      <c r="Y136" s="279"/>
    </row>
    <row r="137" spans="3:27" x14ac:dyDescent="0.25">
      <c r="C137" s="86"/>
      <c r="F137" s="293" t="s">
        <v>47</v>
      </c>
      <c r="G137" s="293" t="s">
        <v>251</v>
      </c>
      <c r="J137" s="275">
        <f t="shared" ref="J137:K137" si="12">hundred*J98*$H56*J85/$H42*(1-J110)/days_in_year/(1+$H28)*PowerFactor</f>
        <v>0</v>
      </c>
      <c r="K137" s="275">
        <f t="shared" si="12"/>
        <v>0</v>
      </c>
      <c r="L137" s="275">
        <f t="shared" ref="L137:M137" si="13">hundred*L98*$H56*L85/$H42*(1-L110)/days_in_year/(1+$H28)*PowerFactor</f>
        <v>0</v>
      </c>
      <c r="M137" s="275">
        <f t="shared" si="13"/>
        <v>0</v>
      </c>
      <c r="N137" s="275">
        <f t="shared" ref="N137:P137" si="14">hundred*N98*$H56*N85/$H42*(1-N110)/days_in_year/(1+$H28)*PowerFactor</f>
        <v>0</v>
      </c>
      <c r="O137" s="275">
        <f t="shared" si="14"/>
        <v>0</v>
      </c>
      <c r="P137" s="275">
        <f t="shared" si="14"/>
        <v>1.1633869627295277</v>
      </c>
      <c r="Q137" s="275">
        <f t="shared" ref="Q137" si="15">hundred*Q98*$H56*Q85/$H42*(1-Q110)/days_in_year/(1+$H28)*PowerFactor</f>
        <v>0</v>
      </c>
      <c r="R137" s="279"/>
      <c r="S137" s="279"/>
      <c r="T137" s="279"/>
      <c r="U137" s="279"/>
      <c r="V137" s="279"/>
      <c r="W137" s="279"/>
      <c r="X137" s="279"/>
      <c r="Y137" s="279"/>
    </row>
    <row r="138" spans="3:27" x14ac:dyDescent="0.25">
      <c r="C138" s="86"/>
      <c r="F138" s="293" t="s">
        <v>51</v>
      </c>
      <c r="G138" s="293" t="s">
        <v>251</v>
      </c>
      <c r="J138" s="275">
        <f t="shared" ref="J138:K138" si="16">hundred*J99*$H57*J86/$H43*(1-J111)/days_in_year/(1+$H29)*PowerFactor</f>
        <v>0</v>
      </c>
      <c r="K138" s="275">
        <f t="shared" si="16"/>
        <v>0</v>
      </c>
      <c r="L138" s="275">
        <f t="shared" ref="L138:M138" si="17">hundred*L99*$H57*L86/$H43*(1-L111)/days_in_year/(1+$H29)*PowerFactor</f>
        <v>0</v>
      </c>
      <c r="M138" s="275">
        <f t="shared" si="17"/>
        <v>0</v>
      </c>
      <c r="N138" s="275">
        <f t="shared" ref="N138:P138" si="18">hundred*N99*$H57*N86/$H43*(1-N111)/days_in_year/(1+$H29)*PowerFactor</f>
        <v>0</v>
      </c>
      <c r="O138" s="275">
        <f t="shared" si="18"/>
        <v>0</v>
      </c>
      <c r="P138" s="275">
        <f t="shared" si="18"/>
        <v>0</v>
      </c>
      <c r="Q138" s="275">
        <f t="shared" ref="Q138" si="19">hundred*Q99*$H57*Q86/$H43*(1-Q111)/days_in_year/(1+$H29)*PowerFactor</f>
        <v>0</v>
      </c>
      <c r="R138" s="279"/>
      <c r="S138" s="279"/>
      <c r="T138" s="279"/>
      <c r="U138" s="279"/>
      <c r="V138" s="279"/>
      <c r="W138" s="279"/>
      <c r="X138" s="279"/>
      <c r="Y138" s="279"/>
    </row>
    <row r="139" spans="3:27" x14ac:dyDescent="0.25">
      <c r="C139" s="86"/>
      <c r="F139" s="293" t="s">
        <v>48</v>
      </c>
      <c r="G139" s="293" t="s">
        <v>251</v>
      </c>
      <c r="J139" s="275">
        <f t="shared" ref="J139:K139" si="20">hundred*J100*$H58*J87/$H44*(1-J112)/days_in_year/(1+$H30)*PowerFactor</f>
        <v>0</v>
      </c>
      <c r="K139" s="275">
        <f t="shared" si="20"/>
        <v>0</v>
      </c>
      <c r="L139" s="275">
        <f t="shared" ref="L139:M139" si="21">hundred*L100*$H58*L87/$H44*(1-L112)/days_in_year/(1+$H30)*PowerFactor</f>
        <v>0</v>
      </c>
      <c r="M139" s="275">
        <f t="shared" si="21"/>
        <v>0</v>
      </c>
      <c r="N139" s="275">
        <f t="shared" ref="N139:P139" si="22">hundred*N100*$H58*N87/$H44*(1-N112)/days_in_year/(1+$H30)*PowerFactor</f>
        <v>0.40847838982555351</v>
      </c>
      <c r="O139" s="275">
        <f t="shared" si="22"/>
        <v>1.9597952158909826</v>
      </c>
      <c r="P139" s="275">
        <f t="shared" si="22"/>
        <v>1.8155585042509046</v>
      </c>
      <c r="Q139" s="275">
        <f t="shared" ref="Q139" si="23">hundred*Q100*$H58*Q87/$H44*(1-Q112)/days_in_year/(1+$H30)*PowerFactor</f>
        <v>0</v>
      </c>
      <c r="R139" s="279"/>
      <c r="S139" s="279"/>
      <c r="T139" s="279"/>
      <c r="U139" s="279"/>
      <c r="V139" s="279"/>
      <c r="W139" s="279"/>
      <c r="X139" s="279"/>
      <c r="Y139" s="279"/>
    </row>
    <row r="140" spans="3:27" x14ac:dyDescent="0.25">
      <c r="C140" s="86"/>
      <c r="F140" s="293" t="s">
        <v>49</v>
      </c>
      <c r="G140" s="293" t="s">
        <v>251</v>
      </c>
      <c r="J140" s="275">
        <f t="shared" ref="J140:K140" si="24">hundred*J101*$H59*J88/$H45*(1-J113)/days_in_year/(1+$H31)*PowerFactor</f>
        <v>0</v>
      </c>
      <c r="K140" s="275">
        <f t="shared" si="24"/>
        <v>0</v>
      </c>
      <c r="L140" s="275">
        <f t="shared" ref="L140:M140" si="25">hundred*L101*$H59*L88/$H45*(1-L113)/days_in_year/(1+$H31)*PowerFactor</f>
        <v>0</v>
      </c>
      <c r="M140" s="275">
        <f t="shared" si="25"/>
        <v>0</v>
      </c>
      <c r="N140" s="275">
        <f t="shared" ref="N140:P140" si="26">hundred*N101*$H59*N88/$H45*(1-N113)/days_in_year/(1+$H31)*PowerFactor</f>
        <v>0.676402038739079</v>
      </c>
      <c r="O140" s="275">
        <f t="shared" si="26"/>
        <v>0.64904754452536617</v>
      </c>
      <c r="P140" s="275">
        <f t="shared" si="26"/>
        <v>0</v>
      </c>
      <c r="Q140" s="275">
        <f t="shared" ref="Q140" si="27">hundred*Q101*$H59*Q88/$H45*(1-Q113)/days_in_year/(1+$H31)*PowerFactor</f>
        <v>0</v>
      </c>
      <c r="R140" s="279"/>
      <c r="S140" s="279"/>
      <c r="T140" s="279"/>
      <c r="U140" s="279"/>
      <c r="V140" s="279"/>
      <c r="W140" s="279"/>
      <c r="X140" s="279"/>
      <c r="Y140" s="279"/>
    </row>
    <row r="141" spans="3:27" x14ac:dyDescent="0.25">
      <c r="C141" s="86"/>
      <c r="F141" s="293" t="s">
        <v>50</v>
      </c>
      <c r="G141" s="293" t="s">
        <v>251</v>
      </c>
      <c r="J141" s="275">
        <f t="shared" ref="J141:K141" si="28">hundred*J102*$H60*J89/$H46*(1-J114)/days_in_year/(1+$H32)*PowerFactor</f>
        <v>0.11366651620964532</v>
      </c>
      <c r="K141" s="275">
        <f t="shared" si="28"/>
        <v>0.11366651620964532</v>
      </c>
      <c r="L141" s="275">
        <f t="shared" ref="L141:M141" si="29">hundred*L102*$H60*L89/$H46*(1-L114)/days_in_year/(1+$H32)*PowerFactor</f>
        <v>0.11366651620964532</v>
      </c>
      <c r="M141" s="275">
        <f t="shared" si="29"/>
        <v>0.11366651620964532</v>
      </c>
      <c r="N141" s="275">
        <f t="shared" ref="N141:P141" si="30">hundred*N102*$H60*N89/$H46*(1-N114)/days_in_year/(1+$H32)*PowerFactor</f>
        <v>0.11366651620964532</v>
      </c>
      <c r="O141" s="275">
        <f t="shared" si="30"/>
        <v>0</v>
      </c>
      <c r="P141" s="275">
        <f t="shared" si="30"/>
        <v>0</v>
      </c>
      <c r="Q141" s="275">
        <f t="shared" ref="Q141" si="31">hundred*Q102*$H60*Q89/$H46*(1-Q114)/days_in_year/(1+$H32)*PowerFactor</f>
        <v>0</v>
      </c>
      <c r="R141" s="279"/>
      <c r="S141" s="279"/>
      <c r="T141" s="279"/>
      <c r="U141" s="279"/>
      <c r="V141" s="279"/>
      <c r="W141" s="279"/>
      <c r="X141" s="279"/>
      <c r="Y141" s="279"/>
    </row>
    <row r="142" spans="3:27" x14ac:dyDescent="0.25">
      <c r="C142" s="86"/>
      <c r="D142" s="293"/>
      <c r="F142" s="293" t="s">
        <v>124</v>
      </c>
      <c r="G142" s="293" t="s">
        <v>251</v>
      </c>
      <c r="J142" s="279"/>
      <c r="K142" s="279"/>
      <c r="L142" s="279"/>
      <c r="M142" s="279"/>
      <c r="N142" s="279"/>
      <c r="O142" s="279"/>
      <c r="P142" s="279"/>
      <c r="Q142" s="279"/>
      <c r="R142" s="279"/>
      <c r="S142" s="279"/>
      <c r="T142" s="279"/>
      <c r="U142" s="279"/>
      <c r="V142" s="279"/>
      <c r="W142" s="279"/>
      <c r="X142" s="279"/>
      <c r="Y142" s="279"/>
    </row>
    <row r="143" spans="3:27" x14ac:dyDescent="0.25">
      <c r="C143" s="86"/>
      <c r="D143" s="293"/>
      <c r="F143" s="93" t="s">
        <v>123</v>
      </c>
      <c r="G143" s="93" t="s">
        <v>251</v>
      </c>
      <c r="H143" s="93"/>
      <c r="I143" s="93"/>
      <c r="J143" s="240"/>
      <c r="K143" s="240"/>
      <c r="L143" s="240"/>
      <c r="M143" s="240"/>
      <c r="N143" s="240"/>
      <c r="O143" s="240"/>
      <c r="P143" s="240"/>
      <c r="Q143" s="240"/>
      <c r="R143" s="240"/>
      <c r="S143" s="240"/>
      <c r="T143" s="240"/>
      <c r="U143" s="240"/>
      <c r="V143" s="240"/>
      <c r="W143" s="240"/>
      <c r="X143" s="240"/>
      <c r="Y143" s="240"/>
    </row>
    <row r="144" spans="3:27" x14ac:dyDescent="0.25">
      <c r="C144" s="86"/>
      <c r="D144" s="293"/>
      <c r="J144" s="275"/>
      <c r="K144" s="275"/>
      <c r="L144" s="275"/>
      <c r="M144" s="275"/>
      <c r="N144" s="275"/>
      <c r="O144" s="275"/>
      <c r="P144" s="275"/>
      <c r="Q144" s="275"/>
      <c r="R144" s="275"/>
      <c r="S144" s="275"/>
      <c r="T144" s="275"/>
      <c r="U144" s="275"/>
      <c r="V144" s="275"/>
      <c r="W144" s="275"/>
      <c r="X144" s="275"/>
      <c r="Y144" s="275"/>
    </row>
    <row r="145" spans="3:27" x14ac:dyDescent="0.25">
      <c r="C145" s="86"/>
      <c r="E145" s="96" t="s">
        <v>116</v>
      </c>
      <c r="J145" s="275"/>
      <c r="K145" s="275"/>
      <c r="L145" s="275"/>
      <c r="M145" s="275"/>
      <c r="N145" s="275"/>
      <c r="O145" s="275"/>
      <c r="P145" s="275"/>
      <c r="Q145" s="275"/>
      <c r="R145" s="275"/>
      <c r="S145" s="275"/>
      <c r="T145" s="275"/>
      <c r="U145" s="275"/>
      <c r="V145" s="275"/>
      <c r="W145" s="275"/>
      <c r="X145" s="275"/>
      <c r="Y145" s="275"/>
    </row>
    <row r="146" spans="3:27" x14ac:dyDescent="0.25">
      <c r="C146" s="86"/>
      <c r="F146" s="91" t="s">
        <v>267</v>
      </c>
      <c r="G146" s="91" t="s">
        <v>251</v>
      </c>
      <c r="H146" s="91"/>
      <c r="I146" s="91"/>
      <c r="J146" s="270">
        <f t="shared" ref="J146:K146" si="32">hundred*J94*$H65*J80/$H37/days_in_year/(1+$H23)*PowerFactor</f>
        <v>0</v>
      </c>
      <c r="K146" s="270">
        <f t="shared" si="32"/>
        <v>0</v>
      </c>
      <c r="L146" s="270">
        <f t="shared" ref="L146:M146" si="33">hundred*L94*$H65*L80/$H37/days_in_year/(1+$H23)*PowerFactor</f>
        <v>0</v>
      </c>
      <c r="M146" s="270">
        <f t="shared" si="33"/>
        <v>0</v>
      </c>
      <c r="N146" s="270">
        <f t="shared" ref="N146:P146" si="34">hundred*N94*$H65*N80/$H37/days_in_year/(1+$H23)*PowerFactor</f>
        <v>0</v>
      </c>
      <c r="O146" s="270">
        <f t="shared" si="34"/>
        <v>0</v>
      </c>
      <c r="P146" s="270">
        <f t="shared" si="34"/>
        <v>0</v>
      </c>
      <c r="Q146" s="270">
        <f t="shared" ref="Q146" si="35">hundred*Q94*$H65*Q80/$H37/days_in_year/(1+$H23)*PowerFactor</f>
        <v>0</v>
      </c>
      <c r="R146" s="238"/>
      <c r="S146" s="238"/>
      <c r="T146" s="238"/>
      <c r="U146" s="238"/>
      <c r="V146" s="238"/>
      <c r="W146" s="238"/>
      <c r="X146" s="238"/>
      <c r="Y146" s="238"/>
    </row>
    <row r="147" spans="3:27" x14ac:dyDescent="0.25">
      <c r="C147" s="86"/>
      <c r="F147" s="293" t="s">
        <v>43</v>
      </c>
      <c r="G147" s="293" t="s">
        <v>251</v>
      </c>
      <c r="J147" s="275">
        <f t="shared" ref="J147:K147" si="36">hundred*J94*$H66*J81/$H38/days_in_year/(1+$H24)*PowerFactor</f>
        <v>0</v>
      </c>
      <c r="K147" s="275">
        <f t="shared" si="36"/>
        <v>0</v>
      </c>
      <c r="L147" s="275">
        <f t="shared" ref="L147:M147" si="37">hundred*L94*$H66*L81/$H38/days_in_year/(1+$H24)*PowerFactor</f>
        <v>0</v>
      </c>
      <c r="M147" s="275">
        <f t="shared" si="37"/>
        <v>0</v>
      </c>
      <c r="N147" s="275">
        <f t="shared" ref="N147:P147" si="38">hundred*N94*$H66*N81/$H38/days_in_year/(1+$H24)*PowerFactor</f>
        <v>0</v>
      </c>
      <c r="O147" s="275">
        <f t="shared" si="38"/>
        <v>0</v>
      </c>
      <c r="P147" s="275">
        <f t="shared" si="38"/>
        <v>0</v>
      </c>
      <c r="Q147" s="275">
        <f t="shared" ref="Q147" si="39">hundred*Q94*$H66*Q81/$H38/days_in_year/(1+$H24)*PowerFactor</f>
        <v>0</v>
      </c>
      <c r="R147" s="279"/>
      <c r="S147" s="279"/>
      <c r="T147" s="279"/>
      <c r="U147" s="279"/>
      <c r="V147" s="279"/>
      <c r="W147" s="279"/>
      <c r="X147" s="279"/>
      <c r="Y147" s="279"/>
    </row>
    <row r="148" spans="3:27" x14ac:dyDescent="0.25">
      <c r="C148" s="86"/>
      <c r="F148" s="293" t="s">
        <v>44</v>
      </c>
      <c r="G148" s="293" t="s">
        <v>251</v>
      </c>
      <c r="J148" s="275">
        <f t="shared" ref="J148:K148" si="40">hundred*J95*$H67*J82/$H39/days_in_year/(1+$H25)*PowerFactor</f>
        <v>0</v>
      </c>
      <c r="K148" s="275">
        <f t="shared" si="40"/>
        <v>0</v>
      </c>
      <c r="L148" s="275">
        <f t="shared" ref="L148:M148" si="41">hundred*L95*$H67*L82/$H39/days_in_year/(1+$H25)*PowerFactor</f>
        <v>0</v>
      </c>
      <c r="M148" s="275">
        <f t="shared" si="41"/>
        <v>0</v>
      </c>
      <c r="N148" s="275">
        <f t="shared" ref="N148:P148" si="42">hundred*N95*$H67*N82/$H39/days_in_year/(1+$H25)*PowerFactor</f>
        <v>0</v>
      </c>
      <c r="O148" s="275">
        <f t="shared" si="42"/>
        <v>0</v>
      </c>
      <c r="P148" s="275">
        <f t="shared" si="42"/>
        <v>0</v>
      </c>
      <c r="Q148" s="275">
        <f t="shared" ref="Q148" si="43">hundred*Q95*$H67*Q82/$H39/days_in_year/(1+$H25)*PowerFactor</f>
        <v>0</v>
      </c>
      <c r="R148" s="279"/>
      <c r="S148" s="279"/>
      <c r="T148" s="279"/>
      <c r="U148" s="279"/>
      <c r="V148" s="279"/>
      <c r="W148" s="279"/>
      <c r="X148" s="279"/>
      <c r="Y148" s="279"/>
    </row>
    <row r="149" spans="3:27" x14ac:dyDescent="0.25">
      <c r="C149" s="86"/>
      <c r="F149" s="293" t="s">
        <v>45</v>
      </c>
      <c r="G149" s="293" t="s">
        <v>251</v>
      </c>
      <c r="J149" s="275">
        <f t="shared" ref="J149:K149" si="44">hundred*J96*$H68*J83/$H40/days_in_year/(1+$H26)*PowerFactor</f>
        <v>0</v>
      </c>
      <c r="K149" s="275">
        <f t="shared" si="44"/>
        <v>0</v>
      </c>
      <c r="L149" s="275">
        <f t="shared" ref="L149:M149" si="45">hundred*L96*$H68*L83/$H40/days_in_year/(1+$H26)*PowerFactor</f>
        <v>0</v>
      </c>
      <c r="M149" s="275">
        <f t="shared" si="45"/>
        <v>0</v>
      </c>
      <c r="N149" s="275">
        <f t="shared" ref="N149:P149" si="46">hundred*N96*$H68*N83/$H40/days_in_year/(1+$H26)*PowerFactor</f>
        <v>0</v>
      </c>
      <c r="O149" s="275">
        <f t="shared" si="46"/>
        <v>0</v>
      </c>
      <c r="P149" s="275">
        <f t="shared" si="46"/>
        <v>0</v>
      </c>
      <c r="Q149" s="275">
        <f t="shared" ref="Q149" si="47">hundred*Q96*$H68*Q83/$H40/days_in_year/(1+$H26)*PowerFactor</f>
        <v>0</v>
      </c>
      <c r="R149" s="279"/>
      <c r="S149" s="279"/>
      <c r="T149" s="279"/>
      <c r="U149" s="279"/>
      <c r="V149" s="279"/>
      <c r="W149" s="279"/>
      <c r="X149" s="279"/>
      <c r="Y149" s="279"/>
    </row>
    <row r="150" spans="3:27" x14ac:dyDescent="0.25">
      <c r="C150" s="86"/>
      <c r="F150" s="293" t="s">
        <v>46</v>
      </c>
      <c r="G150" s="293" t="s">
        <v>251</v>
      </c>
      <c r="J150" s="275">
        <f t="shared" ref="J150:K150" si="48">hundred*J97*$H69*J84/$H41/days_in_year/(1+$H27)*PowerFactor</f>
        <v>0</v>
      </c>
      <c r="K150" s="275">
        <f t="shared" si="48"/>
        <v>0</v>
      </c>
      <c r="L150" s="275">
        <f t="shared" ref="L150:M150" si="49">hundred*L97*$H69*L84/$H41/days_in_year/(1+$H27)*PowerFactor</f>
        <v>0</v>
      </c>
      <c r="M150" s="275">
        <f t="shared" si="49"/>
        <v>0</v>
      </c>
      <c r="N150" s="275">
        <f t="shared" ref="N150:P150" si="50">hundred*N97*$H69*N84/$H41/days_in_year/(1+$H27)*PowerFactor</f>
        <v>0</v>
      </c>
      <c r="O150" s="275">
        <f t="shared" si="50"/>
        <v>0</v>
      </c>
      <c r="P150" s="275">
        <f t="shared" si="50"/>
        <v>0.19809029550291385</v>
      </c>
      <c r="Q150" s="275">
        <f t="shared" ref="Q150" si="51">hundred*Q97*$H69*Q84/$H41/days_in_year/(1+$H27)*PowerFactor</f>
        <v>0</v>
      </c>
      <c r="R150" s="279"/>
      <c r="S150" s="279"/>
      <c r="T150" s="279"/>
      <c r="U150" s="279"/>
      <c r="V150" s="279"/>
      <c r="W150" s="279"/>
      <c r="X150" s="279"/>
      <c r="Y150" s="279"/>
    </row>
    <row r="151" spans="3:27" x14ac:dyDescent="0.25">
      <c r="C151" s="86"/>
      <c r="F151" s="293" t="s">
        <v>47</v>
      </c>
      <c r="G151" s="293" t="s">
        <v>251</v>
      </c>
      <c r="J151" s="275">
        <f t="shared" ref="J151:K151" si="52">hundred*J98*$H70*J85/$H42/days_in_year/(1+$H28)*PowerFactor</f>
        <v>0</v>
      </c>
      <c r="K151" s="275">
        <f t="shared" si="52"/>
        <v>0</v>
      </c>
      <c r="L151" s="275">
        <f t="shared" ref="L151:M151" si="53">hundred*L98*$H70*L85/$H42/days_in_year/(1+$H28)*PowerFactor</f>
        <v>0</v>
      </c>
      <c r="M151" s="275">
        <f t="shared" si="53"/>
        <v>0</v>
      </c>
      <c r="N151" s="275">
        <f t="shared" ref="N151:P151" si="54">hundred*N98*$H70*N85/$H42/days_in_year/(1+$H28)*PowerFactor</f>
        <v>0</v>
      </c>
      <c r="O151" s="275">
        <f t="shared" si="54"/>
        <v>0</v>
      </c>
      <c r="P151" s="275">
        <f t="shared" si="54"/>
        <v>0.70073665171624944</v>
      </c>
      <c r="Q151" s="275">
        <f t="shared" ref="Q151" si="55">hundred*Q98*$H70*Q85/$H42/days_in_year/(1+$H28)*PowerFactor</f>
        <v>0</v>
      </c>
      <c r="R151" s="279"/>
      <c r="S151" s="279"/>
      <c r="T151" s="279"/>
      <c r="U151" s="279"/>
      <c r="V151" s="279"/>
      <c r="W151" s="279"/>
      <c r="X151" s="279"/>
      <c r="Y151" s="279"/>
    </row>
    <row r="152" spans="3:27" x14ac:dyDescent="0.25">
      <c r="C152" s="86"/>
      <c r="F152" s="293" t="s">
        <v>51</v>
      </c>
      <c r="G152" s="293" t="s">
        <v>251</v>
      </c>
      <c r="J152" s="275">
        <f t="shared" ref="J152:K152" si="56">hundred*J99*$H71*J86/$H43/days_in_year/(1+$H29)*PowerFactor</f>
        <v>0</v>
      </c>
      <c r="K152" s="275">
        <f t="shared" si="56"/>
        <v>0</v>
      </c>
      <c r="L152" s="275">
        <f t="shared" ref="L152:M152" si="57">hundred*L99*$H71*L86/$H43/days_in_year/(1+$H29)*PowerFactor</f>
        <v>0</v>
      </c>
      <c r="M152" s="275">
        <f t="shared" si="57"/>
        <v>0</v>
      </c>
      <c r="N152" s="275">
        <f t="shared" ref="N152:P152" si="58">hundred*N99*$H71*N86/$H43/days_in_year/(1+$H29)*PowerFactor</f>
        <v>0</v>
      </c>
      <c r="O152" s="275">
        <f t="shared" si="58"/>
        <v>0</v>
      </c>
      <c r="P152" s="275">
        <f t="shared" si="58"/>
        <v>0</v>
      </c>
      <c r="Q152" s="275">
        <f t="shared" ref="Q152" si="59">hundred*Q99*$H71*Q86/$H43/days_in_year/(1+$H29)*PowerFactor</f>
        <v>0</v>
      </c>
      <c r="R152" s="279"/>
      <c r="S152" s="279"/>
      <c r="T152" s="279"/>
      <c r="U152" s="279"/>
      <c r="V152" s="279"/>
      <c r="W152" s="279"/>
      <c r="X152" s="279"/>
      <c r="Y152" s="279"/>
    </row>
    <row r="153" spans="3:27" x14ac:dyDescent="0.25">
      <c r="C153" s="86"/>
      <c r="F153" s="293" t="s">
        <v>48</v>
      </c>
      <c r="G153" s="293" t="s">
        <v>251</v>
      </c>
      <c r="J153" s="275">
        <f t="shared" ref="J153:K153" si="60">hundred*J100*$H72*J87/$H44/days_in_year/(1+$H30)*PowerFactor</f>
        <v>0</v>
      </c>
      <c r="K153" s="275">
        <f t="shared" si="60"/>
        <v>0</v>
      </c>
      <c r="L153" s="275">
        <f t="shared" ref="L153:M153" si="61">hundred*L100*$H72*L87/$H44/days_in_year/(1+$H30)*PowerFactor</f>
        <v>0</v>
      </c>
      <c r="M153" s="275">
        <f t="shared" si="61"/>
        <v>0</v>
      </c>
      <c r="N153" s="275">
        <f t="shared" ref="N153:P153" si="62">hundred*N100*$H72*N87/$H44/days_in_year/(1+$H30)*PowerFactor</f>
        <v>0.35005212953161247</v>
      </c>
      <c r="O153" s="275">
        <f t="shared" si="62"/>
        <v>1.6794780479365963</v>
      </c>
      <c r="P153" s="275">
        <f t="shared" si="62"/>
        <v>1.6553476162133696</v>
      </c>
      <c r="Q153" s="275">
        <f t="shared" ref="Q153" si="63">hundred*Q100*$H72*Q87/$H44/days_in_year/(1+$H30)*PowerFactor</f>
        <v>0</v>
      </c>
      <c r="R153" s="279"/>
      <c r="S153" s="279"/>
      <c r="T153" s="279"/>
      <c r="U153" s="279"/>
      <c r="V153" s="279"/>
      <c r="W153" s="279"/>
      <c r="X153" s="279"/>
      <c r="Y153" s="279"/>
    </row>
    <row r="154" spans="3:27" x14ac:dyDescent="0.25">
      <c r="C154" s="86"/>
      <c r="F154" s="293" t="s">
        <v>49</v>
      </c>
      <c r="G154" s="293" t="s">
        <v>251</v>
      </c>
      <c r="J154" s="275">
        <f t="shared" ref="J154:K154" si="64">hundred*J101*$H73*J88/$H45/days_in_year/(1+$H31)*PowerFactor</f>
        <v>0</v>
      </c>
      <c r="K154" s="275">
        <f t="shared" si="64"/>
        <v>0</v>
      </c>
      <c r="L154" s="275">
        <f t="shared" ref="L154:M154" si="65">hundred*L101*$H73*L88/$H45/days_in_year/(1+$H31)*PowerFactor</f>
        <v>0</v>
      </c>
      <c r="M154" s="275">
        <f t="shared" si="65"/>
        <v>0</v>
      </c>
      <c r="N154" s="275">
        <f t="shared" ref="N154:P154" si="66">hundred*N101*$H73*N88/$H45/days_in_year/(1+$H31)*PowerFactor</f>
        <v>0.65981286775723891</v>
      </c>
      <c r="O154" s="275">
        <f t="shared" si="66"/>
        <v>0.63312925913470353</v>
      </c>
      <c r="P154" s="275">
        <f t="shared" si="66"/>
        <v>0</v>
      </c>
      <c r="Q154" s="275">
        <f t="shared" ref="Q154" si="67">hundred*Q101*$H73*Q88/$H45/days_in_year/(1+$H31)*PowerFactor</f>
        <v>0</v>
      </c>
      <c r="R154" s="279"/>
      <c r="S154" s="279"/>
      <c r="T154" s="279"/>
      <c r="U154" s="279"/>
      <c r="V154" s="279"/>
      <c r="W154" s="279"/>
      <c r="X154" s="279"/>
      <c r="Y154" s="279"/>
    </row>
    <row r="155" spans="3:27" x14ac:dyDescent="0.25">
      <c r="C155" s="86"/>
      <c r="F155" s="293" t="s">
        <v>50</v>
      </c>
      <c r="G155" s="293" t="s">
        <v>251</v>
      </c>
      <c r="J155" s="275">
        <f t="shared" ref="J155:K155" si="68">hundred*J102*$H74*J89/$H46/days_in_year/(1+$H32)*PowerFactor</f>
        <v>1.4512853251373385</v>
      </c>
      <c r="K155" s="275">
        <f t="shared" si="68"/>
        <v>1.4512853251373385</v>
      </c>
      <c r="L155" s="275">
        <f t="shared" ref="L155:M155" si="69">hundred*L102*$H74*L89/$H46/days_in_year/(1+$H32)*PowerFactor</f>
        <v>1.4512853251373385</v>
      </c>
      <c r="M155" s="275">
        <f t="shared" si="69"/>
        <v>1.4512853251373385</v>
      </c>
      <c r="N155" s="275">
        <f t="shared" ref="N155:P155" si="70">hundred*N102*$H74*N89/$H46/days_in_year/(1+$H32)*PowerFactor</f>
        <v>1.4512853251373385</v>
      </c>
      <c r="O155" s="275">
        <f t="shared" si="70"/>
        <v>0</v>
      </c>
      <c r="P155" s="275">
        <f t="shared" si="70"/>
        <v>0</v>
      </c>
      <c r="Q155" s="275">
        <f t="shared" ref="Q155" si="71">hundred*Q102*$H74*Q89/$H46/days_in_year/(1+$H32)*PowerFactor</f>
        <v>0</v>
      </c>
      <c r="R155" s="279"/>
      <c r="S155" s="279"/>
      <c r="T155" s="279"/>
      <c r="U155" s="279"/>
      <c r="V155" s="279"/>
      <c r="W155" s="279"/>
      <c r="X155" s="279"/>
      <c r="Y155" s="279"/>
    </row>
    <row r="156" spans="3:27" x14ac:dyDescent="0.25">
      <c r="C156" s="86"/>
      <c r="D156" s="293"/>
      <c r="F156" s="293" t="s">
        <v>124</v>
      </c>
      <c r="G156" s="293" t="s">
        <v>251</v>
      </c>
      <c r="J156" s="279"/>
      <c r="K156" s="279"/>
      <c r="L156" s="279"/>
      <c r="M156" s="279"/>
      <c r="N156" s="279"/>
      <c r="O156" s="279"/>
      <c r="P156" s="279"/>
      <c r="Q156" s="279"/>
      <c r="R156" s="279"/>
      <c r="S156" s="279"/>
      <c r="T156" s="279"/>
      <c r="U156" s="279"/>
      <c r="V156" s="279"/>
      <c r="W156" s="279"/>
      <c r="X156" s="279"/>
      <c r="Y156" s="279"/>
    </row>
    <row r="157" spans="3:27" x14ac:dyDescent="0.25">
      <c r="C157" s="86"/>
      <c r="D157" s="293"/>
      <c r="F157" s="93" t="s">
        <v>123</v>
      </c>
      <c r="G157" s="93" t="s">
        <v>251</v>
      </c>
      <c r="H157" s="93"/>
      <c r="I157" s="93"/>
      <c r="J157" s="240"/>
      <c r="K157" s="240"/>
      <c r="L157" s="240"/>
      <c r="M157" s="240"/>
      <c r="N157" s="240"/>
      <c r="O157" s="240"/>
      <c r="P157" s="240"/>
      <c r="Q157" s="240"/>
      <c r="R157" s="240"/>
      <c r="S157" s="240"/>
      <c r="T157" s="240"/>
      <c r="U157" s="240"/>
      <c r="V157" s="240"/>
      <c r="W157" s="240"/>
      <c r="X157" s="240"/>
      <c r="Y157" s="240"/>
    </row>
    <row r="158" spans="3:27" x14ac:dyDescent="0.25">
      <c r="C158" s="86"/>
      <c r="J158" s="275"/>
      <c r="K158" s="275"/>
      <c r="L158" s="275"/>
      <c r="M158" s="275"/>
      <c r="N158" s="275"/>
      <c r="O158" s="275"/>
      <c r="P158" s="275"/>
      <c r="Q158" s="275"/>
      <c r="R158" s="275"/>
      <c r="S158" s="275"/>
      <c r="T158" s="275"/>
      <c r="U158" s="275"/>
      <c r="V158" s="275"/>
      <c r="W158" s="275"/>
      <c r="X158" s="275"/>
      <c r="Y158" s="275"/>
    </row>
    <row r="159" spans="3:27" x14ac:dyDescent="0.25">
      <c r="C159" s="7" t="str">
        <f ca="1">INDEX('Version control'!$H$35:$H$61,MATCH($A$1,'Version control'!$F$35:$F$61,0),1)&amp;"-C: Exceeded capacity-based charge elements"</f>
        <v>Section 515-C: Exceeded capacity-based charge elements</v>
      </c>
      <c r="D159" s="7"/>
      <c r="E159" s="7"/>
      <c r="F159" s="7"/>
      <c r="G159" s="7"/>
      <c r="H159" s="7"/>
      <c r="I159" s="7"/>
      <c r="J159" s="242"/>
      <c r="K159" s="242"/>
      <c r="L159" s="242"/>
      <c r="M159" s="242"/>
      <c r="N159" s="242"/>
      <c r="O159" s="242"/>
      <c r="P159" s="242"/>
      <c r="Q159" s="242"/>
      <c r="R159" s="242"/>
      <c r="S159" s="242"/>
      <c r="T159" s="242"/>
      <c r="U159" s="242"/>
      <c r="V159" s="242"/>
      <c r="W159" s="242"/>
      <c r="X159" s="242"/>
      <c r="Y159" s="242"/>
      <c r="Z159" s="7"/>
      <c r="AA159" s="7"/>
    </row>
    <row r="160" spans="3:27" x14ac:dyDescent="0.25">
      <c r="J160" s="252"/>
      <c r="K160" s="252"/>
      <c r="L160" s="252"/>
      <c r="M160" s="252"/>
      <c r="N160" s="252"/>
      <c r="O160" s="252"/>
      <c r="P160" s="252"/>
      <c r="Q160" s="252"/>
      <c r="R160" s="252"/>
      <c r="S160" s="252"/>
      <c r="T160" s="252"/>
      <c r="U160" s="252"/>
      <c r="V160" s="252"/>
      <c r="W160" s="252"/>
      <c r="X160" s="252"/>
      <c r="Y160" s="252"/>
    </row>
    <row r="161" spans="3:25" x14ac:dyDescent="0.25">
      <c r="C161" s="86"/>
      <c r="E161" s="96" t="s">
        <v>139</v>
      </c>
      <c r="J161" s="252"/>
      <c r="K161" s="252"/>
      <c r="L161" s="252"/>
      <c r="M161" s="252"/>
      <c r="N161" s="252"/>
      <c r="O161" s="252"/>
      <c r="P161" s="252"/>
      <c r="Q161" s="252"/>
      <c r="R161" s="252"/>
      <c r="S161" s="252"/>
      <c r="T161" s="252"/>
      <c r="U161" s="252"/>
      <c r="V161" s="252"/>
      <c r="W161" s="252"/>
      <c r="X161" s="252"/>
      <c r="Y161" s="252"/>
    </row>
    <row r="162" spans="3:25" x14ac:dyDescent="0.25">
      <c r="C162" s="86"/>
      <c r="F162" s="91" t="s">
        <v>267</v>
      </c>
      <c r="G162" s="91" t="s">
        <v>251</v>
      </c>
      <c r="H162" s="91"/>
      <c r="I162" s="91"/>
      <c r="J162" s="238"/>
      <c r="K162" s="238"/>
      <c r="L162" s="238"/>
      <c r="M162" s="238"/>
      <c r="N162" s="238"/>
      <c r="O162" s="238"/>
      <c r="P162" s="238"/>
      <c r="Q162" s="238"/>
      <c r="R162" s="238"/>
      <c r="S162" s="238"/>
      <c r="T162" s="238"/>
      <c r="U162" s="238"/>
      <c r="V162" s="238"/>
      <c r="W162" s="238"/>
      <c r="X162" s="238"/>
      <c r="Y162" s="238"/>
    </row>
    <row r="163" spans="3:25" x14ac:dyDescent="0.25">
      <c r="C163" s="86"/>
      <c r="F163" s="293" t="s">
        <v>43</v>
      </c>
      <c r="G163" s="293" t="s">
        <v>251</v>
      </c>
      <c r="J163" s="279"/>
      <c r="K163" s="279"/>
      <c r="L163" s="279"/>
      <c r="M163" s="279"/>
      <c r="N163" s="279"/>
      <c r="O163" s="279"/>
      <c r="P163" s="279"/>
      <c r="Q163" s="279"/>
      <c r="R163" s="279"/>
      <c r="S163" s="279"/>
      <c r="T163" s="279"/>
      <c r="U163" s="279"/>
      <c r="V163" s="279"/>
      <c r="W163" s="279"/>
      <c r="X163" s="279"/>
      <c r="Y163" s="279"/>
    </row>
    <row r="164" spans="3:25" x14ac:dyDescent="0.25">
      <c r="C164" s="86"/>
      <c r="F164" s="293" t="s">
        <v>44</v>
      </c>
      <c r="G164" s="293" t="s">
        <v>251</v>
      </c>
      <c r="J164" s="275">
        <f t="shared" ref="J164:K164" si="72">hundred*J95*$H53*J82/$H39/days_in_year/(1+$H25)*PowerFactor</f>
        <v>0</v>
      </c>
      <c r="K164" s="275">
        <f t="shared" si="72"/>
        <v>0</v>
      </c>
      <c r="L164" s="275">
        <f t="shared" ref="L164:M164" si="73">hundred*L95*$H53*L82/$H39/days_in_year/(1+$H25)*PowerFactor</f>
        <v>0</v>
      </c>
      <c r="M164" s="275">
        <f t="shared" si="73"/>
        <v>0</v>
      </c>
      <c r="N164" s="275">
        <f t="shared" ref="N164:P164" si="74">hundred*N95*$H53*N82/$H39/days_in_year/(1+$H25)*PowerFactor</f>
        <v>0</v>
      </c>
      <c r="O164" s="275">
        <f t="shared" si="74"/>
        <v>0</v>
      </c>
      <c r="P164" s="275">
        <f t="shared" si="74"/>
        <v>0</v>
      </c>
      <c r="Q164" s="275">
        <f t="shared" ref="Q164" si="75">hundred*Q95*$H53*Q82/$H39/days_in_year/(1+$H25)*PowerFactor</f>
        <v>0</v>
      </c>
      <c r="R164" s="279"/>
      <c r="S164" s="279"/>
      <c r="T164" s="279"/>
      <c r="U164" s="279"/>
      <c r="V164" s="279"/>
      <c r="W164" s="279"/>
      <c r="X164" s="279"/>
      <c r="Y164" s="279"/>
    </row>
    <row r="165" spans="3:25" x14ac:dyDescent="0.25">
      <c r="C165" s="86"/>
      <c r="F165" s="293" t="s">
        <v>45</v>
      </c>
      <c r="G165" s="293" t="s">
        <v>251</v>
      </c>
      <c r="J165" s="275">
        <f t="shared" ref="J165:K165" si="76">hundred*J96*$H54*J83/$H40/days_in_year/(1+$H26)*PowerFactor</f>
        <v>0</v>
      </c>
      <c r="K165" s="275">
        <f t="shared" si="76"/>
        <v>0</v>
      </c>
      <c r="L165" s="275">
        <f t="shared" ref="L165:M165" si="77">hundred*L96*$H54*L83/$H40/days_in_year/(1+$H26)*PowerFactor</f>
        <v>0</v>
      </c>
      <c r="M165" s="275">
        <f t="shared" si="77"/>
        <v>0</v>
      </c>
      <c r="N165" s="275">
        <f t="shared" ref="N165:P165" si="78">hundred*N96*$H54*N83/$H40/days_in_year/(1+$H26)*PowerFactor</f>
        <v>0</v>
      </c>
      <c r="O165" s="275">
        <f t="shared" si="78"/>
        <v>0</v>
      </c>
      <c r="P165" s="275">
        <f t="shared" si="78"/>
        <v>0</v>
      </c>
      <c r="Q165" s="275">
        <f t="shared" ref="Q165" si="79">hundred*Q96*$H54*Q83/$H40/days_in_year/(1+$H26)*PowerFactor</f>
        <v>0</v>
      </c>
      <c r="R165" s="279"/>
      <c r="S165" s="279"/>
      <c r="T165" s="279"/>
      <c r="U165" s="279"/>
      <c r="V165" s="279"/>
      <c r="W165" s="279"/>
      <c r="X165" s="279"/>
      <c r="Y165" s="279"/>
    </row>
    <row r="166" spans="3:25" x14ac:dyDescent="0.25">
      <c r="C166" s="86"/>
      <c r="F166" s="293" t="s">
        <v>46</v>
      </c>
      <c r="G166" s="293" t="s">
        <v>251</v>
      </c>
      <c r="J166" s="275">
        <f t="shared" ref="J166:K166" si="80">hundred*J97*$H55*J84/$H41/days_in_year/(1+$H27)*PowerFactor</f>
        <v>0</v>
      </c>
      <c r="K166" s="275">
        <f t="shared" si="80"/>
        <v>0</v>
      </c>
      <c r="L166" s="275">
        <f t="shared" ref="L166:M166" si="81">hundred*L97*$H55*L84/$H41/days_in_year/(1+$H27)*PowerFactor</f>
        <v>0</v>
      </c>
      <c r="M166" s="275">
        <f t="shared" si="81"/>
        <v>0</v>
      </c>
      <c r="N166" s="275">
        <f t="shared" ref="N166:P166" si="82">hundred*N97*$H55*N84/$H41/days_in_year/(1+$H27)*PowerFactor</f>
        <v>0</v>
      </c>
      <c r="O166" s="275">
        <f t="shared" si="82"/>
        <v>0</v>
      </c>
      <c r="P166" s="275">
        <f t="shared" si="82"/>
        <v>0.35225963746416283</v>
      </c>
      <c r="Q166" s="275">
        <f t="shared" ref="Q166" si="83">hundred*Q97*$H55*Q84/$H41/days_in_year/(1+$H27)*PowerFactor</f>
        <v>0</v>
      </c>
      <c r="R166" s="279"/>
      <c r="S166" s="279"/>
      <c r="T166" s="279"/>
      <c r="U166" s="279"/>
      <c r="V166" s="279"/>
      <c r="W166" s="279"/>
      <c r="X166" s="279"/>
      <c r="Y166" s="279"/>
    </row>
    <row r="167" spans="3:25" x14ac:dyDescent="0.25">
      <c r="C167" s="86"/>
      <c r="F167" s="293" t="s">
        <v>47</v>
      </c>
      <c r="G167" s="293" t="s">
        <v>251</v>
      </c>
      <c r="J167" s="275">
        <f t="shared" ref="J167:K167" si="84">hundred*J98*$H56*J85/$H42/days_in_year/(1+$H28)*PowerFactor</f>
        <v>0</v>
      </c>
      <c r="K167" s="275">
        <f t="shared" si="84"/>
        <v>0</v>
      </c>
      <c r="L167" s="275">
        <f t="shared" ref="L167:M167" si="85">hundred*L98*$H56*L85/$H42/days_in_year/(1+$H28)*PowerFactor</f>
        <v>0</v>
      </c>
      <c r="M167" s="275">
        <f t="shared" si="85"/>
        <v>0</v>
      </c>
      <c r="N167" s="275">
        <f t="shared" ref="N167:P167" si="86">hundred*N98*$H56*N85/$H42/days_in_year/(1+$H28)*PowerFactor</f>
        <v>0</v>
      </c>
      <c r="O167" s="275">
        <f t="shared" si="86"/>
        <v>0</v>
      </c>
      <c r="P167" s="275">
        <f t="shared" si="86"/>
        <v>1.2461046527530997</v>
      </c>
      <c r="Q167" s="275">
        <f t="shared" ref="Q167" si="87">hundred*Q98*$H56*Q85/$H42/days_in_year/(1+$H28)*PowerFactor</f>
        <v>0</v>
      </c>
      <c r="R167" s="279"/>
      <c r="S167" s="279"/>
      <c r="T167" s="279"/>
      <c r="U167" s="279"/>
      <c r="V167" s="279"/>
      <c r="W167" s="279"/>
      <c r="X167" s="279"/>
      <c r="Y167" s="279"/>
    </row>
    <row r="168" spans="3:25" x14ac:dyDescent="0.25">
      <c r="C168" s="86"/>
      <c r="F168" s="293" t="s">
        <v>51</v>
      </c>
      <c r="G168" s="293" t="s">
        <v>251</v>
      </c>
      <c r="J168" s="275">
        <f t="shared" ref="J168:K168" si="88">hundred*J99*$H57*J86/$H43/days_in_year/(1+$H29)*PowerFactor</f>
        <v>0</v>
      </c>
      <c r="K168" s="275">
        <f t="shared" si="88"/>
        <v>0</v>
      </c>
      <c r="L168" s="275">
        <f t="shared" ref="L168:M168" si="89">hundred*L99*$H57*L86/$H43/days_in_year/(1+$H29)*PowerFactor</f>
        <v>0</v>
      </c>
      <c r="M168" s="275">
        <f t="shared" si="89"/>
        <v>0</v>
      </c>
      <c r="N168" s="275">
        <f t="shared" ref="N168:P168" si="90">hundred*N99*$H57*N86/$H43/days_in_year/(1+$H29)*PowerFactor</f>
        <v>0</v>
      </c>
      <c r="O168" s="275">
        <f t="shared" si="90"/>
        <v>0</v>
      </c>
      <c r="P168" s="275">
        <f t="shared" si="90"/>
        <v>0</v>
      </c>
      <c r="Q168" s="275">
        <f t="shared" ref="Q168" si="91">hundred*Q99*$H57*Q86/$H43/days_in_year/(1+$H29)*PowerFactor</f>
        <v>0</v>
      </c>
      <c r="R168" s="279"/>
      <c r="S168" s="279"/>
      <c r="T168" s="279"/>
      <c r="U168" s="279"/>
      <c r="V168" s="279"/>
      <c r="W168" s="279"/>
      <c r="X168" s="279"/>
      <c r="Y168" s="279"/>
    </row>
    <row r="169" spans="3:25" x14ac:dyDescent="0.25">
      <c r="C169" s="86"/>
      <c r="F169" s="293" t="s">
        <v>48</v>
      </c>
      <c r="G169" s="293" t="s">
        <v>251</v>
      </c>
      <c r="J169" s="275">
        <f t="shared" ref="J169:K169" si="92">hundred*J100*$H58*J87/$H44/days_in_year/(1+$H30)*PowerFactor</f>
        <v>0</v>
      </c>
      <c r="K169" s="275">
        <f t="shared" si="92"/>
        <v>0</v>
      </c>
      <c r="L169" s="275">
        <f t="shared" ref="L169:M169" si="93">hundred*L100*$H58*L87/$H44/days_in_year/(1+$H30)*PowerFactor</f>
        <v>0</v>
      </c>
      <c r="M169" s="275">
        <f t="shared" si="93"/>
        <v>0</v>
      </c>
      <c r="N169" s="275">
        <f t="shared" ref="N169:P169" si="94">hundred*N100*$H58*N87/$H44/days_in_year/(1+$H30)*PowerFactor</f>
        <v>0.62249004136878627</v>
      </c>
      <c r="O169" s="275">
        <f t="shared" si="94"/>
        <v>2.986579058773037</v>
      </c>
      <c r="P169" s="275">
        <f t="shared" si="94"/>
        <v>2.9436684401125044</v>
      </c>
      <c r="Q169" s="275">
        <f t="shared" ref="Q169" si="95">hundred*Q100*$H58*Q87/$H44/days_in_year/(1+$H30)*PowerFactor</f>
        <v>0</v>
      </c>
      <c r="R169" s="279"/>
      <c r="S169" s="279"/>
      <c r="T169" s="279"/>
      <c r="U169" s="279"/>
      <c r="V169" s="279"/>
      <c r="W169" s="279"/>
      <c r="X169" s="279"/>
      <c r="Y169" s="279"/>
    </row>
    <row r="170" spans="3:25" x14ac:dyDescent="0.25">
      <c r="C170" s="86"/>
      <c r="F170" s="293" t="s">
        <v>49</v>
      </c>
      <c r="G170" s="293" t="s">
        <v>251</v>
      </c>
      <c r="J170" s="275">
        <f t="shared" ref="J170:K170" si="96">hundred*J101*$H59*J88/$H45/days_in_year/(1+$H31)*PowerFactor</f>
        <v>0</v>
      </c>
      <c r="K170" s="275">
        <f t="shared" si="96"/>
        <v>0</v>
      </c>
      <c r="L170" s="275">
        <f t="shared" ref="L170:M170" si="97">hundred*L101*$H59*L88/$H45/days_in_year/(1+$H31)*PowerFactor</f>
        <v>0</v>
      </c>
      <c r="M170" s="275">
        <f t="shared" si="97"/>
        <v>0</v>
      </c>
      <c r="N170" s="275">
        <f t="shared" ref="N170:P170" si="98">hundred*N101*$H59*N88/$H45/days_in_year/(1+$H31)*PowerFactor</f>
        <v>1.1733307833191438</v>
      </c>
      <c r="O170" s="275">
        <f t="shared" si="98"/>
        <v>1.1258799060525606</v>
      </c>
      <c r="P170" s="275">
        <f t="shared" si="98"/>
        <v>0</v>
      </c>
      <c r="Q170" s="275">
        <f t="shared" ref="Q170" si="99">hundred*Q101*$H59*Q88/$H45/days_in_year/(1+$H31)*PowerFactor</f>
        <v>0</v>
      </c>
      <c r="R170" s="279"/>
      <c r="S170" s="279"/>
      <c r="T170" s="279"/>
      <c r="U170" s="279"/>
      <c r="V170" s="279"/>
      <c r="W170" s="279"/>
      <c r="X170" s="279"/>
      <c r="Y170" s="279"/>
    </row>
    <row r="171" spans="3:25" x14ac:dyDescent="0.25">
      <c r="C171" s="86"/>
      <c r="F171" s="293" t="s">
        <v>50</v>
      </c>
      <c r="G171" s="293" t="s">
        <v>251</v>
      </c>
      <c r="J171" s="275">
        <f t="shared" ref="J171:K171" si="100">hundred*J102*$H60*J89/$H46/days_in_year/(1+$H32)*PowerFactor</f>
        <v>2.5807889336124412</v>
      </c>
      <c r="K171" s="275">
        <f t="shared" si="100"/>
        <v>2.5807889336124412</v>
      </c>
      <c r="L171" s="275">
        <f t="shared" ref="L171:M171" si="101">hundred*L102*$H60*L89/$H46/days_in_year/(1+$H32)*PowerFactor</f>
        <v>2.5807889336124412</v>
      </c>
      <c r="M171" s="275">
        <f t="shared" si="101"/>
        <v>2.5807889336124412</v>
      </c>
      <c r="N171" s="275">
        <f t="shared" ref="N171:P171" si="102">hundred*N102*$H60*N89/$H46/days_in_year/(1+$H32)*PowerFactor</f>
        <v>2.5807889336124412</v>
      </c>
      <c r="O171" s="275">
        <f t="shared" si="102"/>
        <v>0</v>
      </c>
      <c r="P171" s="275">
        <f t="shared" si="102"/>
        <v>0</v>
      </c>
      <c r="Q171" s="275">
        <f t="shared" ref="Q171" si="103">hundred*Q102*$H60*Q89/$H46/days_in_year/(1+$H32)*PowerFactor</f>
        <v>0</v>
      </c>
      <c r="R171" s="279"/>
      <c r="S171" s="279"/>
      <c r="T171" s="279"/>
      <c r="U171" s="279"/>
      <c r="V171" s="279"/>
      <c r="W171" s="279"/>
      <c r="X171" s="279"/>
      <c r="Y171" s="279"/>
    </row>
    <row r="172" spans="3:25" x14ac:dyDescent="0.25">
      <c r="C172" s="86"/>
      <c r="F172" s="293" t="s">
        <v>124</v>
      </c>
      <c r="G172" s="293" t="s">
        <v>251</v>
      </c>
      <c r="J172" s="279"/>
      <c r="K172" s="279"/>
      <c r="L172" s="279"/>
      <c r="M172" s="279"/>
      <c r="N172" s="279"/>
      <c r="O172" s="279"/>
      <c r="P172" s="279"/>
      <c r="Q172" s="279"/>
      <c r="R172" s="279"/>
      <c r="S172" s="279"/>
      <c r="T172" s="279"/>
      <c r="U172" s="279"/>
      <c r="V172" s="279"/>
      <c r="W172" s="279"/>
      <c r="X172" s="279"/>
      <c r="Y172" s="279"/>
    </row>
    <row r="173" spans="3:25" x14ac:dyDescent="0.25">
      <c r="C173" s="86"/>
      <c r="F173" s="93" t="s">
        <v>123</v>
      </c>
      <c r="G173" s="93" t="s">
        <v>251</v>
      </c>
      <c r="H173" s="93"/>
      <c r="I173" s="93"/>
      <c r="J173" s="240"/>
      <c r="K173" s="240"/>
      <c r="L173" s="240"/>
      <c r="M173" s="240"/>
      <c r="N173" s="240"/>
      <c r="O173" s="240"/>
      <c r="P173" s="240"/>
      <c r="Q173" s="240"/>
      <c r="R173" s="240"/>
      <c r="S173" s="240"/>
      <c r="T173" s="240"/>
      <c r="U173" s="240"/>
      <c r="V173" s="240"/>
      <c r="W173" s="240"/>
      <c r="X173" s="240"/>
      <c r="Y173" s="240"/>
    </row>
    <row r="174" spans="3:25" x14ac:dyDescent="0.25">
      <c r="C174" s="86"/>
      <c r="D174" s="293"/>
      <c r="J174" s="252"/>
      <c r="K174" s="252"/>
      <c r="L174" s="252"/>
      <c r="M174" s="252"/>
      <c r="N174" s="252"/>
      <c r="O174" s="252"/>
      <c r="P174" s="252"/>
      <c r="Q174" s="252"/>
      <c r="R174" s="252"/>
      <c r="S174" s="252"/>
      <c r="T174" s="252"/>
      <c r="U174" s="252"/>
      <c r="V174" s="252"/>
      <c r="W174" s="252"/>
      <c r="X174" s="252"/>
      <c r="Y174" s="252"/>
    </row>
    <row r="175" spans="3:25" x14ac:dyDescent="0.25">
      <c r="C175" s="86"/>
      <c r="E175" s="96" t="s">
        <v>116</v>
      </c>
      <c r="J175" s="252"/>
      <c r="K175" s="252"/>
      <c r="L175" s="252"/>
      <c r="M175" s="252"/>
      <c r="N175" s="252"/>
      <c r="O175" s="252"/>
      <c r="P175" s="252"/>
      <c r="Q175" s="252"/>
      <c r="R175" s="252"/>
      <c r="S175" s="252"/>
      <c r="T175" s="252"/>
      <c r="U175" s="252"/>
      <c r="V175" s="252"/>
      <c r="W175" s="252"/>
      <c r="X175" s="252"/>
      <c r="Y175" s="252"/>
    </row>
    <row r="176" spans="3:25" x14ac:dyDescent="0.25">
      <c r="C176" s="86"/>
      <c r="F176" s="91" t="s">
        <v>267</v>
      </c>
      <c r="G176" s="91" t="s">
        <v>251</v>
      </c>
      <c r="H176" s="91"/>
      <c r="I176" s="91"/>
      <c r="J176" s="270">
        <f t="shared" ref="J176:K176" si="104">hundred*J94*$H65*J80/$H37/days_in_year/(1+$H23)*PowerFactor</f>
        <v>0</v>
      </c>
      <c r="K176" s="270">
        <f t="shared" si="104"/>
        <v>0</v>
      </c>
      <c r="L176" s="270">
        <f t="shared" ref="L176:M176" si="105">hundred*L94*$H65*L80/$H37/days_in_year/(1+$H23)*PowerFactor</f>
        <v>0</v>
      </c>
      <c r="M176" s="270">
        <f t="shared" si="105"/>
        <v>0</v>
      </c>
      <c r="N176" s="270">
        <f t="shared" ref="N176:P176" si="106">hundred*N94*$H65*N80/$H37/days_in_year/(1+$H23)*PowerFactor</f>
        <v>0</v>
      </c>
      <c r="O176" s="270">
        <f t="shared" si="106"/>
        <v>0</v>
      </c>
      <c r="P176" s="270">
        <f t="shared" si="106"/>
        <v>0</v>
      </c>
      <c r="Q176" s="270">
        <f t="shared" ref="Q176" si="107">hundred*Q94*$H65*Q80/$H37/days_in_year/(1+$H23)*PowerFactor</f>
        <v>0</v>
      </c>
      <c r="R176" s="238"/>
      <c r="S176" s="238"/>
      <c r="T176" s="238"/>
      <c r="U176" s="238"/>
      <c r="V176" s="238"/>
      <c r="W176" s="238"/>
      <c r="X176" s="238"/>
      <c r="Y176" s="238"/>
    </row>
    <row r="177" spans="3:27" x14ac:dyDescent="0.25">
      <c r="C177" s="86"/>
      <c r="F177" s="293" t="s">
        <v>43</v>
      </c>
      <c r="G177" s="293" t="s">
        <v>251</v>
      </c>
      <c r="J177" s="275">
        <f t="shared" ref="J177:K177" si="108">hundred*J94*$H66*J81/$H38/days_in_year/(1+$H24)*PowerFactor</f>
        <v>0</v>
      </c>
      <c r="K177" s="275">
        <f t="shared" si="108"/>
        <v>0</v>
      </c>
      <c r="L177" s="275">
        <f t="shared" ref="L177:M177" si="109">hundred*L94*$H66*L81/$H38/days_in_year/(1+$H24)*PowerFactor</f>
        <v>0</v>
      </c>
      <c r="M177" s="275">
        <f t="shared" si="109"/>
        <v>0</v>
      </c>
      <c r="N177" s="275">
        <f t="shared" ref="N177:P177" si="110">hundred*N94*$H66*N81/$H38/days_in_year/(1+$H24)*PowerFactor</f>
        <v>0</v>
      </c>
      <c r="O177" s="275">
        <f t="shared" si="110"/>
        <v>0</v>
      </c>
      <c r="P177" s="275">
        <f t="shared" si="110"/>
        <v>0</v>
      </c>
      <c r="Q177" s="275">
        <f t="shared" ref="Q177" si="111">hundred*Q94*$H66*Q81/$H38/days_in_year/(1+$H24)*PowerFactor</f>
        <v>0</v>
      </c>
      <c r="R177" s="279"/>
      <c r="S177" s="279"/>
      <c r="T177" s="279"/>
      <c r="U177" s="279"/>
      <c r="V177" s="279"/>
      <c r="W177" s="279"/>
      <c r="X177" s="279"/>
      <c r="Y177" s="279"/>
    </row>
    <row r="178" spans="3:27" x14ac:dyDescent="0.25">
      <c r="C178" s="86"/>
      <c r="F178" s="293" t="s">
        <v>44</v>
      </c>
      <c r="G178" s="293" t="s">
        <v>251</v>
      </c>
      <c r="J178" s="275">
        <f t="shared" ref="J178:K178" si="112">hundred*J95*$H67*J82/$H39/days_in_year/(1+$H25)*PowerFactor</f>
        <v>0</v>
      </c>
      <c r="K178" s="275">
        <f t="shared" si="112"/>
        <v>0</v>
      </c>
      <c r="L178" s="275">
        <f t="shared" ref="L178:M178" si="113">hundred*L95*$H67*L82/$H39/days_in_year/(1+$H25)*PowerFactor</f>
        <v>0</v>
      </c>
      <c r="M178" s="275">
        <f t="shared" si="113"/>
        <v>0</v>
      </c>
      <c r="N178" s="275">
        <f t="shared" ref="N178:P178" si="114">hundred*N95*$H67*N82/$H39/days_in_year/(1+$H25)*PowerFactor</f>
        <v>0</v>
      </c>
      <c r="O178" s="275">
        <f t="shared" si="114"/>
        <v>0</v>
      </c>
      <c r="P178" s="275">
        <f t="shared" si="114"/>
        <v>0</v>
      </c>
      <c r="Q178" s="275">
        <f t="shared" ref="Q178" si="115">hundred*Q95*$H67*Q82/$H39/days_in_year/(1+$H25)*PowerFactor</f>
        <v>0</v>
      </c>
      <c r="R178" s="279"/>
      <c r="S178" s="279"/>
      <c r="T178" s="279"/>
      <c r="U178" s="279"/>
      <c r="V178" s="279"/>
      <c r="W178" s="279"/>
      <c r="X178" s="279"/>
      <c r="Y178" s="279"/>
    </row>
    <row r="179" spans="3:27" x14ac:dyDescent="0.25">
      <c r="C179" s="86"/>
      <c r="F179" s="293" t="s">
        <v>45</v>
      </c>
      <c r="G179" s="293" t="s">
        <v>251</v>
      </c>
      <c r="J179" s="275">
        <f t="shared" ref="J179:K179" si="116">hundred*J96*$H68*J83/$H40/days_in_year/(1+$H26)*PowerFactor</f>
        <v>0</v>
      </c>
      <c r="K179" s="275">
        <f t="shared" si="116"/>
        <v>0</v>
      </c>
      <c r="L179" s="275">
        <f t="shared" ref="L179:M179" si="117">hundred*L96*$H68*L83/$H40/days_in_year/(1+$H26)*PowerFactor</f>
        <v>0</v>
      </c>
      <c r="M179" s="275">
        <f t="shared" si="117"/>
        <v>0</v>
      </c>
      <c r="N179" s="275">
        <f t="shared" ref="N179:P179" si="118">hundred*N96*$H68*N83/$H40/days_in_year/(1+$H26)*PowerFactor</f>
        <v>0</v>
      </c>
      <c r="O179" s="275">
        <f t="shared" si="118"/>
        <v>0</v>
      </c>
      <c r="P179" s="275">
        <f t="shared" si="118"/>
        <v>0</v>
      </c>
      <c r="Q179" s="275">
        <f t="shared" ref="Q179" si="119">hundred*Q96*$H68*Q83/$H40/days_in_year/(1+$H26)*PowerFactor</f>
        <v>0</v>
      </c>
      <c r="R179" s="279"/>
      <c r="S179" s="279"/>
      <c r="T179" s="279"/>
      <c r="U179" s="279"/>
      <c r="V179" s="279"/>
      <c r="W179" s="279"/>
      <c r="X179" s="279"/>
      <c r="Y179" s="279"/>
    </row>
    <row r="180" spans="3:27" x14ac:dyDescent="0.25">
      <c r="C180" s="86"/>
      <c r="F180" s="293" t="s">
        <v>46</v>
      </c>
      <c r="G180" s="293" t="s">
        <v>251</v>
      </c>
      <c r="J180" s="275">
        <f t="shared" ref="J180:K180" si="120">hundred*J97*$H69*J84/$H41/days_in_year/(1+$H27)*PowerFactor</f>
        <v>0</v>
      </c>
      <c r="K180" s="275">
        <f t="shared" si="120"/>
        <v>0</v>
      </c>
      <c r="L180" s="275">
        <f t="shared" ref="L180:M180" si="121">hundred*L97*$H69*L84/$H41/days_in_year/(1+$H27)*PowerFactor</f>
        <v>0</v>
      </c>
      <c r="M180" s="275">
        <f t="shared" si="121"/>
        <v>0</v>
      </c>
      <c r="N180" s="275">
        <f t="shared" ref="N180:P180" si="122">hundred*N97*$H69*N84/$H41/days_in_year/(1+$H27)*PowerFactor</f>
        <v>0</v>
      </c>
      <c r="O180" s="275">
        <f t="shared" si="122"/>
        <v>0</v>
      </c>
      <c r="P180" s="275">
        <f t="shared" si="122"/>
        <v>0.19809029550291385</v>
      </c>
      <c r="Q180" s="275">
        <f t="shared" ref="Q180" si="123">hundred*Q97*$H69*Q84/$H41/days_in_year/(1+$H27)*PowerFactor</f>
        <v>0</v>
      </c>
      <c r="R180" s="279"/>
      <c r="S180" s="279"/>
      <c r="T180" s="279"/>
      <c r="U180" s="279"/>
      <c r="V180" s="279"/>
      <c r="W180" s="279"/>
      <c r="X180" s="279"/>
      <c r="Y180" s="279"/>
    </row>
    <row r="181" spans="3:27" x14ac:dyDescent="0.25">
      <c r="C181" s="86"/>
      <c r="F181" s="293" t="s">
        <v>47</v>
      </c>
      <c r="G181" s="293" t="s">
        <v>251</v>
      </c>
      <c r="J181" s="275">
        <f t="shared" ref="J181:K181" si="124">hundred*J98*$H70*J85/$H42/days_in_year/(1+$H28)*PowerFactor</f>
        <v>0</v>
      </c>
      <c r="K181" s="275">
        <f t="shared" si="124"/>
        <v>0</v>
      </c>
      <c r="L181" s="275">
        <f t="shared" ref="L181:M181" si="125">hundred*L98*$H70*L85/$H42/days_in_year/(1+$H28)*PowerFactor</f>
        <v>0</v>
      </c>
      <c r="M181" s="275">
        <f t="shared" si="125"/>
        <v>0</v>
      </c>
      <c r="N181" s="275">
        <f t="shared" ref="N181:P181" si="126">hundred*N98*$H70*N85/$H42/days_in_year/(1+$H28)*PowerFactor</f>
        <v>0</v>
      </c>
      <c r="O181" s="275">
        <f t="shared" si="126"/>
        <v>0</v>
      </c>
      <c r="P181" s="275">
        <f t="shared" si="126"/>
        <v>0.70073665171624944</v>
      </c>
      <c r="Q181" s="275">
        <f t="shared" ref="Q181" si="127">hundred*Q98*$H70*Q85/$H42/days_in_year/(1+$H28)*PowerFactor</f>
        <v>0</v>
      </c>
      <c r="R181" s="279"/>
      <c r="S181" s="279"/>
      <c r="T181" s="279"/>
      <c r="U181" s="279"/>
      <c r="V181" s="279"/>
      <c r="W181" s="279"/>
      <c r="X181" s="279"/>
      <c r="Y181" s="279"/>
    </row>
    <row r="182" spans="3:27" x14ac:dyDescent="0.25">
      <c r="C182" s="86"/>
      <c r="F182" s="293" t="s">
        <v>51</v>
      </c>
      <c r="G182" s="293" t="s">
        <v>251</v>
      </c>
      <c r="J182" s="275">
        <f t="shared" ref="J182:K182" si="128">hundred*J99*$H71*J86/$H43/days_in_year/(1+$H29)*PowerFactor</f>
        <v>0</v>
      </c>
      <c r="K182" s="275">
        <f t="shared" si="128"/>
        <v>0</v>
      </c>
      <c r="L182" s="275">
        <f t="shared" ref="L182:M182" si="129">hundred*L99*$H71*L86/$H43/days_in_year/(1+$H29)*PowerFactor</f>
        <v>0</v>
      </c>
      <c r="M182" s="275">
        <f t="shared" si="129"/>
        <v>0</v>
      </c>
      <c r="N182" s="275">
        <f t="shared" ref="N182:P182" si="130">hundred*N99*$H71*N86/$H43/days_in_year/(1+$H29)*PowerFactor</f>
        <v>0</v>
      </c>
      <c r="O182" s="275">
        <f t="shared" si="130"/>
        <v>0</v>
      </c>
      <c r="P182" s="275">
        <f t="shared" si="130"/>
        <v>0</v>
      </c>
      <c r="Q182" s="275">
        <f t="shared" ref="Q182" si="131">hundred*Q99*$H71*Q86/$H43/days_in_year/(1+$H29)*PowerFactor</f>
        <v>0</v>
      </c>
      <c r="R182" s="279"/>
      <c r="S182" s="279"/>
      <c r="T182" s="279"/>
      <c r="U182" s="279"/>
      <c r="V182" s="279"/>
      <c r="W182" s="279"/>
      <c r="X182" s="279"/>
      <c r="Y182" s="279"/>
    </row>
    <row r="183" spans="3:27" x14ac:dyDescent="0.25">
      <c r="C183" s="86"/>
      <c r="F183" s="293" t="s">
        <v>48</v>
      </c>
      <c r="G183" s="293" t="s">
        <v>251</v>
      </c>
      <c r="J183" s="275">
        <f t="shared" ref="J183:K183" si="132">hundred*J100*$H72*J87/$H44/days_in_year/(1+$H30)*PowerFactor</f>
        <v>0</v>
      </c>
      <c r="K183" s="275">
        <f t="shared" si="132"/>
        <v>0</v>
      </c>
      <c r="L183" s="275">
        <f t="shared" ref="L183:M183" si="133">hundred*L100*$H72*L87/$H44/days_in_year/(1+$H30)*PowerFactor</f>
        <v>0</v>
      </c>
      <c r="M183" s="275">
        <f t="shared" si="133"/>
        <v>0</v>
      </c>
      <c r="N183" s="275">
        <f t="shared" ref="N183:P183" si="134">hundred*N100*$H72*N87/$H44/days_in_year/(1+$H30)*PowerFactor</f>
        <v>0.35005212953161247</v>
      </c>
      <c r="O183" s="275">
        <f t="shared" si="134"/>
        <v>1.6794780479365963</v>
      </c>
      <c r="P183" s="275">
        <f t="shared" si="134"/>
        <v>1.6553476162133696</v>
      </c>
      <c r="Q183" s="275">
        <f t="shared" ref="Q183" si="135">hundred*Q100*$H72*Q87/$H44/days_in_year/(1+$H30)*PowerFactor</f>
        <v>0</v>
      </c>
      <c r="R183" s="279"/>
      <c r="S183" s="279"/>
      <c r="T183" s="279"/>
      <c r="U183" s="279"/>
      <c r="V183" s="279"/>
      <c r="W183" s="279"/>
      <c r="X183" s="279"/>
      <c r="Y183" s="279"/>
    </row>
    <row r="184" spans="3:27" x14ac:dyDescent="0.25">
      <c r="C184" s="86"/>
      <c r="F184" s="293" t="s">
        <v>49</v>
      </c>
      <c r="G184" s="293" t="s">
        <v>251</v>
      </c>
      <c r="J184" s="275">
        <f t="shared" ref="J184:K184" si="136">hundred*J101*$H73*J88/$H45/days_in_year/(1+$H31)*PowerFactor</f>
        <v>0</v>
      </c>
      <c r="K184" s="275">
        <f t="shared" si="136"/>
        <v>0</v>
      </c>
      <c r="L184" s="275">
        <f t="shared" ref="L184:M184" si="137">hundred*L101*$H73*L88/$H45/days_in_year/(1+$H31)*PowerFactor</f>
        <v>0</v>
      </c>
      <c r="M184" s="275">
        <f t="shared" si="137"/>
        <v>0</v>
      </c>
      <c r="N184" s="275">
        <f t="shared" ref="N184:P184" si="138">hundred*N101*$H73*N88/$H45/days_in_year/(1+$H31)*PowerFactor</f>
        <v>0.65981286775723891</v>
      </c>
      <c r="O184" s="275">
        <f t="shared" si="138"/>
        <v>0.63312925913470353</v>
      </c>
      <c r="P184" s="275">
        <f t="shared" si="138"/>
        <v>0</v>
      </c>
      <c r="Q184" s="275">
        <f t="shared" ref="Q184" si="139">hundred*Q101*$H73*Q88/$H45/days_in_year/(1+$H31)*PowerFactor</f>
        <v>0</v>
      </c>
      <c r="R184" s="279"/>
      <c r="S184" s="279"/>
      <c r="T184" s="279"/>
      <c r="U184" s="279"/>
      <c r="V184" s="279"/>
      <c r="W184" s="279"/>
      <c r="X184" s="279"/>
      <c r="Y184" s="279"/>
    </row>
    <row r="185" spans="3:27" x14ac:dyDescent="0.25">
      <c r="C185" s="86"/>
      <c r="F185" s="293" t="s">
        <v>50</v>
      </c>
      <c r="G185" s="293" t="s">
        <v>251</v>
      </c>
      <c r="J185" s="275">
        <f t="shared" ref="J185:K185" si="140">hundred*J102*$H74*J89/$H46/days_in_year/(1+$H32)*PowerFactor</f>
        <v>1.4512853251373385</v>
      </c>
      <c r="K185" s="275">
        <f t="shared" si="140"/>
        <v>1.4512853251373385</v>
      </c>
      <c r="L185" s="275">
        <f t="shared" ref="L185:M185" si="141">hundred*L102*$H74*L89/$H46/days_in_year/(1+$H32)*PowerFactor</f>
        <v>1.4512853251373385</v>
      </c>
      <c r="M185" s="275">
        <f t="shared" si="141"/>
        <v>1.4512853251373385</v>
      </c>
      <c r="N185" s="275">
        <f t="shared" ref="N185:P185" si="142">hundred*N102*$H74*N89/$H46/days_in_year/(1+$H32)*PowerFactor</f>
        <v>1.4512853251373385</v>
      </c>
      <c r="O185" s="275">
        <f t="shared" si="142"/>
        <v>0</v>
      </c>
      <c r="P185" s="275">
        <f t="shared" si="142"/>
        <v>0</v>
      </c>
      <c r="Q185" s="275">
        <f t="shared" ref="Q185" si="143">hundred*Q102*$H74*Q89/$H46/days_in_year/(1+$H32)*PowerFactor</f>
        <v>0</v>
      </c>
      <c r="R185" s="279"/>
      <c r="S185" s="279"/>
      <c r="T185" s="279"/>
      <c r="U185" s="279"/>
      <c r="V185" s="279"/>
      <c r="W185" s="279"/>
      <c r="X185" s="279"/>
      <c r="Y185" s="279"/>
    </row>
    <row r="186" spans="3:27" x14ac:dyDescent="0.25">
      <c r="C186" s="86"/>
      <c r="F186" s="293" t="s">
        <v>124</v>
      </c>
      <c r="G186" s="293" t="s">
        <v>251</v>
      </c>
      <c r="J186" s="279"/>
      <c r="K186" s="279"/>
      <c r="L186" s="279"/>
      <c r="M186" s="279"/>
      <c r="N186" s="279"/>
      <c r="O186" s="279"/>
      <c r="P186" s="279"/>
      <c r="Q186" s="279"/>
      <c r="R186" s="279"/>
      <c r="S186" s="279"/>
      <c r="T186" s="279"/>
      <c r="U186" s="279"/>
      <c r="V186" s="279"/>
      <c r="W186" s="279"/>
      <c r="X186" s="279"/>
      <c r="Y186" s="279"/>
    </row>
    <row r="187" spans="3:27" x14ac:dyDescent="0.25">
      <c r="C187" s="86"/>
      <c r="F187" s="93" t="s">
        <v>123</v>
      </c>
      <c r="G187" s="93" t="s">
        <v>251</v>
      </c>
      <c r="H187" s="93"/>
      <c r="I187" s="93"/>
      <c r="J187" s="240"/>
      <c r="K187" s="240"/>
      <c r="L187" s="240"/>
      <c r="M187" s="240"/>
      <c r="N187" s="240"/>
      <c r="O187" s="240"/>
      <c r="P187" s="240"/>
      <c r="Q187" s="240"/>
      <c r="R187" s="240"/>
      <c r="S187" s="240"/>
      <c r="T187" s="240"/>
      <c r="U187" s="240"/>
      <c r="V187" s="240"/>
      <c r="W187" s="240"/>
      <c r="X187" s="240"/>
      <c r="Y187" s="240"/>
    </row>
    <row r="188" spans="3:27" x14ac:dyDescent="0.25">
      <c r="C188" s="86"/>
      <c r="J188" s="252"/>
      <c r="K188" s="252"/>
      <c r="L188" s="252"/>
      <c r="M188" s="252"/>
      <c r="N188" s="252"/>
      <c r="O188" s="252"/>
      <c r="P188" s="252"/>
      <c r="Q188" s="252"/>
      <c r="R188" s="252"/>
      <c r="S188" s="252"/>
      <c r="T188" s="252"/>
      <c r="U188" s="252"/>
      <c r="V188" s="252"/>
      <c r="W188" s="252"/>
      <c r="X188" s="252"/>
      <c r="Y188" s="252"/>
    </row>
    <row r="189" spans="3:27" x14ac:dyDescent="0.25">
      <c r="C189" s="7" t="str">
        <f ca="1">INDEX('Version control'!$H$35:$H$61,MATCH($A$1,'Version control'!$F$35:$F$61,0),1)&amp;"-D: Capacity charges for eligible customers, by network level"</f>
        <v>Section 515-D: Capacity charges for eligible customers, by network level</v>
      </c>
      <c r="D189" s="7"/>
      <c r="E189" s="7"/>
      <c r="F189" s="7"/>
      <c r="G189" s="7"/>
      <c r="H189" s="7"/>
      <c r="I189" s="7"/>
      <c r="J189" s="242"/>
      <c r="K189" s="242"/>
      <c r="L189" s="242"/>
      <c r="M189" s="242"/>
      <c r="N189" s="242"/>
      <c r="O189" s="242"/>
      <c r="P189" s="242"/>
      <c r="Q189" s="242"/>
      <c r="R189" s="242"/>
      <c r="S189" s="242"/>
      <c r="T189" s="242"/>
      <c r="U189" s="242"/>
      <c r="V189" s="242"/>
      <c r="W189" s="242"/>
      <c r="X189" s="242"/>
      <c r="Y189" s="242"/>
      <c r="Z189" s="7"/>
      <c r="AA189" s="7"/>
    </row>
    <row r="190" spans="3:27" x14ac:dyDescent="0.25">
      <c r="D190" s="96"/>
      <c r="E190" s="96"/>
      <c r="I190" s="293" t="s">
        <v>359</v>
      </c>
      <c r="J190" s="252"/>
      <c r="K190" s="252"/>
      <c r="L190" s="252"/>
      <c r="M190" s="252"/>
      <c r="N190" s="252"/>
      <c r="O190" s="252"/>
      <c r="P190" s="252"/>
      <c r="Q190" s="252"/>
      <c r="R190" s="252"/>
      <c r="S190" s="252"/>
      <c r="T190" s="252"/>
      <c r="U190" s="252"/>
      <c r="V190" s="252"/>
      <c r="W190" s="252"/>
      <c r="X190" s="252"/>
      <c r="Y190" s="252"/>
      <c r="AA190" s="293" t="s">
        <v>740</v>
      </c>
    </row>
    <row r="191" spans="3:27" x14ac:dyDescent="0.25">
      <c r="C191" s="86"/>
      <c r="D191" s="293"/>
      <c r="E191" s="96" t="s">
        <v>139</v>
      </c>
      <c r="J191" s="252"/>
      <c r="K191" s="252"/>
      <c r="L191" s="252"/>
      <c r="M191" s="252"/>
      <c r="N191" s="252"/>
      <c r="O191" s="252"/>
      <c r="P191" s="252"/>
      <c r="Q191" s="252"/>
      <c r="R191" s="252"/>
      <c r="S191" s="252"/>
      <c r="T191" s="252"/>
      <c r="U191" s="252"/>
      <c r="V191" s="252"/>
      <c r="W191" s="252"/>
      <c r="X191" s="252"/>
      <c r="Y191" s="252"/>
    </row>
    <row r="192" spans="3:27" x14ac:dyDescent="0.25">
      <c r="C192" s="86"/>
      <c r="D192" s="293"/>
      <c r="F192" s="91" t="s">
        <v>267</v>
      </c>
      <c r="G192" s="91" t="s">
        <v>251</v>
      </c>
      <c r="H192" s="91"/>
      <c r="I192" s="91"/>
      <c r="J192" s="238"/>
      <c r="K192" s="238"/>
      <c r="L192" s="238"/>
      <c r="M192" s="238"/>
      <c r="N192" s="238"/>
      <c r="O192" s="238"/>
      <c r="P192" s="238"/>
      <c r="Q192" s="238"/>
      <c r="R192" s="238"/>
      <c r="S192" s="238"/>
      <c r="T192" s="238"/>
      <c r="U192" s="238"/>
      <c r="V192" s="238"/>
      <c r="W192" s="238"/>
      <c r="X192" s="238"/>
      <c r="Y192" s="238"/>
    </row>
    <row r="193" spans="3:25" x14ac:dyDescent="0.25">
      <c r="C193" s="86"/>
      <c r="D193" s="293"/>
      <c r="F193" s="293" t="s">
        <v>43</v>
      </c>
      <c r="G193" s="293" t="s">
        <v>251</v>
      </c>
      <c r="J193" s="279"/>
      <c r="K193" s="279"/>
      <c r="L193" s="279"/>
      <c r="M193" s="279"/>
      <c r="N193" s="279"/>
      <c r="O193" s="279"/>
      <c r="P193" s="279"/>
      <c r="Q193" s="279"/>
      <c r="R193" s="279"/>
      <c r="S193" s="279"/>
      <c r="T193" s="279"/>
      <c r="U193" s="279"/>
      <c r="V193" s="279"/>
      <c r="W193" s="279"/>
      <c r="X193" s="279"/>
      <c r="Y193" s="279"/>
    </row>
    <row r="194" spans="3:25" x14ac:dyDescent="0.25">
      <c r="C194" s="86"/>
      <c r="D194" s="293"/>
      <c r="F194" s="293" t="s">
        <v>44</v>
      </c>
      <c r="G194" s="293" t="s">
        <v>251</v>
      </c>
      <c r="J194" s="275">
        <f t="shared" ref="J194:Q201" si="144">J$121 * J134</f>
        <v>0</v>
      </c>
      <c r="K194" s="275">
        <f t="shared" si="144"/>
        <v>0</v>
      </c>
      <c r="L194" s="275">
        <f t="shared" si="144"/>
        <v>0</v>
      </c>
      <c r="M194" s="275">
        <f t="shared" si="144"/>
        <v>0</v>
      </c>
      <c r="N194" s="275">
        <f t="shared" si="144"/>
        <v>0</v>
      </c>
      <c r="O194" s="275">
        <f t="shared" si="144"/>
        <v>0</v>
      </c>
      <c r="P194" s="275">
        <f t="shared" si="144"/>
        <v>0</v>
      </c>
      <c r="Q194" s="275">
        <f t="shared" si="144"/>
        <v>0</v>
      </c>
      <c r="R194" s="279"/>
      <c r="S194" s="279"/>
      <c r="T194" s="279"/>
      <c r="U194" s="279"/>
      <c r="V194" s="279"/>
      <c r="W194" s="279"/>
      <c r="X194" s="279"/>
      <c r="Y194" s="279"/>
    </row>
    <row r="195" spans="3:25" x14ac:dyDescent="0.25">
      <c r="C195" s="86"/>
      <c r="D195" s="293"/>
      <c r="F195" s="293" t="s">
        <v>45</v>
      </c>
      <c r="G195" s="293" t="s">
        <v>251</v>
      </c>
      <c r="J195" s="275">
        <f t="shared" si="144"/>
        <v>0</v>
      </c>
      <c r="K195" s="275">
        <f t="shared" si="144"/>
        <v>0</v>
      </c>
      <c r="L195" s="275">
        <f t="shared" si="144"/>
        <v>0</v>
      </c>
      <c r="M195" s="275">
        <f t="shared" si="144"/>
        <v>0</v>
      </c>
      <c r="N195" s="275">
        <f t="shared" si="144"/>
        <v>0</v>
      </c>
      <c r="O195" s="275">
        <f t="shared" si="144"/>
        <v>0</v>
      </c>
      <c r="P195" s="275">
        <f t="shared" si="144"/>
        <v>0</v>
      </c>
      <c r="Q195" s="275">
        <f t="shared" si="144"/>
        <v>0</v>
      </c>
      <c r="R195" s="279"/>
      <c r="S195" s="279"/>
      <c r="T195" s="279"/>
      <c r="U195" s="279"/>
      <c r="V195" s="279"/>
      <c r="W195" s="279"/>
      <c r="X195" s="279"/>
      <c r="Y195" s="279"/>
    </row>
    <row r="196" spans="3:25" x14ac:dyDescent="0.25">
      <c r="C196" s="86"/>
      <c r="D196" s="293"/>
      <c r="F196" s="293" t="s">
        <v>46</v>
      </c>
      <c r="G196" s="293" t="s">
        <v>251</v>
      </c>
      <c r="J196" s="275">
        <f t="shared" si="144"/>
        <v>0</v>
      </c>
      <c r="K196" s="275">
        <f t="shared" si="144"/>
        <v>0</v>
      </c>
      <c r="L196" s="275">
        <f t="shared" si="144"/>
        <v>0</v>
      </c>
      <c r="M196" s="275">
        <f t="shared" si="144"/>
        <v>0</v>
      </c>
      <c r="N196" s="275">
        <f t="shared" si="144"/>
        <v>0</v>
      </c>
      <c r="O196" s="275">
        <f t="shared" si="144"/>
        <v>0</v>
      </c>
      <c r="P196" s="275">
        <f t="shared" si="144"/>
        <v>0.34009584981962038</v>
      </c>
      <c r="Q196" s="275">
        <f t="shared" si="144"/>
        <v>0</v>
      </c>
      <c r="R196" s="279"/>
      <c r="S196" s="279"/>
      <c r="T196" s="279"/>
      <c r="U196" s="279"/>
      <c r="V196" s="279"/>
      <c r="W196" s="279"/>
      <c r="X196" s="279"/>
      <c r="Y196" s="279"/>
    </row>
    <row r="197" spans="3:25" x14ac:dyDescent="0.25">
      <c r="C197" s="86"/>
      <c r="D197" s="293"/>
      <c r="F197" s="293" t="s">
        <v>47</v>
      </c>
      <c r="G197" s="293" t="s">
        <v>251</v>
      </c>
      <c r="J197" s="275">
        <f t="shared" si="144"/>
        <v>0</v>
      </c>
      <c r="K197" s="275">
        <f t="shared" si="144"/>
        <v>0</v>
      </c>
      <c r="L197" s="275">
        <f t="shared" si="144"/>
        <v>0</v>
      </c>
      <c r="M197" s="275">
        <f t="shared" si="144"/>
        <v>0</v>
      </c>
      <c r="N197" s="275">
        <f t="shared" si="144"/>
        <v>0</v>
      </c>
      <c r="O197" s="275">
        <f t="shared" si="144"/>
        <v>0</v>
      </c>
      <c r="P197" s="275">
        <f t="shared" si="144"/>
        <v>1.1633869627295277</v>
      </c>
      <c r="Q197" s="275">
        <f t="shared" si="144"/>
        <v>0</v>
      </c>
      <c r="R197" s="279"/>
      <c r="S197" s="279"/>
      <c r="T197" s="279"/>
      <c r="U197" s="279"/>
      <c r="V197" s="279"/>
      <c r="W197" s="279"/>
      <c r="X197" s="279"/>
      <c r="Y197" s="279"/>
    </row>
    <row r="198" spans="3:25" x14ac:dyDescent="0.25">
      <c r="C198" s="86"/>
      <c r="D198" s="293"/>
      <c r="F198" s="293" t="s">
        <v>51</v>
      </c>
      <c r="G198" s="293" t="s">
        <v>251</v>
      </c>
      <c r="J198" s="275">
        <f t="shared" si="144"/>
        <v>0</v>
      </c>
      <c r="K198" s="275">
        <f t="shared" si="144"/>
        <v>0</v>
      </c>
      <c r="L198" s="275">
        <f t="shared" si="144"/>
        <v>0</v>
      </c>
      <c r="M198" s="275">
        <f t="shared" si="144"/>
        <v>0</v>
      </c>
      <c r="N198" s="275">
        <f t="shared" si="144"/>
        <v>0</v>
      </c>
      <c r="O198" s="275">
        <f t="shared" si="144"/>
        <v>0</v>
      </c>
      <c r="P198" s="275">
        <f t="shared" si="144"/>
        <v>0</v>
      </c>
      <c r="Q198" s="275">
        <f t="shared" si="144"/>
        <v>0</v>
      </c>
      <c r="R198" s="279"/>
      <c r="S198" s="279"/>
      <c r="T198" s="279"/>
      <c r="U198" s="279"/>
      <c r="V198" s="279"/>
      <c r="W198" s="279"/>
      <c r="X198" s="279"/>
      <c r="Y198" s="279"/>
    </row>
    <row r="199" spans="3:25" x14ac:dyDescent="0.25">
      <c r="C199" s="86"/>
      <c r="D199" s="293"/>
      <c r="F199" s="293" t="s">
        <v>48</v>
      </c>
      <c r="G199" s="293" t="s">
        <v>251</v>
      </c>
      <c r="J199" s="275">
        <f t="shared" si="144"/>
        <v>0</v>
      </c>
      <c r="K199" s="275">
        <f t="shared" si="144"/>
        <v>0</v>
      </c>
      <c r="L199" s="275">
        <f t="shared" si="144"/>
        <v>0</v>
      </c>
      <c r="M199" s="275">
        <f t="shared" si="144"/>
        <v>0</v>
      </c>
      <c r="N199" s="275">
        <f t="shared" si="144"/>
        <v>0.40847838982555351</v>
      </c>
      <c r="O199" s="275">
        <f t="shared" si="144"/>
        <v>1.9597952158909826</v>
      </c>
      <c r="P199" s="275">
        <f t="shared" si="144"/>
        <v>1.8155585042509046</v>
      </c>
      <c r="Q199" s="275">
        <f t="shared" si="144"/>
        <v>0</v>
      </c>
      <c r="R199" s="279"/>
      <c r="S199" s="279"/>
      <c r="T199" s="279"/>
      <c r="U199" s="279"/>
      <c r="V199" s="279"/>
      <c r="W199" s="279"/>
      <c r="X199" s="279"/>
      <c r="Y199" s="279"/>
    </row>
    <row r="200" spans="3:25" x14ac:dyDescent="0.25">
      <c r="C200" s="86"/>
      <c r="D200" s="293"/>
      <c r="F200" s="293" t="s">
        <v>49</v>
      </c>
      <c r="G200" s="293" t="s">
        <v>251</v>
      </c>
      <c r="J200" s="275">
        <f t="shared" si="144"/>
        <v>0</v>
      </c>
      <c r="K200" s="275">
        <f t="shared" si="144"/>
        <v>0</v>
      </c>
      <c r="L200" s="275">
        <f t="shared" si="144"/>
        <v>0</v>
      </c>
      <c r="M200" s="275">
        <f t="shared" si="144"/>
        <v>0</v>
      </c>
      <c r="N200" s="275">
        <f t="shared" si="144"/>
        <v>0.676402038739079</v>
      </c>
      <c r="O200" s="275">
        <f t="shared" si="144"/>
        <v>0.64904754452536617</v>
      </c>
      <c r="P200" s="275">
        <f t="shared" si="144"/>
        <v>0</v>
      </c>
      <c r="Q200" s="275">
        <f t="shared" si="144"/>
        <v>0</v>
      </c>
      <c r="R200" s="279"/>
      <c r="S200" s="279"/>
      <c r="T200" s="279"/>
      <c r="U200" s="279"/>
      <c r="V200" s="279"/>
      <c r="W200" s="279"/>
      <c r="X200" s="279"/>
      <c r="Y200" s="279"/>
    </row>
    <row r="201" spans="3:25" x14ac:dyDescent="0.25">
      <c r="C201" s="86"/>
      <c r="D201" s="293"/>
      <c r="F201" s="293" t="s">
        <v>50</v>
      </c>
      <c r="G201" s="293" t="s">
        <v>251</v>
      </c>
      <c r="J201" s="275">
        <f t="shared" si="144"/>
        <v>0</v>
      </c>
      <c r="K201" s="275">
        <f t="shared" si="144"/>
        <v>0</v>
      </c>
      <c r="L201" s="275">
        <f t="shared" si="144"/>
        <v>0</v>
      </c>
      <c r="M201" s="275">
        <f t="shared" si="144"/>
        <v>0</v>
      </c>
      <c r="N201" s="275">
        <f t="shared" si="144"/>
        <v>0.11366651620964532</v>
      </c>
      <c r="O201" s="275">
        <f t="shared" si="144"/>
        <v>0</v>
      </c>
      <c r="P201" s="275">
        <f t="shared" si="144"/>
        <v>0</v>
      </c>
      <c r="Q201" s="275">
        <f t="shared" si="144"/>
        <v>0</v>
      </c>
      <c r="R201" s="279"/>
      <c r="S201" s="279"/>
      <c r="T201" s="279"/>
      <c r="U201" s="279"/>
      <c r="V201" s="279"/>
      <c r="W201" s="279"/>
      <c r="X201" s="279"/>
      <c r="Y201" s="279"/>
    </row>
    <row r="202" spans="3:25" x14ac:dyDescent="0.25">
      <c r="C202" s="86"/>
      <c r="D202" s="293"/>
      <c r="F202" s="293" t="s">
        <v>124</v>
      </c>
      <c r="G202" s="293" t="s">
        <v>251</v>
      </c>
      <c r="J202" s="279"/>
      <c r="K202" s="279"/>
      <c r="L202" s="279"/>
      <c r="M202" s="279"/>
      <c r="N202" s="279"/>
      <c r="O202" s="279"/>
      <c r="P202" s="279"/>
      <c r="Q202" s="279"/>
      <c r="R202" s="279"/>
      <c r="S202" s="279"/>
      <c r="T202" s="279"/>
      <c r="U202" s="279"/>
      <c r="V202" s="279"/>
      <c r="W202" s="279"/>
      <c r="X202" s="279"/>
      <c r="Y202" s="279"/>
    </row>
    <row r="203" spans="3:25" x14ac:dyDescent="0.25">
      <c r="C203" s="86"/>
      <c r="D203" s="293"/>
      <c r="F203" s="93" t="s">
        <v>123</v>
      </c>
      <c r="G203" s="93" t="s">
        <v>251</v>
      </c>
      <c r="H203" s="93"/>
      <c r="I203" s="93"/>
      <c r="J203" s="240"/>
      <c r="K203" s="240"/>
      <c r="L203" s="240"/>
      <c r="M203" s="240"/>
      <c r="N203" s="240"/>
      <c r="O203" s="240"/>
      <c r="P203" s="240"/>
      <c r="Q203" s="240"/>
      <c r="R203" s="240"/>
      <c r="S203" s="240"/>
      <c r="T203" s="240"/>
      <c r="U203" s="240"/>
      <c r="V203" s="240"/>
      <c r="W203" s="240"/>
      <c r="X203" s="240"/>
      <c r="Y203" s="240"/>
    </row>
    <row r="204" spans="3:25" x14ac:dyDescent="0.25">
      <c r="C204" s="86"/>
      <c r="D204" s="293"/>
      <c r="J204" s="252"/>
      <c r="K204" s="252"/>
      <c r="L204" s="252"/>
      <c r="M204" s="252"/>
      <c r="N204" s="252"/>
      <c r="O204" s="252"/>
      <c r="P204" s="252"/>
      <c r="Q204" s="252"/>
      <c r="R204" s="252"/>
      <c r="S204" s="252"/>
      <c r="T204" s="252"/>
      <c r="U204" s="252"/>
      <c r="V204" s="252"/>
      <c r="W204" s="252"/>
      <c r="X204" s="252"/>
      <c r="Y204" s="252"/>
    </row>
    <row r="205" spans="3:25" x14ac:dyDescent="0.25">
      <c r="C205" s="86"/>
      <c r="D205" s="293"/>
      <c r="E205" s="96" t="s">
        <v>116</v>
      </c>
      <c r="J205" s="252"/>
      <c r="K205" s="252"/>
      <c r="L205" s="252"/>
      <c r="M205" s="252"/>
      <c r="N205" s="252"/>
      <c r="O205" s="252"/>
      <c r="P205" s="252"/>
      <c r="Q205" s="252"/>
      <c r="R205" s="252"/>
      <c r="S205" s="252"/>
      <c r="T205" s="252"/>
      <c r="U205" s="252"/>
      <c r="V205" s="252"/>
      <c r="W205" s="252"/>
      <c r="X205" s="252"/>
      <c r="Y205" s="252"/>
    </row>
    <row r="206" spans="3:25" x14ac:dyDescent="0.25">
      <c r="C206" s="86"/>
      <c r="D206" s="293"/>
      <c r="F206" s="91" t="s">
        <v>267</v>
      </c>
      <c r="G206" s="91" t="s">
        <v>251</v>
      </c>
      <c r="H206" s="91"/>
      <c r="I206" s="91"/>
      <c r="J206" s="267">
        <f t="shared" ref="J206:Q215" si="145">J$121 * J146</f>
        <v>0</v>
      </c>
      <c r="K206" s="267">
        <f t="shared" si="145"/>
        <v>0</v>
      </c>
      <c r="L206" s="267">
        <f t="shared" si="145"/>
        <v>0</v>
      </c>
      <c r="M206" s="267">
        <f t="shared" si="145"/>
        <v>0</v>
      </c>
      <c r="N206" s="267">
        <f t="shared" si="145"/>
        <v>0</v>
      </c>
      <c r="O206" s="267">
        <f t="shared" si="145"/>
        <v>0</v>
      </c>
      <c r="P206" s="267">
        <f t="shared" si="145"/>
        <v>0</v>
      </c>
      <c r="Q206" s="267">
        <f t="shared" si="145"/>
        <v>0</v>
      </c>
      <c r="R206" s="238"/>
      <c r="S206" s="238"/>
      <c r="T206" s="238"/>
      <c r="U206" s="238"/>
      <c r="V206" s="238"/>
      <c r="W206" s="238"/>
      <c r="X206" s="238"/>
      <c r="Y206" s="238"/>
    </row>
    <row r="207" spans="3:25" x14ac:dyDescent="0.25">
      <c r="C207" s="86"/>
      <c r="D207" s="293"/>
      <c r="F207" s="293" t="s">
        <v>43</v>
      </c>
      <c r="G207" s="293" t="s">
        <v>251</v>
      </c>
      <c r="J207" s="275">
        <f t="shared" si="145"/>
        <v>0</v>
      </c>
      <c r="K207" s="275">
        <f t="shared" si="145"/>
        <v>0</v>
      </c>
      <c r="L207" s="275">
        <f t="shared" si="145"/>
        <v>0</v>
      </c>
      <c r="M207" s="275">
        <f t="shared" si="145"/>
        <v>0</v>
      </c>
      <c r="N207" s="275">
        <f t="shared" si="145"/>
        <v>0</v>
      </c>
      <c r="O207" s="275">
        <f t="shared" si="145"/>
        <v>0</v>
      </c>
      <c r="P207" s="275">
        <f t="shared" si="145"/>
        <v>0</v>
      </c>
      <c r="Q207" s="275">
        <f t="shared" si="145"/>
        <v>0</v>
      </c>
      <c r="R207" s="279"/>
      <c r="S207" s="279"/>
      <c r="T207" s="279"/>
      <c r="U207" s="279"/>
      <c r="V207" s="279"/>
      <c r="W207" s="279"/>
      <c r="X207" s="279"/>
      <c r="Y207" s="279"/>
    </row>
    <row r="208" spans="3:25" x14ac:dyDescent="0.25">
      <c r="C208" s="86"/>
      <c r="D208" s="293"/>
      <c r="F208" s="293" t="s">
        <v>44</v>
      </c>
      <c r="G208" s="293" t="s">
        <v>251</v>
      </c>
      <c r="J208" s="275">
        <f t="shared" si="145"/>
        <v>0</v>
      </c>
      <c r="K208" s="275">
        <f t="shared" si="145"/>
        <v>0</v>
      </c>
      <c r="L208" s="275">
        <f t="shared" si="145"/>
        <v>0</v>
      </c>
      <c r="M208" s="275">
        <f t="shared" si="145"/>
        <v>0</v>
      </c>
      <c r="N208" s="275">
        <f t="shared" si="145"/>
        <v>0</v>
      </c>
      <c r="O208" s="275">
        <f t="shared" si="145"/>
        <v>0</v>
      </c>
      <c r="P208" s="275">
        <f t="shared" si="145"/>
        <v>0</v>
      </c>
      <c r="Q208" s="275">
        <f t="shared" si="145"/>
        <v>0</v>
      </c>
      <c r="R208" s="279"/>
      <c r="S208" s="279"/>
      <c r="T208" s="279"/>
      <c r="U208" s="279"/>
      <c r="V208" s="279"/>
      <c r="W208" s="279"/>
      <c r="X208" s="279"/>
      <c r="Y208" s="279"/>
    </row>
    <row r="209" spans="3:27" x14ac:dyDescent="0.25">
      <c r="C209" s="86"/>
      <c r="D209" s="293"/>
      <c r="F209" s="293" t="s">
        <v>45</v>
      </c>
      <c r="G209" s="293" t="s">
        <v>251</v>
      </c>
      <c r="J209" s="275">
        <f t="shared" si="145"/>
        <v>0</v>
      </c>
      <c r="K209" s="275">
        <f t="shared" si="145"/>
        <v>0</v>
      </c>
      <c r="L209" s="275">
        <f t="shared" si="145"/>
        <v>0</v>
      </c>
      <c r="M209" s="275">
        <f t="shared" si="145"/>
        <v>0</v>
      </c>
      <c r="N209" s="275">
        <f t="shared" si="145"/>
        <v>0</v>
      </c>
      <c r="O209" s="275">
        <f t="shared" si="145"/>
        <v>0</v>
      </c>
      <c r="P209" s="275">
        <f t="shared" si="145"/>
        <v>0</v>
      </c>
      <c r="Q209" s="275">
        <f t="shared" si="145"/>
        <v>0</v>
      </c>
      <c r="R209" s="279"/>
      <c r="S209" s="279"/>
      <c r="T209" s="279"/>
      <c r="U209" s="279"/>
      <c r="V209" s="279"/>
      <c r="W209" s="279"/>
      <c r="X209" s="279"/>
      <c r="Y209" s="279"/>
    </row>
    <row r="210" spans="3:27" x14ac:dyDescent="0.25">
      <c r="C210" s="86"/>
      <c r="D210" s="293"/>
      <c r="F210" s="293" t="s">
        <v>46</v>
      </c>
      <c r="G210" s="293" t="s">
        <v>251</v>
      </c>
      <c r="J210" s="275">
        <f t="shared" si="145"/>
        <v>0</v>
      </c>
      <c r="K210" s="275">
        <f t="shared" si="145"/>
        <v>0</v>
      </c>
      <c r="L210" s="275">
        <f t="shared" si="145"/>
        <v>0</v>
      </c>
      <c r="M210" s="275">
        <f t="shared" si="145"/>
        <v>0</v>
      </c>
      <c r="N210" s="275">
        <f t="shared" si="145"/>
        <v>0</v>
      </c>
      <c r="O210" s="275">
        <f t="shared" si="145"/>
        <v>0</v>
      </c>
      <c r="P210" s="275">
        <f t="shared" si="145"/>
        <v>0.19809029550291385</v>
      </c>
      <c r="Q210" s="275">
        <f t="shared" si="145"/>
        <v>0</v>
      </c>
      <c r="R210" s="279"/>
      <c r="S210" s="279"/>
      <c r="T210" s="279"/>
      <c r="U210" s="279"/>
      <c r="V210" s="279"/>
      <c r="W210" s="279"/>
      <c r="X210" s="279"/>
      <c r="Y210" s="279"/>
    </row>
    <row r="211" spans="3:27" x14ac:dyDescent="0.25">
      <c r="C211" s="86"/>
      <c r="D211" s="293"/>
      <c r="F211" s="293" t="s">
        <v>47</v>
      </c>
      <c r="G211" s="293" t="s">
        <v>251</v>
      </c>
      <c r="J211" s="275">
        <f t="shared" si="145"/>
        <v>0</v>
      </c>
      <c r="K211" s="275">
        <f t="shared" si="145"/>
        <v>0</v>
      </c>
      <c r="L211" s="275">
        <f t="shared" si="145"/>
        <v>0</v>
      </c>
      <c r="M211" s="275">
        <f t="shared" si="145"/>
        <v>0</v>
      </c>
      <c r="N211" s="275">
        <f t="shared" si="145"/>
        <v>0</v>
      </c>
      <c r="O211" s="275">
        <f t="shared" si="145"/>
        <v>0</v>
      </c>
      <c r="P211" s="275">
        <f t="shared" si="145"/>
        <v>0.70073665171624944</v>
      </c>
      <c r="Q211" s="275">
        <f t="shared" si="145"/>
        <v>0</v>
      </c>
      <c r="R211" s="279"/>
      <c r="S211" s="279"/>
      <c r="T211" s="279"/>
      <c r="U211" s="279"/>
      <c r="V211" s="279"/>
      <c r="W211" s="279"/>
      <c r="X211" s="279"/>
      <c r="Y211" s="279"/>
    </row>
    <row r="212" spans="3:27" x14ac:dyDescent="0.25">
      <c r="C212" s="86"/>
      <c r="D212" s="293"/>
      <c r="F212" s="293" t="s">
        <v>51</v>
      </c>
      <c r="G212" s="293" t="s">
        <v>251</v>
      </c>
      <c r="J212" s="275">
        <f t="shared" si="145"/>
        <v>0</v>
      </c>
      <c r="K212" s="275">
        <f t="shared" si="145"/>
        <v>0</v>
      </c>
      <c r="L212" s="275">
        <f t="shared" si="145"/>
        <v>0</v>
      </c>
      <c r="M212" s="275">
        <f t="shared" si="145"/>
        <v>0</v>
      </c>
      <c r="N212" s="275">
        <f t="shared" si="145"/>
        <v>0</v>
      </c>
      <c r="O212" s="275">
        <f t="shared" si="145"/>
        <v>0</v>
      </c>
      <c r="P212" s="275">
        <f t="shared" si="145"/>
        <v>0</v>
      </c>
      <c r="Q212" s="275">
        <f t="shared" si="145"/>
        <v>0</v>
      </c>
      <c r="R212" s="279"/>
      <c r="S212" s="279"/>
      <c r="T212" s="279"/>
      <c r="U212" s="279"/>
      <c r="V212" s="279"/>
      <c r="W212" s="279"/>
      <c r="X212" s="279"/>
      <c r="Y212" s="279"/>
    </row>
    <row r="213" spans="3:27" x14ac:dyDescent="0.25">
      <c r="C213" s="86"/>
      <c r="D213" s="293"/>
      <c r="F213" s="293" t="s">
        <v>48</v>
      </c>
      <c r="G213" s="293" t="s">
        <v>251</v>
      </c>
      <c r="J213" s="275">
        <f t="shared" si="145"/>
        <v>0</v>
      </c>
      <c r="K213" s="275">
        <f t="shared" si="145"/>
        <v>0</v>
      </c>
      <c r="L213" s="275">
        <f t="shared" si="145"/>
        <v>0</v>
      </c>
      <c r="M213" s="275">
        <f t="shared" si="145"/>
        <v>0</v>
      </c>
      <c r="N213" s="275">
        <f t="shared" si="145"/>
        <v>0.35005212953161247</v>
      </c>
      <c r="O213" s="275">
        <f t="shared" si="145"/>
        <v>1.6794780479365963</v>
      </c>
      <c r="P213" s="275">
        <f t="shared" si="145"/>
        <v>1.6553476162133696</v>
      </c>
      <c r="Q213" s="275">
        <f t="shared" si="145"/>
        <v>0</v>
      </c>
      <c r="R213" s="279"/>
      <c r="S213" s="279"/>
      <c r="T213" s="279"/>
      <c r="U213" s="279"/>
      <c r="V213" s="279"/>
      <c r="W213" s="279"/>
      <c r="X213" s="279"/>
      <c r="Y213" s="279"/>
    </row>
    <row r="214" spans="3:27" x14ac:dyDescent="0.25">
      <c r="C214" s="86"/>
      <c r="D214" s="293"/>
      <c r="F214" s="293" t="s">
        <v>49</v>
      </c>
      <c r="G214" s="293" t="s">
        <v>251</v>
      </c>
      <c r="J214" s="275">
        <f t="shared" si="145"/>
        <v>0</v>
      </c>
      <c r="K214" s="275">
        <f t="shared" si="145"/>
        <v>0</v>
      </c>
      <c r="L214" s="275">
        <f t="shared" si="145"/>
        <v>0</v>
      </c>
      <c r="M214" s="275">
        <f t="shared" si="145"/>
        <v>0</v>
      </c>
      <c r="N214" s="275">
        <f t="shared" si="145"/>
        <v>0.65981286775723891</v>
      </c>
      <c r="O214" s="275">
        <f t="shared" si="145"/>
        <v>0.63312925913470353</v>
      </c>
      <c r="P214" s="275">
        <f t="shared" si="145"/>
        <v>0</v>
      </c>
      <c r="Q214" s="275">
        <f t="shared" si="145"/>
        <v>0</v>
      </c>
      <c r="R214" s="279"/>
      <c r="S214" s="279"/>
      <c r="T214" s="279"/>
      <c r="U214" s="279"/>
      <c r="V214" s="279"/>
      <c r="W214" s="279"/>
      <c r="X214" s="279"/>
      <c r="Y214" s="279"/>
    </row>
    <row r="215" spans="3:27" x14ac:dyDescent="0.25">
      <c r="C215" s="86"/>
      <c r="D215" s="293"/>
      <c r="F215" s="293" t="s">
        <v>50</v>
      </c>
      <c r="G215" s="293" t="s">
        <v>251</v>
      </c>
      <c r="J215" s="275">
        <f t="shared" si="145"/>
        <v>0</v>
      </c>
      <c r="K215" s="275">
        <f t="shared" si="145"/>
        <v>0</v>
      </c>
      <c r="L215" s="275">
        <f t="shared" si="145"/>
        <v>0</v>
      </c>
      <c r="M215" s="275">
        <f t="shared" si="145"/>
        <v>0</v>
      </c>
      <c r="N215" s="275">
        <f t="shared" si="145"/>
        <v>1.4512853251373385</v>
      </c>
      <c r="O215" s="275">
        <f t="shared" si="145"/>
        <v>0</v>
      </c>
      <c r="P215" s="275">
        <f t="shared" si="145"/>
        <v>0</v>
      </c>
      <c r="Q215" s="275">
        <f t="shared" si="145"/>
        <v>0</v>
      </c>
      <c r="R215" s="279"/>
      <c r="S215" s="279"/>
      <c r="T215" s="279"/>
      <c r="U215" s="279"/>
      <c r="V215" s="279"/>
      <c r="W215" s="279"/>
      <c r="X215" s="279"/>
      <c r="Y215" s="279"/>
    </row>
    <row r="216" spans="3:27" x14ac:dyDescent="0.25">
      <c r="C216" s="86"/>
      <c r="D216" s="293"/>
      <c r="F216" s="293" t="s">
        <v>124</v>
      </c>
      <c r="G216" s="293" t="s">
        <v>251</v>
      </c>
      <c r="J216" s="279"/>
      <c r="K216" s="279"/>
      <c r="L216" s="279"/>
      <c r="M216" s="279"/>
      <c r="N216" s="279"/>
      <c r="O216" s="279"/>
      <c r="P216" s="279"/>
      <c r="Q216" s="279"/>
      <c r="R216" s="279"/>
      <c r="S216" s="279"/>
      <c r="T216" s="279"/>
      <c r="U216" s="279"/>
      <c r="V216" s="279"/>
      <c r="W216" s="279"/>
      <c r="X216" s="279"/>
      <c r="Y216" s="279"/>
    </row>
    <row r="217" spans="3:27" x14ac:dyDescent="0.25">
      <c r="C217" s="86"/>
      <c r="D217" s="293"/>
      <c r="F217" s="93" t="s">
        <v>123</v>
      </c>
      <c r="G217" s="93" t="s">
        <v>251</v>
      </c>
      <c r="H217" s="93"/>
      <c r="I217" s="93"/>
      <c r="J217" s="240"/>
      <c r="K217" s="240"/>
      <c r="L217" s="240"/>
      <c r="M217" s="240"/>
      <c r="N217" s="240"/>
      <c r="O217" s="240"/>
      <c r="P217" s="240"/>
      <c r="Q217" s="240"/>
      <c r="R217" s="240"/>
      <c r="S217" s="240"/>
      <c r="T217" s="240"/>
      <c r="U217" s="240"/>
      <c r="V217" s="240"/>
      <c r="W217" s="240"/>
      <c r="X217" s="240"/>
      <c r="Y217" s="240"/>
    </row>
    <row r="218" spans="3:27" x14ac:dyDescent="0.25">
      <c r="C218" s="86"/>
      <c r="J218" s="252"/>
      <c r="K218" s="252"/>
      <c r="L218" s="252"/>
      <c r="M218" s="252"/>
      <c r="N218" s="252"/>
      <c r="O218" s="252"/>
      <c r="P218" s="252"/>
      <c r="Q218" s="252"/>
      <c r="R218" s="252"/>
      <c r="S218" s="252"/>
      <c r="T218" s="252"/>
      <c r="U218" s="252"/>
      <c r="V218" s="252"/>
      <c r="W218" s="252"/>
      <c r="X218" s="252"/>
      <c r="Y218" s="252"/>
    </row>
    <row r="219" spans="3:27" x14ac:dyDescent="0.25">
      <c r="C219" s="7" t="str">
        <f ca="1">INDEX('Version control'!$H$35:$H$61,MATCH($A$1,'Version control'!$F$35:$F$61,0),1)&amp;"-E: Exceeded capacity charges for eligible customers, by network level"</f>
        <v>Section 515-E: Exceeded capacity charges for eligible customers, by network level</v>
      </c>
      <c r="D219" s="7"/>
      <c r="E219" s="7"/>
      <c r="F219" s="7"/>
      <c r="G219" s="7"/>
      <c r="H219" s="7"/>
      <c r="I219" s="7"/>
      <c r="J219" s="242"/>
      <c r="K219" s="242"/>
      <c r="L219" s="242"/>
      <c r="M219" s="242"/>
      <c r="N219" s="242"/>
      <c r="O219" s="242"/>
      <c r="P219" s="242"/>
      <c r="Q219" s="242"/>
      <c r="R219" s="242"/>
      <c r="S219" s="242"/>
      <c r="T219" s="242"/>
      <c r="U219" s="242"/>
      <c r="V219" s="242"/>
      <c r="W219" s="242"/>
      <c r="X219" s="242"/>
      <c r="Y219" s="242"/>
      <c r="Z219" s="7"/>
      <c r="AA219" s="7"/>
    </row>
    <row r="220" spans="3:27" x14ac:dyDescent="0.25">
      <c r="D220" s="96"/>
      <c r="E220" s="96"/>
      <c r="I220" s="293" t="s">
        <v>359</v>
      </c>
      <c r="J220" s="252"/>
      <c r="K220" s="252"/>
      <c r="L220" s="252"/>
      <c r="M220" s="252"/>
      <c r="N220" s="252"/>
      <c r="O220" s="252"/>
      <c r="P220" s="252"/>
      <c r="Q220" s="252"/>
      <c r="R220" s="252"/>
      <c r="S220" s="252"/>
      <c r="T220" s="252"/>
      <c r="U220" s="252"/>
      <c r="V220" s="252"/>
      <c r="W220" s="252"/>
      <c r="X220" s="252"/>
      <c r="Y220" s="252"/>
      <c r="AA220" s="293" t="s">
        <v>822</v>
      </c>
    </row>
    <row r="221" spans="3:27" x14ac:dyDescent="0.25">
      <c r="C221" s="86"/>
      <c r="D221" s="293"/>
      <c r="E221" s="96" t="s">
        <v>139</v>
      </c>
      <c r="J221" s="252"/>
      <c r="K221" s="252"/>
      <c r="L221" s="252"/>
      <c r="M221" s="252"/>
      <c r="N221" s="252"/>
      <c r="O221" s="252"/>
      <c r="P221" s="252"/>
      <c r="Q221" s="252"/>
      <c r="R221" s="252"/>
      <c r="S221" s="252"/>
      <c r="T221" s="252"/>
      <c r="U221" s="252"/>
      <c r="V221" s="252"/>
      <c r="W221" s="252"/>
      <c r="X221" s="252"/>
      <c r="Y221" s="252"/>
    </row>
    <row r="222" spans="3:27" x14ac:dyDescent="0.25">
      <c r="C222" s="86"/>
      <c r="D222" s="293"/>
      <c r="F222" s="91" t="s">
        <v>267</v>
      </c>
      <c r="G222" s="91" t="s">
        <v>251</v>
      </c>
      <c r="H222" s="91"/>
      <c r="I222" s="91"/>
      <c r="J222" s="238"/>
      <c r="K222" s="238"/>
      <c r="L222" s="238"/>
      <c r="M222" s="238"/>
      <c r="N222" s="238"/>
      <c r="O222" s="238"/>
      <c r="P222" s="238"/>
      <c r="Q222" s="238"/>
      <c r="R222" s="238"/>
      <c r="S222" s="238"/>
      <c r="T222" s="238"/>
      <c r="U222" s="238"/>
      <c r="V222" s="238"/>
      <c r="W222" s="238"/>
      <c r="X222" s="238"/>
      <c r="Y222" s="238"/>
    </row>
    <row r="223" spans="3:27" x14ac:dyDescent="0.25">
      <c r="C223" s="86"/>
      <c r="D223" s="293"/>
      <c r="F223" s="293" t="s">
        <v>43</v>
      </c>
      <c r="G223" s="293" t="s">
        <v>251</v>
      </c>
      <c r="J223" s="279"/>
      <c r="K223" s="279"/>
      <c r="L223" s="279"/>
      <c r="M223" s="279"/>
      <c r="N223" s="279"/>
      <c r="O223" s="279"/>
      <c r="P223" s="279"/>
      <c r="Q223" s="279"/>
      <c r="R223" s="279"/>
      <c r="S223" s="279"/>
      <c r="T223" s="279"/>
      <c r="U223" s="279"/>
      <c r="V223" s="279"/>
      <c r="W223" s="279"/>
      <c r="X223" s="279"/>
      <c r="Y223" s="279"/>
    </row>
    <row r="224" spans="3:27" x14ac:dyDescent="0.25">
      <c r="C224" s="86"/>
      <c r="D224" s="293"/>
      <c r="F224" s="293" t="s">
        <v>44</v>
      </c>
      <c r="G224" s="293" t="s">
        <v>251</v>
      </c>
      <c r="J224" s="275">
        <f t="shared" ref="J224:Q231" si="146">J$122 * J164</f>
        <v>0</v>
      </c>
      <c r="K224" s="275">
        <f t="shared" si="146"/>
        <v>0</v>
      </c>
      <c r="L224" s="275">
        <f t="shared" si="146"/>
        <v>0</v>
      </c>
      <c r="M224" s="275">
        <f t="shared" si="146"/>
        <v>0</v>
      </c>
      <c r="N224" s="275">
        <f t="shared" si="146"/>
        <v>0</v>
      </c>
      <c r="O224" s="275">
        <f t="shared" si="146"/>
        <v>0</v>
      </c>
      <c r="P224" s="275">
        <f t="shared" si="146"/>
        <v>0</v>
      </c>
      <c r="Q224" s="275">
        <f t="shared" si="146"/>
        <v>0</v>
      </c>
      <c r="R224" s="279"/>
      <c r="S224" s="279"/>
      <c r="T224" s="279"/>
      <c r="U224" s="279"/>
      <c r="V224" s="279"/>
      <c r="W224" s="279"/>
      <c r="X224" s="279"/>
      <c r="Y224" s="279"/>
    </row>
    <row r="225" spans="3:25" x14ac:dyDescent="0.25">
      <c r="C225" s="86"/>
      <c r="D225" s="293"/>
      <c r="F225" s="293" t="s">
        <v>45</v>
      </c>
      <c r="G225" s="293" t="s">
        <v>251</v>
      </c>
      <c r="J225" s="275">
        <f t="shared" si="146"/>
        <v>0</v>
      </c>
      <c r="K225" s="275">
        <f t="shared" si="146"/>
        <v>0</v>
      </c>
      <c r="L225" s="275">
        <f t="shared" si="146"/>
        <v>0</v>
      </c>
      <c r="M225" s="275">
        <f t="shared" si="146"/>
        <v>0</v>
      </c>
      <c r="N225" s="275">
        <f t="shared" si="146"/>
        <v>0</v>
      </c>
      <c r="O225" s="275">
        <f t="shared" si="146"/>
        <v>0</v>
      </c>
      <c r="P225" s="275">
        <f t="shared" si="146"/>
        <v>0</v>
      </c>
      <c r="Q225" s="275">
        <f t="shared" si="146"/>
        <v>0</v>
      </c>
      <c r="R225" s="279"/>
      <c r="S225" s="279"/>
      <c r="T225" s="279"/>
      <c r="U225" s="279"/>
      <c r="V225" s="279"/>
      <c r="W225" s="279"/>
      <c r="X225" s="279"/>
      <c r="Y225" s="279"/>
    </row>
    <row r="226" spans="3:25" x14ac:dyDescent="0.25">
      <c r="C226" s="86"/>
      <c r="D226" s="293"/>
      <c r="F226" s="293" t="s">
        <v>46</v>
      </c>
      <c r="G226" s="293" t="s">
        <v>251</v>
      </c>
      <c r="J226" s="275">
        <f t="shared" si="146"/>
        <v>0</v>
      </c>
      <c r="K226" s="275">
        <f t="shared" si="146"/>
        <v>0</v>
      </c>
      <c r="L226" s="275">
        <f t="shared" si="146"/>
        <v>0</v>
      </c>
      <c r="M226" s="275">
        <f t="shared" si="146"/>
        <v>0</v>
      </c>
      <c r="N226" s="275">
        <f t="shared" si="146"/>
        <v>0</v>
      </c>
      <c r="O226" s="275">
        <f t="shared" si="146"/>
        <v>0</v>
      </c>
      <c r="P226" s="275">
        <f t="shared" si="146"/>
        <v>0.35225963746416283</v>
      </c>
      <c r="Q226" s="275">
        <f t="shared" si="146"/>
        <v>0</v>
      </c>
      <c r="R226" s="279"/>
      <c r="S226" s="279"/>
      <c r="T226" s="279"/>
      <c r="U226" s="279"/>
      <c r="V226" s="279"/>
      <c r="W226" s="279"/>
      <c r="X226" s="279"/>
      <c r="Y226" s="279"/>
    </row>
    <row r="227" spans="3:25" x14ac:dyDescent="0.25">
      <c r="C227" s="86"/>
      <c r="D227" s="293"/>
      <c r="F227" s="293" t="s">
        <v>47</v>
      </c>
      <c r="G227" s="293" t="s">
        <v>251</v>
      </c>
      <c r="J227" s="275">
        <f t="shared" si="146"/>
        <v>0</v>
      </c>
      <c r="K227" s="275">
        <f t="shared" si="146"/>
        <v>0</v>
      </c>
      <c r="L227" s="275">
        <f t="shared" si="146"/>
        <v>0</v>
      </c>
      <c r="M227" s="275">
        <f t="shared" si="146"/>
        <v>0</v>
      </c>
      <c r="N227" s="275">
        <f t="shared" si="146"/>
        <v>0</v>
      </c>
      <c r="O227" s="275">
        <f t="shared" si="146"/>
        <v>0</v>
      </c>
      <c r="P227" s="275">
        <f t="shared" si="146"/>
        <v>1.2461046527530997</v>
      </c>
      <c r="Q227" s="275">
        <f t="shared" si="146"/>
        <v>0</v>
      </c>
      <c r="R227" s="279"/>
      <c r="S227" s="279"/>
      <c r="T227" s="279"/>
      <c r="U227" s="279"/>
      <c r="V227" s="279"/>
      <c r="W227" s="279"/>
      <c r="X227" s="279"/>
      <c r="Y227" s="279"/>
    </row>
    <row r="228" spans="3:25" x14ac:dyDescent="0.25">
      <c r="C228" s="86"/>
      <c r="D228" s="293"/>
      <c r="F228" s="293" t="s">
        <v>51</v>
      </c>
      <c r="G228" s="293" t="s">
        <v>251</v>
      </c>
      <c r="J228" s="275">
        <f t="shared" si="146"/>
        <v>0</v>
      </c>
      <c r="K228" s="275">
        <f t="shared" si="146"/>
        <v>0</v>
      </c>
      <c r="L228" s="275">
        <f t="shared" si="146"/>
        <v>0</v>
      </c>
      <c r="M228" s="275">
        <f t="shared" si="146"/>
        <v>0</v>
      </c>
      <c r="N228" s="275">
        <f t="shared" si="146"/>
        <v>0</v>
      </c>
      <c r="O228" s="275">
        <f t="shared" si="146"/>
        <v>0</v>
      </c>
      <c r="P228" s="275">
        <f t="shared" si="146"/>
        <v>0</v>
      </c>
      <c r="Q228" s="275">
        <f t="shared" si="146"/>
        <v>0</v>
      </c>
      <c r="R228" s="279"/>
      <c r="S228" s="279"/>
      <c r="T228" s="279"/>
      <c r="U228" s="279"/>
      <c r="V228" s="279"/>
      <c r="W228" s="279"/>
      <c r="X228" s="279"/>
      <c r="Y228" s="279"/>
    </row>
    <row r="229" spans="3:25" x14ac:dyDescent="0.25">
      <c r="C229" s="86"/>
      <c r="D229" s="293"/>
      <c r="F229" s="293" t="s">
        <v>48</v>
      </c>
      <c r="G229" s="293" t="s">
        <v>251</v>
      </c>
      <c r="J229" s="275">
        <f t="shared" si="146"/>
        <v>0</v>
      </c>
      <c r="K229" s="275">
        <f t="shared" si="146"/>
        <v>0</v>
      </c>
      <c r="L229" s="275">
        <f t="shared" si="146"/>
        <v>0</v>
      </c>
      <c r="M229" s="275">
        <f t="shared" si="146"/>
        <v>0</v>
      </c>
      <c r="N229" s="275">
        <f t="shared" si="146"/>
        <v>0.62249004136878627</v>
      </c>
      <c r="O229" s="275">
        <f t="shared" si="146"/>
        <v>2.986579058773037</v>
      </c>
      <c r="P229" s="275">
        <f t="shared" si="146"/>
        <v>2.9436684401125044</v>
      </c>
      <c r="Q229" s="275">
        <f t="shared" si="146"/>
        <v>0</v>
      </c>
      <c r="R229" s="279"/>
      <c r="S229" s="279"/>
      <c r="T229" s="279"/>
      <c r="U229" s="279"/>
      <c r="V229" s="279"/>
      <c r="W229" s="279"/>
      <c r="X229" s="279"/>
      <c r="Y229" s="279"/>
    </row>
    <row r="230" spans="3:25" x14ac:dyDescent="0.25">
      <c r="C230" s="86"/>
      <c r="D230" s="293"/>
      <c r="F230" s="293" t="s">
        <v>49</v>
      </c>
      <c r="G230" s="293" t="s">
        <v>251</v>
      </c>
      <c r="J230" s="275">
        <f t="shared" si="146"/>
        <v>0</v>
      </c>
      <c r="K230" s="275">
        <f t="shared" si="146"/>
        <v>0</v>
      </c>
      <c r="L230" s="275">
        <f t="shared" si="146"/>
        <v>0</v>
      </c>
      <c r="M230" s="275">
        <f t="shared" si="146"/>
        <v>0</v>
      </c>
      <c r="N230" s="275">
        <f t="shared" si="146"/>
        <v>1.1733307833191438</v>
      </c>
      <c r="O230" s="275">
        <f t="shared" si="146"/>
        <v>1.1258799060525606</v>
      </c>
      <c r="P230" s="275">
        <f t="shared" si="146"/>
        <v>0</v>
      </c>
      <c r="Q230" s="275">
        <f t="shared" si="146"/>
        <v>0</v>
      </c>
      <c r="R230" s="279"/>
      <c r="S230" s="279"/>
      <c r="T230" s="279"/>
      <c r="U230" s="279"/>
      <c r="V230" s="279"/>
      <c r="W230" s="279"/>
      <c r="X230" s="279"/>
      <c r="Y230" s="279"/>
    </row>
    <row r="231" spans="3:25" x14ac:dyDescent="0.25">
      <c r="C231" s="86"/>
      <c r="D231" s="293"/>
      <c r="F231" s="293" t="s">
        <v>50</v>
      </c>
      <c r="G231" s="293" t="s">
        <v>251</v>
      </c>
      <c r="J231" s="275">
        <f t="shared" si="146"/>
        <v>0</v>
      </c>
      <c r="K231" s="275">
        <f t="shared" si="146"/>
        <v>0</v>
      </c>
      <c r="L231" s="275">
        <f t="shared" si="146"/>
        <v>0</v>
      </c>
      <c r="M231" s="275">
        <f t="shared" si="146"/>
        <v>0</v>
      </c>
      <c r="N231" s="275">
        <f t="shared" si="146"/>
        <v>2.5807889336124412</v>
      </c>
      <c r="O231" s="275">
        <f t="shared" si="146"/>
        <v>0</v>
      </c>
      <c r="P231" s="275">
        <f t="shared" si="146"/>
        <v>0</v>
      </c>
      <c r="Q231" s="275">
        <f t="shared" si="146"/>
        <v>0</v>
      </c>
      <c r="R231" s="279"/>
      <c r="S231" s="279"/>
      <c r="T231" s="279"/>
      <c r="U231" s="279"/>
      <c r="V231" s="279"/>
      <c r="W231" s="279"/>
      <c r="X231" s="279"/>
      <c r="Y231" s="279"/>
    </row>
    <row r="232" spans="3:25" x14ac:dyDescent="0.25">
      <c r="C232" s="86"/>
      <c r="D232" s="293"/>
      <c r="F232" s="293" t="s">
        <v>124</v>
      </c>
      <c r="G232" s="293" t="s">
        <v>251</v>
      </c>
      <c r="J232" s="279"/>
      <c r="K232" s="279"/>
      <c r="L232" s="279"/>
      <c r="M232" s="279"/>
      <c r="N232" s="279"/>
      <c r="O232" s="279"/>
      <c r="P232" s="279"/>
      <c r="Q232" s="279"/>
      <c r="R232" s="279"/>
      <c r="S232" s="279"/>
      <c r="T232" s="279"/>
      <c r="U232" s="279"/>
      <c r="V232" s="279"/>
      <c r="W232" s="279"/>
      <c r="X232" s="279"/>
      <c r="Y232" s="279"/>
    </row>
    <row r="233" spans="3:25" x14ac:dyDescent="0.25">
      <c r="C233" s="86"/>
      <c r="D233" s="293"/>
      <c r="F233" s="93" t="s">
        <v>123</v>
      </c>
      <c r="G233" s="93" t="s">
        <v>251</v>
      </c>
      <c r="H233" s="93"/>
      <c r="I233" s="93"/>
      <c r="J233" s="240"/>
      <c r="K233" s="240"/>
      <c r="L233" s="240"/>
      <c r="M233" s="240"/>
      <c r="N233" s="240"/>
      <c r="O233" s="240"/>
      <c r="P233" s="240"/>
      <c r="Q233" s="240"/>
      <c r="R233" s="240"/>
      <c r="S233" s="240"/>
      <c r="T233" s="240"/>
      <c r="U233" s="240"/>
      <c r="V233" s="240"/>
      <c r="W233" s="240"/>
      <c r="X233" s="240"/>
      <c r="Y233" s="240"/>
    </row>
    <row r="234" spans="3:25" x14ac:dyDescent="0.25">
      <c r="C234" s="86"/>
      <c r="D234" s="293"/>
      <c r="J234" s="252"/>
      <c r="K234" s="252"/>
      <c r="L234" s="252"/>
      <c r="M234" s="252"/>
      <c r="N234" s="252"/>
      <c r="O234" s="252"/>
      <c r="P234" s="252"/>
      <c r="Q234" s="252"/>
      <c r="R234" s="252"/>
      <c r="S234" s="252"/>
      <c r="T234" s="252"/>
      <c r="U234" s="252"/>
      <c r="V234" s="252"/>
      <c r="W234" s="252"/>
      <c r="X234" s="252"/>
      <c r="Y234" s="252"/>
    </row>
    <row r="235" spans="3:25" x14ac:dyDescent="0.25">
      <c r="C235" s="86"/>
      <c r="D235" s="293"/>
      <c r="E235" s="96" t="s">
        <v>116</v>
      </c>
      <c r="J235" s="252"/>
      <c r="K235" s="252"/>
      <c r="L235" s="252"/>
      <c r="M235" s="252"/>
      <c r="N235" s="252"/>
      <c r="O235" s="252"/>
      <c r="P235" s="252"/>
      <c r="Q235" s="252"/>
      <c r="R235" s="252"/>
      <c r="S235" s="252"/>
      <c r="T235" s="252"/>
      <c r="U235" s="252"/>
      <c r="V235" s="252"/>
      <c r="W235" s="252"/>
      <c r="X235" s="252"/>
      <c r="Y235" s="252"/>
    </row>
    <row r="236" spans="3:25" x14ac:dyDescent="0.25">
      <c r="C236" s="86"/>
      <c r="D236" s="293"/>
      <c r="F236" s="91" t="s">
        <v>267</v>
      </c>
      <c r="G236" s="91" t="s">
        <v>251</v>
      </c>
      <c r="H236" s="91"/>
      <c r="I236" s="91"/>
      <c r="J236" s="267">
        <f t="shared" ref="J236:Q245" si="147">J$122 * J176</f>
        <v>0</v>
      </c>
      <c r="K236" s="267">
        <f t="shared" si="147"/>
        <v>0</v>
      </c>
      <c r="L236" s="267">
        <f t="shared" si="147"/>
        <v>0</v>
      </c>
      <c r="M236" s="267">
        <f t="shared" si="147"/>
        <v>0</v>
      </c>
      <c r="N236" s="267">
        <f t="shared" si="147"/>
        <v>0</v>
      </c>
      <c r="O236" s="267">
        <f t="shared" si="147"/>
        <v>0</v>
      </c>
      <c r="P236" s="267">
        <f t="shared" si="147"/>
        <v>0</v>
      </c>
      <c r="Q236" s="267">
        <f t="shared" si="147"/>
        <v>0</v>
      </c>
      <c r="R236" s="238"/>
      <c r="S236" s="238"/>
      <c r="T236" s="238"/>
      <c r="U236" s="238"/>
      <c r="V236" s="238"/>
      <c r="W236" s="238"/>
      <c r="X236" s="238"/>
      <c r="Y236" s="238"/>
    </row>
    <row r="237" spans="3:25" x14ac:dyDescent="0.25">
      <c r="C237" s="86"/>
      <c r="D237" s="293"/>
      <c r="F237" s="293" t="s">
        <v>43</v>
      </c>
      <c r="G237" s="293" t="s">
        <v>251</v>
      </c>
      <c r="J237" s="275">
        <f t="shared" si="147"/>
        <v>0</v>
      </c>
      <c r="K237" s="275">
        <f t="shared" si="147"/>
        <v>0</v>
      </c>
      <c r="L237" s="275">
        <f t="shared" si="147"/>
        <v>0</v>
      </c>
      <c r="M237" s="275">
        <f t="shared" si="147"/>
        <v>0</v>
      </c>
      <c r="N237" s="275">
        <f t="shared" si="147"/>
        <v>0</v>
      </c>
      <c r="O237" s="275">
        <f t="shared" si="147"/>
        <v>0</v>
      </c>
      <c r="P237" s="275">
        <f t="shared" si="147"/>
        <v>0</v>
      </c>
      <c r="Q237" s="275">
        <f t="shared" si="147"/>
        <v>0</v>
      </c>
      <c r="R237" s="279"/>
      <c r="S237" s="279"/>
      <c r="T237" s="279"/>
      <c r="U237" s="279"/>
      <c r="V237" s="279"/>
      <c r="W237" s="279"/>
      <c r="X237" s="279"/>
      <c r="Y237" s="279"/>
    </row>
    <row r="238" spans="3:25" x14ac:dyDescent="0.25">
      <c r="C238" s="86"/>
      <c r="D238" s="293"/>
      <c r="F238" s="293" t="s">
        <v>44</v>
      </c>
      <c r="G238" s="293" t="s">
        <v>251</v>
      </c>
      <c r="J238" s="275">
        <f t="shared" si="147"/>
        <v>0</v>
      </c>
      <c r="K238" s="275">
        <f t="shared" si="147"/>
        <v>0</v>
      </c>
      <c r="L238" s="275">
        <f t="shared" si="147"/>
        <v>0</v>
      </c>
      <c r="M238" s="275">
        <f t="shared" si="147"/>
        <v>0</v>
      </c>
      <c r="N238" s="275">
        <f t="shared" si="147"/>
        <v>0</v>
      </c>
      <c r="O238" s="275">
        <f t="shared" si="147"/>
        <v>0</v>
      </c>
      <c r="P238" s="275">
        <f t="shared" si="147"/>
        <v>0</v>
      </c>
      <c r="Q238" s="275">
        <f t="shared" si="147"/>
        <v>0</v>
      </c>
      <c r="R238" s="279"/>
      <c r="S238" s="279"/>
      <c r="T238" s="279"/>
      <c r="U238" s="279"/>
      <c r="V238" s="279"/>
      <c r="W238" s="279"/>
      <c r="X238" s="279"/>
      <c r="Y238" s="279"/>
    </row>
    <row r="239" spans="3:25" x14ac:dyDescent="0.25">
      <c r="C239" s="86"/>
      <c r="D239" s="293"/>
      <c r="F239" s="293" t="s">
        <v>45</v>
      </c>
      <c r="G239" s="293" t="s">
        <v>251</v>
      </c>
      <c r="J239" s="275">
        <f t="shared" si="147"/>
        <v>0</v>
      </c>
      <c r="K239" s="275">
        <f t="shared" si="147"/>
        <v>0</v>
      </c>
      <c r="L239" s="275">
        <f t="shared" si="147"/>
        <v>0</v>
      </c>
      <c r="M239" s="275">
        <f t="shared" si="147"/>
        <v>0</v>
      </c>
      <c r="N239" s="275">
        <f t="shared" si="147"/>
        <v>0</v>
      </c>
      <c r="O239" s="275">
        <f t="shared" si="147"/>
        <v>0</v>
      </c>
      <c r="P239" s="275">
        <f t="shared" si="147"/>
        <v>0</v>
      </c>
      <c r="Q239" s="275">
        <f t="shared" si="147"/>
        <v>0</v>
      </c>
      <c r="R239" s="279"/>
      <c r="S239" s="279"/>
      <c r="T239" s="279"/>
      <c r="U239" s="279"/>
      <c r="V239" s="279"/>
      <c r="W239" s="279"/>
      <c r="X239" s="279"/>
      <c r="Y239" s="279"/>
    </row>
    <row r="240" spans="3:25" x14ac:dyDescent="0.25">
      <c r="C240" s="86"/>
      <c r="D240" s="293"/>
      <c r="F240" s="293" t="s">
        <v>46</v>
      </c>
      <c r="G240" s="293" t="s">
        <v>251</v>
      </c>
      <c r="J240" s="275">
        <f t="shared" si="147"/>
        <v>0</v>
      </c>
      <c r="K240" s="275">
        <f t="shared" si="147"/>
        <v>0</v>
      </c>
      <c r="L240" s="275">
        <f t="shared" si="147"/>
        <v>0</v>
      </c>
      <c r="M240" s="275">
        <f t="shared" si="147"/>
        <v>0</v>
      </c>
      <c r="N240" s="275">
        <f t="shared" si="147"/>
        <v>0</v>
      </c>
      <c r="O240" s="275">
        <f t="shared" si="147"/>
        <v>0</v>
      </c>
      <c r="P240" s="275">
        <f t="shared" si="147"/>
        <v>0.19809029550291385</v>
      </c>
      <c r="Q240" s="275">
        <f t="shared" si="147"/>
        <v>0</v>
      </c>
      <c r="R240" s="279"/>
      <c r="S240" s="279"/>
      <c r="T240" s="279"/>
      <c r="U240" s="279"/>
      <c r="V240" s="279"/>
      <c r="W240" s="279"/>
      <c r="X240" s="279"/>
      <c r="Y240" s="279"/>
    </row>
    <row r="241" spans="2:27" x14ac:dyDescent="0.25">
      <c r="C241" s="86"/>
      <c r="D241" s="293"/>
      <c r="F241" s="293" t="s">
        <v>47</v>
      </c>
      <c r="G241" s="293" t="s">
        <v>251</v>
      </c>
      <c r="J241" s="275">
        <f t="shared" si="147"/>
        <v>0</v>
      </c>
      <c r="K241" s="275">
        <f t="shared" si="147"/>
        <v>0</v>
      </c>
      <c r="L241" s="275">
        <f t="shared" si="147"/>
        <v>0</v>
      </c>
      <c r="M241" s="275">
        <f t="shared" si="147"/>
        <v>0</v>
      </c>
      <c r="N241" s="275">
        <f t="shared" si="147"/>
        <v>0</v>
      </c>
      <c r="O241" s="275">
        <f t="shared" si="147"/>
        <v>0</v>
      </c>
      <c r="P241" s="275">
        <f t="shared" si="147"/>
        <v>0.70073665171624944</v>
      </c>
      <c r="Q241" s="275">
        <f t="shared" si="147"/>
        <v>0</v>
      </c>
      <c r="R241" s="279"/>
      <c r="S241" s="279"/>
      <c r="T241" s="279"/>
      <c r="U241" s="279"/>
      <c r="V241" s="279"/>
      <c r="W241" s="279"/>
      <c r="X241" s="279"/>
      <c r="Y241" s="279"/>
    </row>
    <row r="242" spans="2:27" x14ac:dyDescent="0.25">
      <c r="C242" s="86"/>
      <c r="D242" s="293"/>
      <c r="F242" s="293" t="s">
        <v>51</v>
      </c>
      <c r="G242" s="293" t="s">
        <v>251</v>
      </c>
      <c r="J242" s="275">
        <f t="shared" si="147"/>
        <v>0</v>
      </c>
      <c r="K242" s="275">
        <f t="shared" si="147"/>
        <v>0</v>
      </c>
      <c r="L242" s="275">
        <f t="shared" si="147"/>
        <v>0</v>
      </c>
      <c r="M242" s="275">
        <f t="shared" si="147"/>
        <v>0</v>
      </c>
      <c r="N242" s="275">
        <f t="shared" si="147"/>
        <v>0</v>
      </c>
      <c r="O242" s="275">
        <f t="shared" si="147"/>
        <v>0</v>
      </c>
      <c r="P242" s="275">
        <f t="shared" si="147"/>
        <v>0</v>
      </c>
      <c r="Q242" s="275">
        <f t="shared" si="147"/>
        <v>0</v>
      </c>
      <c r="R242" s="279"/>
      <c r="S242" s="279"/>
      <c r="T242" s="279"/>
      <c r="U242" s="279"/>
      <c r="V242" s="279"/>
      <c r="W242" s="279"/>
      <c r="X242" s="279"/>
      <c r="Y242" s="279"/>
    </row>
    <row r="243" spans="2:27" x14ac:dyDescent="0.25">
      <c r="C243" s="86"/>
      <c r="D243" s="293"/>
      <c r="F243" s="293" t="s">
        <v>48</v>
      </c>
      <c r="G243" s="293" t="s">
        <v>251</v>
      </c>
      <c r="J243" s="275">
        <f t="shared" si="147"/>
        <v>0</v>
      </c>
      <c r="K243" s="275">
        <f t="shared" si="147"/>
        <v>0</v>
      </c>
      <c r="L243" s="275">
        <f t="shared" si="147"/>
        <v>0</v>
      </c>
      <c r="M243" s="275">
        <f t="shared" si="147"/>
        <v>0</v>
      </c>
      <c r="N243" s="275">
        <f t="shared" si="147"/>
        <v>0.35005212953161247</v>
      </c>
      <c r="O243" s="275">
        <f t="shared" si="147"/>
        <v>1.6794780479365963</v>
      </c>
      <c r="P243" s="275">
        <f t="shared" si="147"/>
        <v>1.6553476162133696</v>
      </c>
      <c r="Q243" s="275">
        <f t="shared" si="147"/>
        <v>0</v>
      </c>
      <c r="R243" s="279"/>
      <c r="S243" s="279"/>
      <c r="T243" s="279"/>
      <c r="U243" s="279"/>
      <c r="V243" s="279"/>
      <c r="W243" s="279"/>
      <c r="X243" s="279"/>
      <c r="Y243" s="279"/>
    </row>
    <row r="244" spans="2:27" x14ac:dyDescent="0.25">
      <c r="C244" s="86"/>
      <c r="D244" s="293"/>
      <c r="F244" s="293" t="s">
        <v>49</v>
      </c>
      <c r="G244" s="293" t="s">
        <v>251</v>
      </c>
      <c r="J244" s="275">
        <f t="shared" si="147"/>
        <v>0</v>
      </c>
      <c r="K244" s="275">
        <f t="shared" si="147"/>
        <v>0</v>
      </c>
      <c r="L244" s="275">
        <f t="shared" si="147"/>
        <v>0</v>
      </c>
      <c r="M244" s="275">
        <f t="shared" si="147"/>
        <v>0</v>
      </c>
      <c r="N244" s="275">
        <f t="shared" si="147"/>
        <v>0.65981286775723891</v>
      </c>
      <c r="O244" s="275">
        <f t="shared" si="147"/>
        <v>0.63312925913470353</v>
      </c>
      <c r="P244" s="275">
        <f t="shared" si="147"/>
        <v>0</v>
      </c>
      <c r="Q244" s="275">
        <f t="shared" si="147"/>
        <v>0</v>
      </c>
      <c r="R244" s="279"/>
      <c r="S244" s="279"/>
      <c r="T244" s="279"/>
      <c r="U244" s="279"/>
      <c r="V244" s="279"/>
      <c r="W244" s="279"/>
      <c r="X244" s="279"/>
      <c r="Y244" s="279"/>
    </row>
    <row r="245" spans="2:27" x14ac:dyDescent="0.25">
      <c r="C245" s="86"/>
      <c r="D245" s="293"/>
      <c r="F245" s="293" t="s">
        <v>50</v>
      </c>
      <c r="G245" s="293" t="s">
        <v>251</v>
      </c>
      <c r="J245" s="275">
        <f t="shared" si="147"/>
        <v>0</v>
      </c>
      <c r="K245" s="275">
        <f t="shared" si="147"/>
        <v>0</v>
      </c>
      <c r="L245" s="275">
        <f t="shared" si="147"/>
        <v>0</v>
      </c>
      <c r="M245" s="275">
        <f t="shared" si="147"/>
        <v>0</v>
      </c>
      <c r="N245" s="275">
        <f t="shared" si="147"/>
        <v>1.4512853251373385</v>
      </c>
      <c r="O245" s="275">
        <f t="shared" si="147"/>
        <v>0</v>
      </c>
      <c r="P245" s="275">
        <f t="shared" si="147"/>
        <v>0</v>
      </c>
      <c r="Q245" s="275">
        <f t="shared" si="147"/>
        <v>0</v>
      </c>
      <c r="R245" s="279"/>
      <c r="S245" s="279"/>
      <c r="T245" s="279"/>
      <c r="U245" s="279"/>
      <c r="V245" s="279"/>
      <c r="W245" s="279"/>
      <c r="X245" s="279"/>
      <c r="Y245" s="279"/>
    </row>
    <row r="246" spans="2:27" x14ac:dyDescent="0.25">
      <c r="C246" s="86"/>
      <c r="D246" s="293"/>
      <c r="F246" s="293" t="s">
        <v>124</v>
      </c>
      <c r="G246" s="293" t="s">
        <v>251</v>
      </c>
      <c r="J246" s="279"/>
      <c r="K246" s="279"/>
      <c r="L246" s="279"/>
      <c r="M246" s="279"/>
      <c r="N246" s="279"/>
      <c r="O246" s="279"/>
      <c r="P246" s="279"/>
      <c r="Q246" s="279"/>
      <c r="R246" s="279"/>
      <c r="S246" s="279"/>
      <c r="T246" s="279"/>
      <c r="U246" s="279"/>
      <c r="V246" s="279"/>
      <c r="W246" s="279"/>
      <c r="X246" s="279"/>
      <c r="Y246" s="279"/>
    </row>
    <row r="247" spans="2:27" x14ac:dyDescent="0.25">
      <c r="C247" s="86"/>
      <c r="D247" s="293"/>
      <c r="F247" s="93" t="s">
        <v>123</v>
      </c>
      <c r="G247" s="93" t="s">
        <v>251</v>
      </c>
      <c r="H247" s="93"/>
      <c r="I247" s="93"/>
      <c r="J247" s="240"/>
      <c r="K247" s="240"/>
      <c r="L247" s="240"/>
      <c r="M247" s="240"/>
      <c r="N247" s="240"/>
      <c r="O247" s="240"/>
      <c r="P247" s="240"/>
      <c r="Q247" s="240"/>
      <c r="R247" s="240"/>
      <c r="S247" s="240"/>
      <c r="T247" s="240"/>
      <c r="U247" s="240"/>
      <c r="V247" s="240"/>
      <c r="W247" s="240"/>
      <c r="X247" s="240"/>
      <c r="Y247" s="240"/>
    </row>
    <row r="248" spans="2:27" x14ac:dyDescent="0.25">
      <c r="C248" s="86"/>
      <c r="J248" s="252"/>
      <c r="K248" s="252"/>
      <c r="L248" s="252"/>
      <c r="M248" s="252"/>
      <c r="N248" s="252"/>
      <c r="O248" s="252"/>
      <c r="P248" s="252"/>
      <c r="Q248" s="252"/>
      <c r="R248" s="252"/>
      <c r="S248" s="252"/>
      <c r="T248" s="252"/>
      <c r="U248" s="252"/>
      <c r="V248" s="252"/>
      <c r="W248" s="252"/>
      <c r="X248" s="252"/>
      <c r="Y248" s="252"/>
    </row>
    <row r="249" spans="2:27" x14ac:dyDescent="0.25">
      <c r="B249" s="95" t="s">
        <v>655</v>
      </c>
      <c r="C249" s="95"/>
      <c r="D249" s="95"/>
      <c r="E249" s="95"/>
      <c r="F249" s="95"/>
      <c r="G249" s="95"/>
      <c r="H249" s="95"/>
      <c r="I249" s="95"/>
      <c r="J249" s="281"/>
      <c r="K249" s="281"/>
      <c r="L249" s="281"/>
      <c r="M249" s="281"/>
      <c r="N249" s="281"/>
      <c r="O249" s="281"/>
      <c r="P249" s="281"/>
      <c r="Q249" s="281"/>
      <c r="R249" s="281"/>
      <c r="S249" s="281"/>
      <c r="T249" s="281"/>
      <c r="U249" s="281"/>
      <c r="V249" s="281"/>
      <c r="W249" s="281"/>
      <c r="X249" s="281"/>
      <c r="Y249" s="281"/>
      <c r="Z249" s="95"/>
      <c r="AA249" s="95"/>
    </row>
    <row r="250" spans="2:27" x14ac:dyDescent="0.25">
      <c r="J250" s="252"/>
      <c r="K250" s="252"/>
      <c r="L250" s="252"/>
      <c r="M250" s="252"/>
      <c r="N250" s="252"/>
      <c r="O250" s="252"/>
      <c r="P250" s="252"/>
      <c r="Q250" s="252"/>
      <c r="R250" s="252"/>
      <c r="S250" s="252"/>
      <c r="T250" s="252"/>
      <c r="U250" s="252"/>
      <c r="V250" s="252"/>
      <c r="W250" s="252"/>
      <c r="X250" s="252"/>
      <c r="Y250" s="252"/>
    </row>
    <row r="251" spans="2:27" x14ac:dyDescent="0.25">
      <c r="B251" s="67"/>
      <c r="C251" s="82" t="s">
        <v>400</v>
      </c>
      <c r="D251" s="293"/>
      <c r="E251" s="293"/>
      <c r="J251" s="252"/>
      <c r="K251" s="252"/>
      <c r="L251" s="252"/>
      <c r="M251" s="252"/>
      <c r="N251" s="252"/>
      <c r="O251" s="252"/>
      <c r="P251" s="252"/>
      <c r="Q251" s="252"/>
      <c r="R251" s="252"/>
      <c r="S251" s="252"/>
      <c r="T251" s="252"/>
      <c r="U251" s="252"/>
      <c r="V251" s="252"/>
      <c r="W251" s="252"/>
      <c r="X251" s="252"/>
      <c r="Y251" s="252"/>
    </row>
    <row r="252" spans="2:27" x14ac:dyDescent="0.25">
      <c r="B252" s="67"/>
      <c r="C252" s="82" t="s">
        <v>401</v>
      </c>
      <c r="D252" s="293"/>
      <c r="E252" s="293"/>
      <c r="J252" s="252"/>
      <c r="K252" s="252"/>
      <c r="L252" s="252"/>
      <c r="M252" s="252"/>
      <c r="N252" s="252"/>
      <c r="O252" s="252"/>
      <c r="P252" s="252"/>
      <c r="Q252" s="252"/>
      <c r="R252" s="252"/>
      <c r="S252" s="252"/>
      <c r="T252" s="252"/>
      <c r="U252" s="252"/>
      <c r="V252" s="252"/>
      <c r="W252" s="252"/>
      <c r="X252" s="252"/>
      <c r="Y252" s="252"/>
    </row>
    <row r="253" spans="2:27" x14ac:dyDescent="0.25">
      <c r="J253" s="252"/>
      <c r="K253" s="252"/>
      <c r="L253" s="252"/>
      <c r="M253" s="252"/>
      <c r="N253" s="252"/>
      <c r="O253" s="252"/>
      <c r="P253" s="252"/>
      <c r="Q253" s="252"/>
      <c r="R253" s="252"/>
      <c r="S253" s="252"/>
      <c r="T253" s="252"/>
      <c r="U253" s="252"/>
      <c r="V253" s="252"/>
      <c r="W253" s="252"/>
      <c r="X253" s="252"/>
      <c r="Y253" s="252"/>
    </row>
    <row r="254" spans="2:27" x14ac:dyDescent="0.25">
      <c r="C254" s="7" t="str">
        <f ca="1">INDEX('Version control'!$H$35:$H$61,MATCH($A$1,'Version control'!$F$35:$F$61,0),1)&amp;"-F: Capacity and exceeded capacity charges"</f>
        <v>Section 515-F: Capacity and exceeded capacity charges</v>
      </c>
      <c r="D254" s="7"/>
      <c r="E254" s="7"/>
      <c r="F254" s="7"/>
      <c r="G254" s="7"/>
      <c r="H254" s="7"/>
      <c r="I254" s="7"/>
      <c r="J254" s="242"/>
      <c r="K254" s="242"/>
      <c r="L254" s="242"/>
      <c r="M254" s="242"/>
      <c r="N254" s="242"/>
      <c r="O254" s="242"/>
      <c r="P254" s="242"/>
      <c r="Q254" s="242"/>
      <c r="R254" s="242"/>
      <c r="S254" s="242"/>
      <c r="T254" s="242"/>
      <c r="U254" s="242"/>
      <c r="V254" s="242"/>
      <c r="W254" s="242"/>
      <c r="X254" s="242"/>
      <c r="Y254" s="242"/>
      <c r="Z254" s="7"/>
      <c r="AA254" s="7"/>
    </row>
    <row r="255" spans="2:27" x14ac:dyDescent="0.25">
      <c r="J255" s="252"/>
      <c r="K255" s="252"/>
      <c r="L255" s="252"/>
      <c r="M255" s="252"/>
      <c r="N255" s="252"/>
      <c r="O255" s="252"/>
      <c r="P255" s="252"/>
      <c r="Q255" s="252"/>
      <c r="R255" s="252"/>
      <c r="S255" s="252"/>
      <c r="T255" s="252"/>
      <c r="U255" s="252"/>
      <c r="V255" s="252"/>
      <c r="W255" s="252"/>
      <c r="X255" s="252"/>
      <c r="Y255" s="252"/>
    </row>
    <row r="256" spans="2:27" x14ac:dyDescent="0.25">
      <c r="E256" s="293" t="s">
        <v>300</v>
      </c>
      <c r="G256" s="293" t="s">
        <v>251</v>
      </c>
      <c r="I256" s="293" t="s">
        <v>359</v>
      </c>
      <c r="J256" s="258">
        <f t="shared" ref="J256:Q256" si="148">SUM(J192:J203,J206:J217)</f>
        <v>0</v>
      </c>
      <c r="K256" s="258">
        <f t="shared" si="148"/>
        <v>0</v>
      </c>
      <c r="L256" s="258">
        <f t="shared" si="148"/>
        <v>0</v>
      </c>
      <c r="M256" s="258">
        <f t="shared" si="148"/>
        <v>0</v>
      </c>
      <c r="N256" s="258">
        <f t="shared" si="148"/>
        <v>3.6596972672004675</v>
      </c>
      <c r="O256" s="258">
        <f t="shared" si="148"/>
        <v>4.9214500674876485</v>
      </c>
      <c r="P256" s="258">
        <f t="shared" si="148"/>
        <v>5.8732158802325856</v>
      </c>
      <c r="Q256" s="258">
        <f t="shared" si="148"/>
        <v>0</v>
      </c>
      <c r="R256" s="279"/>
      <c r="S256" s="279"/>
      <c r="T256" s="279"/>
      <c r="U256" s="279"/>
      <c r="V256" s="279"/>
      <c r="W256" s="279"/>
      <c r="X256" s="279"/>
      <c r="Y256" s="279"/>
      <c r="AA256" s="293" t="s">
        <v>741</v>
      </c>
    </row>
    <row r="257" spans="3:27" x14ac:dyDescent="0.25">
      <c r="E257" s="293" t="s">
        <v>299</v>
      </c>
      <c r="G257" s="293" t="s">
        <v>251</v>
      </c>
      <c r="I257" s="293" t="s">
        <v>359</v>
      </c>
      <c r="J257" s="256">
        <f t="shared" ref="J257:Q257" si="149">SUM(J222:J233,J236:J247)</f>
        <v>0</v>
      </c>
      <c r="K257" s="256">
        <f t="shared" si="149"/>
        <v>0</v>
      </c>
      <c r="L257" s="256">
        <f t="shared" si="149"/>
        <v>0</v>
      </c>
      <c r="M257" s="256">
        <f t="shared" si="149"/>
        <v>0</v>
      </c>
      <c r="N257" s="256">
        <f t="shared" si="149"/>
        <v>6.8377600807265617</v>
      </c>
      <c r="O257" s="256">
        <f t="shared" si="149"/>
        <v>6.4250662718968972</v>
      </c>
      <c r="P257" s="256">
        <f t="shared" si="149"/>
        <v>7.0962072937622995</v>
      </c>
      <c r="Q257" s="256">
        <f t="shared" si="149"/>
        <v>0</v>
      </c>
      <c r="R257" s="279"/>
      <c r="S257" s="279"/>
      <c r="T257" s="279"/>
      <c r="U257" s="279"/>
      <c r="V257" s="279"/>
      <c r="W257" s="279"/>
      <c r="X257" s="279"/>
      <c r="Y257" s="279"/>
      <c r="AA257" s="293" t="s">
        <v>741</v>
      </c>
    </row>
    <row r="258" spans="3:27" x14ac:dyDescent="0.25">
      <c r="C258" s="86"/>
      <c r="J258" s="252"/>
      <c r="K258" s="252"/>
      <c r="L258" s="252"/>
      <c r="M258" s="252"/>
      <c r="N258" s="252"/>
      <c r="O258" s="252"/>
      <c r="P258" s="252"/>
      <c r="Q258" s="252"/>
      <c r="R258" s="252"/>
      <c r="S258" s="252"/>
      <c r="T258" s="252"/>
      <c r="U258" s="252"/>
      <c r="V258" s="252"/>
      <c r="W258" s="252"/>
      <c r="X258" s="252"/>
      <c r="Y258" s="252"/>
    </row>
    <row r="259" spans="3:27" x14ac:dyDescent="0.25">
      <c r="C259" s="7" t="str">
        <f ca="1">INDEX('Version control'!$H$35:$H$61,MATCH($A$1,'Version control'!$F$35:$F$61,0),1)&amp;"-G: Capacity elements allocated to fixed charges"</f>
        <v>Section 515-G: Capacity elements allocated to fixed charges</v>
      </c>
      <c r="D259" s="7"/>
      <c r="E259" s="7"/>
      <c r="F259" s="7"/>
      <c r="G259" s="7"/>
      <c r="H259" s="7"/>
      <c r="I259" s="7"/>
      <c r="J259" s="242"/>
      <c r="K259" s="242"/>
      <c r="L259" s="242"/>
      <c r="M259" s="242"/>
      <c r="N259" s="242"/>
      <c r="O259" s="242"/>
      <c r="P259" s="242"/>
      <c r="Q259" s="242"/>
      <c r="R259" s="242"/>
      <c r="S259" s="242"/>
      <c r="T259" s="242"/>
      <c r="U259" s="242"/>
      <c r="V259" s="242"/>
      <c r="W259" s="242"/>
      <c r="X259" s="242"/>
      <c r="Y259" s="242"/>
      <c r="Z259" s="7"/>
      <c r="AA259" s="7"/>
    </row>
    <row r="260" spans="3:27" x14ac:dyDescent="0.25">
      <c r="D260" s="96"/>
      <c r="E260" s="96"/>
      <c r="I260" s="293" t="s">
        <v>359</v>
      </c>
      <c r="J260" s="252"/>
      <c r="K260" s="252"/>
      <c r="L260" s="252"/>
      <c r="M260" s="252"/>
      <c r="N260" s="252"/>
      <c r="O260" s="252"/>
      <c r="P260" s="252"/>
      <c r="Q260" s="252"/>
      <c r="R260" s="252"/>
      <c r="S260" s="252"/>
      <c r="T260" s="252"/>
      <c r="U260" s="252"/>
      <c r="V260" s="252"/>
      <c r="W260" s="252"/>
      <c r="X260" s="252"/>
      <c r="Y260" s="252"/>
      <c r="AA260" s="293" t="s">
        <v>823</v>
      </c>
    </row>
    <row r="261" spans="3:27" x14ac:dyDescent="0.25">
      <c r="C261" s="86"/>
      <c r="D261" s="293"/>
      <c r="E261" s="96" t="s">
        <v>139</v>
      </c>
      <c r="J261" s="252"/>
      <c r="K261" s="252"/>
      <c r="L261" s="252"/>
      <c r="M261" s="252"/>
      <c r="N261" s="252"/>
      <c r="O261" s="252"/>
      <c r="P261" s="252"/>
      <c r="Q261" s="252"/>
      <c r="R261" s="252"/>
      <c r="S261" s="252"/>
      <c r="T261" s="252"/>
      <c r="U261" s="252"/>
      <c r="V261" s="252"/>
      <c r="W261" s="252"/>
      <c r="X261" s="252"/>
      <c r="Y261" s="252"/>
    </row>
    <row r="262" spans="3:27" x14ac:dyDescent="0.25">
      <c r="C262" s="86"/>
      <c r="D262" s="293"/>
      <c r="F262" s="91" t="s">
        <v>267</v>
      </c>
      <c r="G262" s="91" t="s">
        <v>251</v>
      </c>
      <c r="H262" s="91"/>
      <c r="I262" s="91"/>
      <c r="J262" s="238"/>
      <c r="K262" s="238"/>
      <c r="L262" s="238"/>
      <c r="M262" s="238"/>
      <c r="N262" s="238"/>
      <c r="O262" s="238"/>
      <c r="P262" s="238"/>
      <c r="Q262" s="238"/>
      <c r="R262" s="238"/>
      <c r="S262" s="238"/>
      <c r="T262" s="238"/>
      <c r="U262" s="238"/>
      <c r="V262" s="238"/>
      <c r="W262" s="238"/>
      <c r="X262" s="238"/>
      <c r="Y262" s="238"/>
    </row>
    <row r="263" spans="3:27" x14ac:dyDescent="0.25">
      <c r="C263" s="86"/>
      <c r="D263" s="293"/>
      <c r="F263" s="293" t="s">
        <v>43</v>
      </c>
      <c r="G263" s="293" t="s">
        <v>251</v>
      </c>
      <c r="J263" s="279"/>
      <c r="K263" s="279"/>
      <c r="L263" s="279"/>
      <c r="M263" s="279"/>
      <c r="N263" s="279"/>
      <c r="O263" s="279"/>
      <c r="P263" s="279"/>
      <c r="Q263" s="279"/>
      <c r="R263" s="279"/>
      <c r="S263" s="279"/>
      <c r="T263" s="279"/>
      <c r="U263" s="279"/>
      <c r="V263" s="279"/>
      <c r="W263" s="279"/>
      <c r="X263" s="279"/>
      <c r="Y263" s="279"/>
    </row>
    <row r="264" spans="3:27" x14ac:dyDescent="0.25">
      <c r="C264" s="86"/>
      <c r="D264" s="293"/>
      <c r="F264" s="293" t="s">
        <v>44</v>
      </c>
      <c r="G264" s="293" t="s">
        <v>251</v>
      </c>
      <c r="J264" s="256">
        <f t="shared" ref="J264:Q271" si="150">J$123 * J134</f>
        <v>0</v>
      </c>
      <c r="K264" s="256">
        <f t="shared" si="150"/>
        <v>0</v>
      </c>
      <c r="L264" s="256">
        <f t="shared" si="150"/>
        <v>0</v>
      </c>
      <c r="M264" s="256">
        <f t="shared" si="150"/>
        <v>0</v>
      </c>
      <c r="N264" s="256">
        <f t="shared" si="150"/>
        <v>0</v>
      </c>
      <c r="O264" s="256">
        <f t="shared" si="150"/>
        <v>0</v>
      </c>
      <c r="P264" s="256">
        <f t="shared" si="150"/>
        <v>0</v>
      </c>
      <c r="Q264" s="256">
        <f t="shared" si="150"/>
        <v>0</v>
      </c>
      <c r="R264" s="279"/>
      <c r="S264" s="279"/>
      <c r="T264" s="279"/>
      <c r="U264" s="279"/>
      <c r="V264" s="279"/>
      <c r="W264" s="279"/>
      <c r="X264" s="279"/>
      <c r="Y264" s="279"/>
    </row>
    <row r="265" spans="3:27" x14ac:dyDescent="0.25">
      <c r="C265" s="86"/>
      <c r="D265" s="293"/>
      <c r="F265" s="293" t="s">
        <v>45</v>
      </c>
      <c r="G265" s="293" t="s">
        <v>251</v>
      </c>
      <c r="J265" s="256">
        <f t="shared" si="150"/>
        <v>0</v>
      </c>
      <c r="K265" s="256">
        <f t="shared" si="150"/>
        <v>0</v>
      </c>
      <c r="L265" s="256">
        <f t="shared" si="150"/>
        <v>0</v>
      </c>
      <c r="M265" s="256">
        <f t="shared" si="150"/>
        <v>0</v>
      </c>
      <c r="N265" s="256">
        <f t="shared" si="150"/>
        <v>0</v>
      </c>
      <c r="O265" s="256">
        <f t="shared" si="150"/>
        <v>0</v>
      </c>
      <c r="P265" s="256">
        <f t="shared" si="150"/>
        <v>0</v>
      </c>
      <c r="Q265" s="256">
        <f t="shared" si="150"/>
        <v>0</v>
      </c>
      <c r="R265" s="279"/>
      <c r="S265" s="279"/>
      <c r="T265" s="279"/>
      <c r="U265" s="279"/>
      <c r="V265" s="279"/>
      <c r="W265" s="279"/>
      <c r="X265" s="279"/>
      <c r="Y265" s="279"/>
    </row>
    <row r="266" spans="3:27" x14ac:dyDescent="0.25">
      <c r="C266" s="86"/>
      <c r="D266" s="293"/>
      <c r="F266" s="293" t="s">
        <v>46</v>
      </c>
      <c r="G266" s="293" t="s">
        <v>251</v>
      </c>
      <c r="J266" s="256">
        <f t="shared" si="150"/>
        <v>0</v>
      </c>
      <c r="K266" s="256">
        <f t="shared" si="150"/>
        <v>0</v>
      </c>
      <c r="L266" s="256">
        <f t="shared" si="150"/>
        <v>0</v>
      </c>
      <c r="M266" s="256">
        <f t="shared" si="150"/>
        <v>0</v>
      </c>
      <c r="N266" s="256">
        <f t="shared" si="150"/>
        <v>0</v>
      </c>
      <c r="O266" s="256">
        <f t="shared" si="150"/>
        <v>0</v>
      </c>
      <c r="P266" s="256">
        <f t="shared" si="150"/>
        <v>0</v>
      </c>
      <c r="Q266" s="256">
        <f t="shared" si="150"/>
        <v>0</v>
      </c>
      <c r="R266" s="279"/>
      <c r="S266" s="279"/>
      <c r="T266" s="279"/>
      <c r="U266" s="279"/>
      <c r="V266" s="279"/>
      <c r="W266" s="279"/>
      <c r="X266" s="279"/>
      <c r="Y266" s="279"/>
    </row>
    <row r="267" spans="3:27" x14ac:dyDescent="0.25">
      <c r="C267" s="86"/>
      <c r="D267" s="293"/>
      <c r="F267" s="293" t="s">
        <v>47</v>
      </c>
      <c r="G267" s="293" t="s">
        <v>251</v>
      </c>
      <c r="J267" s="256">
        <f t="shared" si="150"/>
        <v>0</v>
      </c>
      <c r="K267" s="256">
        <f t="shared" si="150"/>
        <v>0</v>
      </c>
      <c r="L267" s="256">
        <f t="shared" si="150"/>
        <v>0</v>
      </c>
      <c r="M267" s="256">
        <f t="shared" si="150"/>
        <v>0</v>
      </c>
      <c r="N267" s="256">
        <f t="shared" si="150"/>
        <v>0</v>
      </c>
      <c r="O267" s="256">
        <f t="shared" si="150"/>
        <v>0</v>
      </c>
      <c r="P267" s="256">
        <f t="shared" si="150"/>
        <v>0</v>
      </c>
      <c r="Q267" s="256">
        <f t="shared" si="150"/>
        <v>0</v>
      </c>
      <c r="R267" s="279"/>
      <c r="S267" s="279"/>
      <c r="T267" s="279"/>
      <c r="U267" s="279"/>
      <c r="V267" s="279"/>
      <c r="W267" s="279"/>
      <c r="X267" s="279"/>
      <c r="Y267" s="279"/>
    </row>
    <row r="268" spans="3:27" x14ac:dyDescent="0.25">
      <c r="C268" s="86"/>
      <c r="D268" s="293"/>
      <c r="F268" s="293" t="s">
        <v>51</v>
      </c>
      <c r="G268" s="293" t="s">
        <v>251</v>
      </c>
      <c r="J268" s="256">
        <f t="shared" si="150"/>
        <v>0</v>
      </c>
      <c r="K268" s="256">
        <f t="shared" si="150"/>
        <v>0</v>
      </c>
      <c r="L268" s="256">
        <f t="shared" si="150"/>
        <v>0</v>
      </c>
      <c r="M268" s="256">
        <f t="shared" si="150"/>
        <v>0</v>
      </c>
      <c r="N268" s="256">
        <f t="shared" si="150"/>
        <v>0</v>
      </c>
      <c r="O268" s="256">
        <f t="shared" si="150"/>
        <v>0</v>
      </c>
      <c r="P268" s="256">
        <f t="shared" si="150"/>
        <v>0</v>
      </c>
      <c r="Q268" s="256">
        <f t="shared" si="150"/>
        <v>0</v>
      </c>
      <c r="R268" s="279"/>
      <c r="S268" s="279"/>
      <c r="T268" s="279"/>
      <c r="U268" s="279"/>
      <c r="V268" s="279"/>
      <c r="W268" s="279"/>
      <c r="X268" s="279"/>
      <c r="Y268" s="279"/>
    </row>
    <row r="269" spans="3:27" x14ac:dyDescent="0.25">
      <c r="C269" s="86"/>
      <c r="D269" s="293"/>
      <c r="F269" s="293" t="s">
        <v>48</v>
      </c>
      <c r="G269" s="293" t="s">
        <v>251</v>
      </c>
      <c r="J269" s="256">
        <f t="shared" si="150"/>
        <v>0</v>
      </c>
      <c r="K269" s="256">
        <f t="shared" si="150"/>
        <v>0</v>
      </c>
      <c r="L269" s="256">
        <f t="shared" si="150"/>
        <v>0</v>
      </c>
      <c r="M269" s="256">
        <f t="shared" si="150"/>
        <v>0</v>
      </c>
      <c r="N269" s="256">
        <f t="shared" si="150"/>
        <v>0</v>
      </c>
      <c r="O269" s="256">
        <f t="shared" si="150"/>
        <v>0</v>
      </c>
      <c r="P269" s="256">
        <f t="shared" si="150"/>
        <v>0</v>
      </c>
      <c r="Q269" s="256">
        <f t="shared" si="150"/>
        <v>0</v>
      </c>
      <c r="R269" s="279"/>
      <c r="S269" s="279"/>
      <c r="T269" s="279"/>
      <c r="U269" s="279"/>
      <c r="V269" s="279"/>
      <c r="W269" s="279"/>
      <c r="X269" s="279"/>
      <c r="Y269" s="279"/>
    </row>
    <row r="270" spans="3:27" x14ac:dyDescent="0.25">
      <c r="C270" s="86"/>
      <c r="D270" s="293"/>
      <c r="F270" s="293" t="s">
        <v>49</v>
      </c>
      <c r="G270" s="293" t="s">
        <v>251</v>
      </c>
      <c r="J270" s="256">
        <f t="shared" si="150"/>
        <v>0</v>
      </c>
      <c r="K270" s="256">
        <f t="shared" si="150"/>
        <v>0</v>
      </c>
      <c r="L270" s="256">
        <f t="shared" si="150"/>
        <v>0</v>
      </c>
      <c r="M270" s="256">
        <f t="shared" si="150"/>
        <v>0</v>
      </c>
      <c r="N270" s="256">
        <f t="shared" si="150"/>
        <v>0</v>
      </c>
      <c r="O270" s="256">
        <f t="shared" si="150"/>
        <v>0</v>
      </c>
      <c r="P270" s="256">
        <f t="shared" si="150"/>
        <v>0</v>
      </c>
      <c r="Q270" s="256">
        <f t="shared" si="150"/>
        <v>0</v>
      </c>
      <c r="R270" s="279"/>
      <c r="S270" s="279"/>
      <c r="T270" s="279"/>
      <c r="U270" s="279"/>
      <c r="V270" s="279"/>
      <c r="W270" s="279"/>
      <c r="X270" s="279"/>
      <c r="Y270" s="279"/>
    </row>
    <row r="271" spans="3:27" x14ac:dyDescent="0.25">
      <c r="C271" s="86"/>
      <c r="D271" s="293"/>
      <c r="F271" s="293" t="s">
        <v>50</v>
      </c>
      <c r="G271" s="293" t="s">
        <v>251</v>
      </c>
      <c r="J271" s="256">
        <f t="shared" si="150"/>
        <v>0.11366651620964532</v>
      </c>
      <c r="K271" s="256">
        <f t="shared" si="150"/>
        <v>0</v>
      </c>
      <c r="L271" s="256">
        <f t="shared" si="150"/>
        <v>0.11366651620964532</v>
      </c>
      <c r="M271" s="256">
        <f t="shared" si="150"/>
        <v>0</v>
      </c>
      <c r="N271" s="256">
        <f t="shared" si="150"/>
        <v>0</v>
      </c>
      <c r="O271" s="256">
        <f t="shared" si="150"/>
        <v>0</v>
      </c>
      <c r="P271" s="256">
        <f t="shared" si="150"/>
        <v>0</v>
      </c>
      <c r="Q271" s="256">
        <f t="shared" si="150"/>
        <v>0</v>
      </c>
      <c r="R271" s="279"/>
      <c r="S271" s="279"/>
      <c r="T271" s="279"/>
      <c r="U271" s="279"/>
      <c r="V271" s="279"/>
      <c r="W271" s="279"/>
      <c r="X271" s="279"/>
      <c r="Y271" s="279"/>
    </row>
    <row r="272" spans="3:27" x14ac:dyDescent="0.25">
      <c r="C272" s="86"/>
      <c r="D272" s="293"/>
      <c r="F272" s="293" t="s">
        <v>124</v>
      </c>
      <c r="G272" s="293" t="s">
        <v>251</v>
      </c>
      <c r="J272" s="279"/>
      <c r="K272" s="279"/>
      <c r="L272" s="279"/>
      <c r="M272" s="279"/>
      <c r="N272" s="279"/>
      <c r="O272" s="279"/>
      <c r="P272" s="279"/>
      <c r="Q272" s="279"/>
      <c r="R272" s="279"/>
      <c r="S272" s="279"/>
      <c r="T272" s="279"/>
      <c r="U272" s="279"/>
      <c r="V272" s="279"/>
      <c r="W272" s="279"/>
      <c r="X272" s="279"/>
      <c r="Y272" s="279"/>
    </row>
    <row r="273" spans="3:25" x14ac:dyDescent="0.25">
      <c r="C273" s="86"/>
      <c r="D273" s="293"/>
      <c r="F273" s="93" t="s">
        <v>123</v>
      </c>
      <c r="G273" s="93" t="s">
        <v>251</v>
      </c>
      <c r="H273" s="93"/>
      <c r="I273" s="93"/>
      <c r="J273" s="240"/>
      <c r="K273" s="240"/>
      <c r="L273" s="240"/>
      <c r="M273" s="240"/>
      <c r="N273" s="240"/>
      <c r="O273" s="240"/>
      <c r="P273" s="240"/>
      <c r="Q273" s="240"/>
      <c r="R273" s="240"/>
      <c r="S273" s="240"/>
      <c r="T273" s="240"/>
      <c r="U273" s="240"/>
      <c r="V273" s="240"/>
      <c r="W273" s="240"/>
      <c r="X273" s="240"/>
      <c r="Y273" s="240"/>
    </row>
    <row r="274" spans="3:25" x14ac:dyDescent="0.25">
      <c r="C274" s="86"/>
      <c r="D274" s="293"/>
      <c r="J274" s="252"/>
      <c r="K274" s="252"/>
      <c r="L274" s="252"/>
      <c r="M274" s="252"/>
      <c r="N274" s="252"/>
      <c r="O274" s="252"/>
      <c r="P274" s="252"/>
      <c r="Q274" s="252"/>
      <c r="R274" s="252"/>
      <c r="S274" s="252"/>
      <c r="T274" s="252"/>
      <c r="U274" s="252"/>
      <c r="V274" s="252"/>
      <c r="W274" s="252"/>
      <c r="X274" s="252"/>
      <c r="Y274" s="252"/>
    </row>
    <row r="275" spans="3:25" x14ac:dyDescent="0.25">
      <c r="C275" s="86"/>
      <c r="D275" s="293"/>
      <c r="E275" s="96" t="s">
        <v>140</v>
      </c>
      <c r="J275" s="252"/>
      <c r="K275" s="252"/>
      <c r="L275" s="252"/>
      <c r="M275" s="252"/>
      <c r="N275" s="252"/>
      <c r="O275" s="252"/>
      <c r="P275" s="252"/>
      <c r="Q275" s="252"/>
      <c r="R275" s="252"/>
      <c r="S275" s="252"/>
      <c r="T275" s="252"/>
      <c r="U275" s="252"/>
      <c r="V275" s="252"/>
      <c r="W275" s="252"/>
      <c r="X275" s="252"/>
      <c r="Y275" s="252"/>
    </row>
    <row r="276" spans="3:25" x14ac:dyDescent="0.25">
      <c r="C276" s="86"/>
      <c r="D276" s="293"/>
      <c r="F276" s="91" t="s">
        <v>267</v>
      </c>
      <c r="G276" s="91" t="s">
        <v>251</v>
      </c>
      <c r="H276" s="91"/>
      <c r="I276" s="91"/>
      <c r="J276" s="254">
        <f t="shared" ref="J276:Q285" si="151">J$123 * J146</f>
        <v>0</v>
      </c>
      <c r="K276" s="254">
        <f t="shared" si="151"/>
        <v>0</v>
      </c>
      <c r="L276" s="254">
        <f t="shared" si="151"/>
        <v>0</v>
      </c>
      <c r="M276" s="254">
        <f t="shared" si="151"/>
        <v>0</v>
      </c>
      <c r="N276" s="254">
        <f t="shared" si="151"/>
        <v>0</v>
      </c>
      <c r="O276" s="254">
        <f t="shared" si="151"/>
        <v>0</v>
      </c>
      <c r="P276" s="254">
        <f t="shared" si="151"/>
        <v>0</v>
      </c>
      <c r="Q276" s="254">
        <f t="shared" si="151"/>
        <v>0</v>
      </c>
      <c r="R276" s="238"/>
      <c r="S276" s="238"/>
      <c r="T276" s="238"/>
      <c r="U276" s="238"/>
      <c r="V276" s="238"/>
      <c r="W276" s="238"/>
      <c r="X276" s="238"/>
      <c r="Y276" s="238"/>
    </row>
    <row r="277" spans="3:25" x14ac:dyDescent="0.25">
      <c r="C277" s="86"/>
      <c r="D277" s="293"/>
      <c r="F277" s="293" t="s">
        <v>43</v>
      </c>
      <c r="G277" s="293" t="s">
        <v>251</v>
      </c>
      <c r="J277" s="256">
        <f t="shared" si="151"/>
        <v>0</v>
      </c>
      <c r="K277" s="256">
        <f t="shared" si="151"/>
        <v>0</v>
      </c>
      <c r="L277" s="256">
        <f t="shared" si="151"/>
        <v>0</v>
      </c>
      <c r="M277" s="256">
        <f t="shared" si="151"/>
        <v>0</v>
      </c>
      <c r="N277" s="256">
        <f t="shared" si="151"/>
        <v>0</v>
      </c>
      <c r="O277" s="256">
        <f t="shared" si="151"/>
        <v>0</v>
      </c>
      <c r="P277" s="256">
        <f t="shared" si="151"/>
        <v>0</v>
      </c>
      <c r="Q277" s="256">
        <f t="shared" si="151"/>
        <v>0</v>
      </c>
      <c r="R277" s="279"/>
      <c r="S277" s="279"/>
      <c r="T277" s="279"/>
      <c r="U277" s="279"/>
      <c r="V277" s="279"/>
      <c r="W277" s="279"/>
      <c r="X277" s="279"/>
      <c r="Y277" s="279"/>
    </row>
    <row r="278" spans="3:25" x14ac:dyDescent="0.25">
      <c r="C278" s="86"/>
      <c r="D278" s="293"/>
      <c r="F278" s="293" t="s">
        <v>44</v>
      </c>
      <c r="G278" s="293" t="s">
        <v>251</v>
      </c>
      <c r="J278" s="256">
        <f t="shared" si="151"/>
        <v>0</v>
      </c>
      <c r="K278" s="256">
        <f t="shared" si="151"/>
        <v>0</v>
      </c>
      <c r="L278" s="256">
        <f t="shared" si="151"/>
        <v>0</v>
      </c>
      <c r="M278" s="256">
        <f t="shared" si="151"/>
        <v>0</v>
      </c>
      <c r="N278" s="256">
        <f t="shared" si="151"/>
        <v>0</v>
      </c>
      <c r="O278" s="256">
        <f t="shared" si="151"/>
        <v>0</v>
      </c>
      <c r="P278" s="256">
        <f t="shared" si="151"/>
        <v>0</v>
      </c>
      <c r="Q278" s="256">
        <f t="shared" si="151"/>
        <v>0</v>
      </c>
      <c r="R278" s="279"/>
      <c r="S278" s="279"/>
      <c r="T278" s="279"/>
      <c r="U278" s="279"/>
      <c r="V278" s="279"/>
      <c r="W278" s="279"/>
      <c r="X278" s="279"/>
      <c r="Y278" s="279"/>
    </row>
    <row r="279" spans="3:25" x14ac:dyDescent="0.25">
      <c r="C279" s="86"/>
      <c r="D279" s="293"/>
      <c r="F279" s="293" t="s">
        <v>45</v>
      </c>
      <c r="G279" s="293" t="s">
        <v>251</v>
      </c>
      <c r="J279" s="256">
        <f t="shared" si="151"/>
        <v>0</v>
      </c>
      <c r="K279" s="256">
        <f t="shared" si="151"/>
        <v>0</v>
      </c>
      <c r="L279" s="256">
        <f t="shared" si="151"/>
        <v>0</v>
      </c>
      <c r="M279" s="256">
        <f t="shared" si="151"/>
        <v>0</v>
      </c>
      <c r="N279" s="256">
        <f t="shared" si="151"/>
        <v>0</v>
      </c>
      <c r="O279" s="256">
        <f t="shared" si="151"/>
        <v>0</v>
      </c>
      <c r="P279" s="256">
        <f t="shared" si="151"/>
        <v>0</v>
      </c>
      <c r="Q279" s="256">
        <f t="shared" si="151"/>
        <v>0</v>
      </c>
      <c r="R279" s="279"/>
      <c r="S279" s="279"/>
      <c r="T279" s="279"/>
      <c r="U279" s="279"/>
      <c r="V279" s="279"/>
      <c r="W279" s="279"/>
      <c r="X279" s="279"/>
      <c r="Y279" s="279"/>
    </row>
    <row r="280" spans="3:25" x14ac:dyDescent="0.25">
      <c r="C280" s="86"/>
      <c r="D280" s="293"/>
      <c r="F280" s="293" t="s">
        <v>46</v>
      </c>
      <c r="G280" s="293" t="s">
        <v>251</v>
      </c>
      <c r="J280" s="256">
        <f t="shared" si="151"/>
        <v>0</v>
      </c>
      <c r="K280" s="256">
        <f t="shared" si="151"/>
        <v>0</v>
      </c>
      <c r="L280" s="256">
        <f t="shared" si="151"/>
        <v>0</v>
      </c>
      <c r="M280" s="256">
        <f t="shared" si="151"/>
        <v>0</v>
      </c>
      <c r="N280" s="256">
        <f t="shared" si="151"/>
        <v>0</v>
      </c>
      <c r="O280" s="256">
        <f t="shared" si="151"/>
        <v>0</v>
      </c>
      <c r="P280" s="256">
        <f t="shared" si="151"/>
        <v>0</v>
      </c>
      <c r="Q280" s="256">
        <f t="shared" si="151"/>
        <v>0</v>
      </c>
      <c r="R280" s="279"/>
      <c r="S280" s="279"/>
      <c r="T280" s="279"/>
      <c r="U280" s="279"/>
      <c r="V280" s="279"/>
      <c r="W280" s="279"/>
      <c r="X280" s="279"/>
      <c r="Y280" s="279"/>
    </row>
    <row r="281" spans="3:25" x14ac:dyDescent="0.25">
      <c r="C281" s="86"/>
      <c r="D281" s="293"/>
      <c r="F281" s="293" t="s">
        <v>47</v>
      </c>
      <c r="G281" s="293" t="s">
        <v>251</v>
      </c>
      <c r="J281" s="256">
        <f t="shared" si="151"/>
        <v>0</v>
      </c>
      <c r="K281" s="256">
        <f t="shared" si="151"/>
        <v>0</v>
      </c>
      <c r="L281" s="256">
        <f t="shared" si="151"/>
        <v>0</v>
      </c>
      <c r="M281" s="256">
        <f t="shared" si="151"/>
        <v>0</v>
      </c>
      <c r="N281" s="256">
        <f t="shared" si="151"/>
        <v>0</v>
      </c>
      <c r="O281" s="256">
        <f t="shared" si="151"/>
        <v>0</v>
      </c>
      <c r="P281" s="256">
        <f t="shared" si="151"/>
        <v>0</v>
      </c>
      <c r="Q281" s="256">
        <f t="shared" si="151"/>
        <v>0</v>
      </c>
      <c r="R281" s="279"/>
      <c r="S281" s="279"/>
      <c r="T281" s="279"/>
      <c r="U281" s="279"/>
      <c r="V281" s="279"/>
      <c r="W281" s="279"/>
      <c r="X281" s="279"/>
      <c r="Y281" s="279"/>
    </row>
    <row r="282" spans="3:25" x14ac:dyDescent="0.25">
      <c r="C282" s="86"/>
      <c r="D282" s="293"/>
      <c r="F282" s="293" t="s">
        <v>51</v>
      </c>
      <c r="G282" s="293" t="s">
        <v>251</v>
      </c>
      <c r="J282" s="256">
        <f t="shared" si="151"/>
        <v>0</v>
      </c>
      <c r="K282" s="256">
        <f t="shared" si="151"/>
        <v>0</v>
      </c>
      <c r="L282" s="256">
        <f t="shared" si="151"/>
        <v>0</v>
      </c>
      <c r="M282" s="256">
        <f t="shared" si="151"/>
        <v>0</v>
      </c>
      <c r="N282" s="256">
        <f t="shared" si="151"/>
        <v>0</v>
      </c>
      <c r="O282" s="256">
        <f t="shared" si="151"/>
        <v>0</v>
      </c>
      <c r="P282" s="256">
        <f t="shared" si="151"/>
        <v>0</v>
      </c>
      <c r="Q282" s="256">
        <f t="shared" si="151"/>
        <v>0</v>
      </c>
      <c r="R282" s="279"/>
      <c r="S282" s="279"/>
      <c r="T282" s="279"/>
      <c r="U282" s="279"/>
      <c r="V282" s="279"/>
      <c r="W282" s="279"/>
      <c r="X282" s="279"/>
      <c r="Y282" s="279"/>
    </row>
    <row r="283" spans="3:25" x14ac:dyDescent="0.25">
      <c r="C283" s="86"/>
      <c r="D283" s="293"/>
      <c r="F283" s="293" t="s">
        <v>48</v>
      </c>
      <c r="G283" s="293" t="s">
        <v>251</v>
      </c>
      <c r="J283" s="256">
        <f t="shared" si="151"/>
        <v>0</v>
      </c>
      <c r="K283" s="256">
        <f t="shared" si="151"/>
        <v>0</v>
      </c>
      <c r="L283" s="256">
        <f t="shared" si="151"/>
        <v>0</v>
      </c>
      <c r="M283" s="256">
        <f t="shared" si="151"/>
        <v>0</v>
      </c>
      <c r="N283" s="256">
        <f t="shared" si="151"/>
        <v>0</v>
      </c>
      <c r="O283" s="256">
        <f t="shared" si="151"/>
        <v>0</v>
      </c>
      <c r="P283" s="256">
        <f t="shared" si="151"/>
        <v>0</v>
      </c>
      <c r="Q283" s="256">
        <f t="shared" si="151"/>
        <v>0</v>
      </c>
      <c r="R283" s="279"/>
      <c r="S283" s="279"/>
      <c r="T283" s="279"/>
      <c r="U283" s="279"/>
      <c r="V283" s="279"/>
      <c r="W283" s="279"/>
      <c r="X283" s="279"/>
      <c r="Y283" s="279"/>
    </row>
    <row r="284" spans="3:25" x14ac:dyDescent="0.25">
      <c r="C284" s="86"/>
      <c r="D284" s="293"/>
      <c r="F284" s="293" t="s">
        <v>49</v>
      </c>
      <c r="G284" s="293" t="s">
        <v>251</v>
      </c>
      <c r="J284" s="256">
        <f t="shared" si="151"/>
        <v>0</v>
      </c>
      <c r="K284" s="256">
        <f t="shared" si="151"/>
        <v>0</v>
      </c>
      <c r="L284" s="256">
        <f t="shared" si="151"/>
        <v>0</v>
      </c>
      <c r="M284" s="256">
        <f t="shared" si="151"/>
        <v>0</v>
      </c>
      <c r="N284" s="256">
        <f t="shared" si="151"/>
        <v>0</v>
      </c>
      <c r="O284" s="256">
        <f t="shared" si="151"/>
        <v>0</v>
      </c>
      <c r="P284" s="256">
        <f t="shared" si="151"/>
        <v>0</v>
      </c>
      <c r="Q284" s="256">
        <f t="shared" si="151"/>
        <v>0</v>
      </c>
      <c r="R284" s="279"/>
      <c r="S284" s="279"/>
      <c r="T284" s="279"/>
      <c r="U284" s="279"/>
      <c r="V284" s="279"/>
      <c r="W284" s="279"/>
      <c r="X284" s="279"/>
      <c r="Y284" s="279"/>
    </row>
    <row r="285" spans="3:25" x14ac:dyDescent="0.25">
      <c r="C285" s="86"/>
      <c r="D285" s="293"/>
      <c r="F285" s="293" t="s">
        <v>50</v>
      </c>
      <c r="G285" s="293" t="s">
        <v>251</v>
      </c>
      <c r="J285" s="256">
        <f t="shared" si="151"/>
        <v>1.4512853251373385</v>
      </c>
      <c r="K285" s="256">
        <f t="shared" si="151"/>
        <v>0</v>
      </c>
      <c r="L285" s="256">
        <f t="shared" si="151"/>
        <v>1.4512853251373385</v>
      </c>
      <c r="M285" s="256">
        <f t="shared" si="151"/>
        <v>0</v>
      </c>
      <c r="N285" s="256">
        <f t="shared" si="151"/>
        <v>0</v>
      </c>
      <c r="O285" s="256">
        <f t="shared" si="151"/>
        <v>0</v>
      </c>
      <c r="P285" s="256">
        <f t="shared" si="151"/>
        <v>0</v>
      </c>
      <c r="Q285" s="256">
        <f t="shared" si="151"/>
        <v>0</v>
      </c>
      <c r="R285" s="279"/>
      <c r="S285" s="279"/>
      <c r="T285" s="279"/>
      <c r="U285" s="279"/>
      <c r="V285" s="279"/>
      <c r="W285" s="279"/>
      <c r="X285" s="279"/>
      <c r="Y285" s="279"/>
    </row>
    <row r="286" spans="3:25" x14ac:dyDescent="0.25">
      <c r="C286" s="86"/>
      <c r="D286" s="293"/>
      <c r="F286" s="293" t="s">
        <v>124</v>
      </c>
      <c r="G286" s="293" t="s">
        <v>251</v>
      </c>
      <c r="J286" s="279"/>
      <c r="K286" s="279"/>
      <c r="L286" s="279"/>
      <c r="M286" s="279"/>
      <c r="N286" s="279"/>
      <c r="O286" s="279"/>
      <c r="P286" s="279"/>
      <c r="Q286" s="279"/>
      <c r="R286" s="279"/>
      <c r="S286" s="279"/>
      <c r="T286" s="279"/>
      <c r="U286" s="279"/>
      <c r="V286" s="279"/>
      <c r="W286" s="279"/>
      <c r="X286" s="279"/>
      <c r="Y286" s="279"/>
    </row>
    <row r="287" spans="3:25" x14ac:dyDescent="0.25">
      <c r="C287" s="86"/>
      <c r="D287" s="293"/>
      <c r="F287" s="93" t="s">
        <v>123</v>
      </c>
      <c r="G287" s="93" t="s">
        <v>251</v>
      </c>
      <c r="H287" s="93"/>
      <c r="I287" s="93"/>
      <c r="J287" s="240"/>
      <c r="K287" s="240"/>
      <c r="L287" s="240"/>
      <c r="M287" s="240"/>
      <c r="N287" s="240"/>
      <c r="O287" s="240"/>
      <c r="P287" s="240"/>
      <c r="Q287" s="240"/>
      <c r="R287" s="240"/>
      <c r="S287" s="240"/>
      <c r="T287" s="240"/>
      <c r="U287" s="240"/>
      <c r="V287" s="240"/>
      <c r="W287" s="240"/>
      <c r="X287" s="240"/>
      <c r="Y287" s="240"/>
    </row>
    <row r="288" spans="3:25" x14ac:dyDescent="0.25">
      <c r="C288" s="86"/>
    </row>
    <row r="289" spans="2:27" x14ac:dyDescent="0.25">
      <c r="B289" s="95" t="s">
        <v>109</v>
      </c>
      <c r="C289" s="95"/>
      <c r="D289" s="95"/>
      <c r="E289" s="95"/>
      <c r="F289" s="95"/>
      <c r="G289" s="95"/>
      <c r="H289" s="95"/>
      <c r="I289" s="95"/>
      <c r="J289" s="95"/>
      <c r="K289" s="95"/>
      <c r="L289" s="95"/>
      <c r="M289" s="95"/>
      <c r="N289" s="95"/>
      <c r="O289" s="95"/>
      <c r="P289" s="95"/>
      <c r="Q289" s="95"/>
      <c r="R289" s="95"/>
      <c r="S289" s="95"/>
      <c r="T289" s="95"/>
      <c r="U289" s="95"/>
      <c r="V289" s="95"/>
      <c r="W289" s="95"/>
      <c r="X289" s="95"/>
      <c r="Y289" s="95"/>
      <c r="Z289" s="95"/>
      <c r="AA289" s="95"/>
    </row>
    <row r="291" spans="2:27" x14ac:dyDescent="0.25">
      <c r="C291" s="86"/>
      <c r="E291" s="293" t="s">
        <v>415</v>
      </c>
      <c r="G291" s="122" t="s">
        <v>588</v>
      </c>
      <c r="H291" s="408">
        <f t="array" ref="H291">SUM(IF(ISERROR(H51:Y287), 1))</f>
        <v>0</v>
      </c>
    </row>
    <row r="293" spans="2:27" x14ac:dyDescent="0.25">
      <c r="E293" s="293" t="s">
        <v>539</v>
      </c>
      <c r="G293" s="122" t="s">
        <v>588</v>
      </c>
      <c r="H293" s="408">
        <f>SUM(J293:Y293)</f>
        <v>0</v>
      </c>
      <c r="J293" s="408">
        <f t="shared" ref="J293:Y293" si="152">IF(J121 + J123 &lt; 2, 0, 1)</f>
        <v>0</v>
      </c>
      <c r="K293" s="408">
        <f t="shared" si="152"/>
        <v>0</v>
      </c>
      <c r="L293" s="408">
        <f t="shared" si="152"/>
        <v>0</v>
      </c>
      <c r="M293" s="408">
        <f t="shared" si="152"/>
        <v>0</v>
      </c>
      <c r="N293" s="408">
        <f t="shared" si="152"/>
        <v>0</v>
      </c>
      <c r="O293" s="408">
        <f t="shared" si="152"/>
        <v>0</v>
      </c>
      <c r="P293" s="408">
        <f t="shared" si="152"/>
        <v>0</v>
      </c>
      <c r="Q293" s="408">
        <f t="shared" si="152"/>
        <v>0</v>
      </c>
      <c r="R293" s="408">
        <f t="shared" si="152"/>
        <v>0</v>
      </c>
      <c r="S293" s="408">
        <f t="shared" si="152"/>
        <v>0</v>
      </c>
      <c r="T293" s="408">
        <f t="shared" si="152"/>
        <v>0</v>
      </c>
      <c r="U293" s="408">
        <f t="shared" si="152"/>
        <v>0</v>
      </c>
      <c r="V293" s="408">
        <f t="shared" si="152"/>
        <v>0</v>
      </c>
      <c r="W293" s="408">
        <f t="shared" si="152"/>
        <v>0</v>
      </c>
      <c r="X293" s="408">
        <f t="shared" si="152"/>
        <v>0</v>
      </c>
      <c r="Y293" s="408">
        <f t="shared" si="152"/>
        <v>0</v>
      </c>
    </row>
    <row r="295" spans="2:27" x14ac:dyDescent="0.25">
      <c r="C295" s="86"/>
      <c r="E295" s="293" t="s">
        <v>374</v>
      </c>
      <c r="G295" s="122" t="s">
        <v>588</v>
      </c>
      <c r="H295" s="310">
        <f>H291 + H293</f>
        <v>0</v>
      </c>
    </row>
    <row r="297" spans="2:27" x14ac:dyDescent="0.25">
      <c r="B297" s="95" t="s">
        <v>110</v>
      </c>
      <c r="C297" s="95"/>
      <c r="D297" s="95"/>
      <c r="E297" s="95"/>
      <c r="F297" s="95"/>
      <c r="G297" s="95"/>
      <c r="H297" s="95"/>
      <c r="I297" s="95"/>
      <c r="J297" s="95"/>
      <c r="K297" s="95"/>
      <c r="L297" s="95"/>
      <c r="M297" s="95"/>
      <c r="N297" s="95"/>
      <c r="O297" s="95"/>
      <c r="P297" s="95"/>
      <c r="Q297" s="95"/>
      <c r="R297" s="95"/>
      <c r="S297" s="95"/>
      <c r="T297" s="95"/>
      <c r="U297" s="95"/>
      <c r="V297" s="95"/>
      <c r="W297" s="95"/>
      <c r="X297" s="95"/>
      <c r="Y297" s="95"/>
      <c r="Z297" s="95"/>
      <c r="AA297" s="95"/>
    </row>
  </sheetData>
  <sheetProtection sheet="1" objects="1" formatCells="0" formatColumns="0" formatRows="0" sort="0" autoFilter="0"/>
  <conditionalFormatting sqref="H291">
    <cfRule type="cellIs" dxfId="79" priority="21" operator="greaterThan">
      <formula>0</formula>
    </cfRule>
  </conditionalFormatting>
  <conditionalFormatting sqref="H293">
    <cfRule type="cellIs" dxfId="78" priority="20" operator="greaterThan">
      <formula>0</formula>
    </cfRule>
  </conditionalFormatting>
  <conditionalFormatting sqref="A4:I4 Z4:XFD4">
    <cfRule type="expression" dxfId="77" priority="18">
      <formula>LEFT($A$4,1) &lt;&gt; "0"</formula>
    </cfRule>
  </conditionalFormatting>
  <conditionalFormatting sqref="N293:P293">
    <cfRule type="cellIs" dxfId="76" priority="17" operator="greaterThan">
      <formula>0</formula>
    </cfRule>
  </conditionalFormatting>
  <conditionalFormatting sqref="N4:P4">
    <cfRule type="expression" dxfId="75" priority="16">
      <formula>LEFT($A$4,1) &lt;&gt; "0"</formula>
    </cfRule>
  </conditionalFormatting>
  <conditionalFormatting sqref="L293:M293">
    <cfRule type="cellIs" dxfId="74" priority="15" operator="greaterThan">
      <formula>0</formula>
    </cfRule>
  </conditionalFormatting>
  <conditionalFormatting sqref="L4:M4">
    <cfRule type="expression" dxfId="73" priority="14">
      <formula>LEFT($A$4,1) &lt;&gt; "0"</formula>
    </cfRule>
  </conditionalFormatting>
  <conditionalFormatting sqref="J293:K293">
    <cfRule type="cellIs" dxfId="72" priority="13" operator="greaterThan">
      <formula>0</formula>
    </cfRule>
  </conditionalFormatting>
  <conditionalFormatting sqref="J4:K4">
    <cfRule type="expression" dxfId="71" priority="12">
      <formula>LEFT($A$4,1) &lt;&gt; "0"</formula>
    </cfRule>
  </conditionalFormatting>
  <conditionalFormatting sqref="Q293">
    <cfRule type="cellIs" dxfId="70" priority="11" operator="greaterThan">
      <formula>0</formula>
    </cfRule>
  </conditionalFormatting>
  <conditionalFormatting sqref="Q4">
    <cfRule type="expression" dxfId="69" priority="10">
      <formula>LEFT($A$4,1) &lt;&gt; "0"</formula>
    </cfRule>
  </conditionalFormatting>
  <conditionalFormatting sqref="R293:S293">
    <cfRule type="cellIs" dxfId="68" priority="9" operator="greaterThan">
      <formula>0</formula>
    </cfRule>
  </conditionalFormatting>
  <conditionalFormatting sqref="R4:S4">
    <cfRule type="expression" dxfId="67" priority="8">
      <formula>LEFT($A$4,1) &lt;&gt; "0"</formula>
    </cfRule>
  </conditionalFormatting>
  <conditionalFormatting sqref="T293:U293">
    <cfRule type="cellIs" dxfId="66" priority="7" operator="greaterThan">
      <formula>0</formula>
    </cfRule>
  </conditionalFormatting>
  <conditionalFormatting sqref="T4:U4">
    <cfRule type="expression" dxfId="65" priority="6">
      <formula>LEFT($A$4,1) &lt;&gt; "0"</formula>
    </cfRule>
  </conditionalFormatting>
  <conditionalFormatting sqref="V293:W293">
    <cfRule type="cellIs" dxfId="64" priority="5" operator="greaterThan">
      <formula>0</formula>
    </cfRule>
  </conditionalFormatting>
  <conditionalFormatting sqref="V4:W4">
    <cfRule type="expression" dxfId="63" priority="4">
      <formula>LEFT($A$4,1) &lt;&gt; "0"</formula>
    </cfRule>
  </conditionalFormatting>
  <conditionalFormatting sqref="X293:Y293">
    <cfRule type="cellIs" dxfId="62" priority="3" operator="greaterThan">
      <formula>0</formula>
    </cfRule>
  </conditionalFormatting>
  <conditionalFormatting sqref="X4:Y4">
    <cfRule type="expression" dxfId="61" priority="2">
      <formula>LEFT($A$4,1) &lt;&gt; "0"</formula>
    </cfRule>
  </conditionalFormatting>
  <conditionalFormatting sqref="H295">
    <cfRule type="cellIs" dxfId="60" priority="1" operator="greaterThan">
      <formula>0</formula>
    </cfRule>
  </conditionalFormatting>
  <hyperlinks>
    <hyperlink ref="B5:F5" location="'Model map'!A1" display="Click here to return to model map" xr:uid="{A934C32C-0053-43B0-B152-D4925EBA3644}"/>
  </hyperlinks>
  <pageMargins left="0.7" right="0.7" top="0.75" bottom="0.75" header="0.3" footer="0.3"/>
  <pageSetup paperSize="9" scale="32" fitToHeight="0" orientation="portrait" r:id="rId1"/>
  <headerFooter>
    <oddHeader>&amp;L&amp;A&amp;C&amp;R&amp;P of &amp;N</oddHeader>
    <oddFooter>&amp;F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tabColor theme="6" tint="0.39997558519241921"/>
    <pageSetUpPr fitToPage="1"/>
  </sheetPr>
  <dimension ref="A1:J65"/>
  <sheetViews>
    <sheetView showGridLines="0" zoomScale="80" zoomScaleNormal="80" workbookViewId="0">
      <pane ySplit="3" topLeftCell="A4" activePane="bottomLeft" state="frozen"/>
      <selection pane="bottomLeft" activeCell="H2" sqref="H2"/>
    </sheetView>
  </sheetViews>
  <sheetFormatPr defaultColWidth="0" defaultRowHeight="15" customHeight="1" x14ac:dyDescent="0.25"/>
  <cols>
    <col min="1" max="5" width="2.5703125" style="21" customWidth="1"/>
    <col min="6" max="6" width="30.5703125" style="21" customWidth="1"/>
    <col min="7" max="7" width="2.5703125" style="21" customWidth="1"/>
    <col min="8" max="8" width="25.5703125" style="25" customWidth="1"/>
    <col min="9" max="9" width="125.42578125" style="25" customWidth="1"/>
    <col min="10" max="10" width="2.5703125" style="21" customWidth="1"/>
    <col min="11" max="16384" width="9.140625" style="21" hidden="1"/>
  </cols>
  <sheetData>
    <row r="1" spans="1:9" s="10" customFormat="1" x14ac:dyDescent="0.25">
      <c r="A1" s="10" t="str">
        <f ca="1">MID(CELL("filename",A1),FIND("]",CELL("filename",A1))+1,255)</f>
        <v>Model map</v>
      </c>
    </row>
    <row r="2" spans="1:9" s="10" customFormat="1" x14ac:dyDescent="0.25">
      <c r="A2" s="10" t="str">
        <f>Cover!D21&amp;" - "&amp;Cover!D23</f>
        <v>Southern Electric Power Distribution plc - Final</v>
      </c>
    </row>
    <row r="3" spans="1:9" s="46" customFormat="1" x14ac:dyDescent="0.25">
      <c r="A3" s="46" t="str">
        <f>Cover!D2&amp;" - "&amp;Cover!D8&amp;" v"&amp;Cover!D10&amp;" - "&amp;Cover!D19</f>
        <v>ARP model - Release for charge setting v7 - 2023/24</v>
      </c>
    </row>
    <row r="5" spans="1:9" s="42" customFormat="1" x14ac:dyDescent="0.25">
      <c r="A5" s="20"/>
      <c r="B5" s="45" t="s">
        <v>430</v>
      </c>
      <c r="C5" s="45"/>
      <c r="D5" s="45"/>
      <c r="E5" s="45"/>
      <c r="F5" s="45"/>
      <c r="G5" s="45"/>
      <c r="H5" s="45"/>
      <c r="I5" s="45"/>
    </row>
    <row r="7" spans="1:9" ht="15" customHeight="1" x14ac:dyDescent="0.25">
      <c r="F7" s="29"/>
      <c r="G7" s="29"/>
      <c r="H7" s="28"/>
      <c r="I7" s="28"/>
    </row>
    <row r="8" spans="1:9" ht="15" customHeight="1" x14ac:dyDescent="0.25">
      <c r="F8" s="29"/>
      <c r="G8" s="29"/>
    </row>
    <row r="9" spans="1:9" ht="15" customHeight="1" x14ac:dyDescent="0.25">
      <c r="F9" s="29"/>
      <c r="G9" s="29"/>
      <c r="H9" s="29"/>
      <c r="I9" s="29"/>
    </row>
    <row r="10" spans="1:9" ht="15" customHeight="1" x14ac:dyDescent="0.25">
      <c r="F10" s="29"/>
      <c r="G10" s="29"/>
      <c r="H10" s="29"/>
      <c r="I10" s="29"/>
    </row>
    <row r="11" spans="1:9" ht="15" customHeight="1" x14ac:dyDescent="0.25">
      <c r="F11" s="29"/>
      <c r="G11" s="29"/>
      <c r="H11" s="29"/>
      <c r="I11" s="21"/>
    </row>
    <row r="12" spans="1:9" ht="15" customHeight="1" x14ac:dyDescent="0.25">
      <c r="F12" s="29"/>
      <c r="H12" s="29"/>
      <c r="I12" s="21"/>
    </row>
    <row r="13" spans="1:9" ht="15" customHeight="1" x14ac:dyDescent="0.25">
      <c r="F13" s="29"/>
      <c r="H13" s="29"/>
      <c r="I13" s="21"/>
    </row>
    <row r="14" spans="1:9" ht="15" customHeight="1" x14ac:dyDescent="0.25">
      <c r="F14" s="29"/>
      <c r="H14" s="29"/>
      <c r="I14" s="21"/>
    </row>
    <row r="15" spans="1:9" x14ac:dyDescent="0.25">
      <c r="F15" s="30"/>
      <c r="G15" s="30"/>
      <c r="H15" s="30"/>
      <c r="I15" s="30"/>
    </row>
    <row r="16" spans="1:9" ht="15" customHeight="1" x14ac:dyDescent="0.25">
      <c r="H16" s="30"/>
      <c r="I16" s="30"/>
    </row>
    <row r="17" spans="6:9" ht="15" customHeight="1" x14ac:dyDescent="0.25">
      <c r="H17" s="30"/>
      <c r="I17" s="30"/>
    </row>
    <row r="18" spans="6:9" ht="15" customHeight="1" x14ac:dyDescent="0.25">
      <c r="H18" s="30"/>
      <c r="I18" s="30"/>
    </row>
    <row r="19" spans="6:9" ht="15" customHeight="1" x14ac:dyDescent="0.25">
      <c r="F19" s="30"/>
      <c r="G19" s="30"/>
      <c r="H19" s="30"/>
      <c r="I19" s="30"/>
    </row>
    <row r="20" spans="6:9" ht="15" customHeight="1" x14ac:dyDescent="0.25">
      <c r="F20" s="30"/>
      <c r="G20" s="30"/>
      <c r="H20" s="30"/>
      <c r="I20" s="30"/>
    </row>
    <row r="21" spans="6:9" ht="15" customHeight="1" x14ac:dyDescent="0.25">
      <c r="F21" s="30"/>
      <c r="G21" s="30"/>
      <c r="H21" s="30"/>
      <c r="I21" s="30"/>
    </row>
    <row r="22" spans="6:9" ht="15" customHeight="1" x14ac:dyDescent="0.25">
      <c r="F22" s="30"/>
      <c r="G22" s="30"/>
      <c r="H22" s="30"/>
      <c r="I22" s="30"/>
    </row>
    <row r="23" spans="6:9" ht="15" customHeight="1" x14ac:dyDescent="0.25">
      <c r="F23" s="30"/>
      <c r="G23" s="30"/>
      <c r="H23" s="30"/>
      <c r="I23" s="30"/>
    </row>
    <row r="24" spans="6:9" ht="15" customHeight="1" x14ac:dyDescent="0.25">
      <c r="F24" s="30"/>
      <c r="G24" s="30"/>
      <c r="H24" s="30"/>
      <c r="I24" s="30"/>
    </row>
    <row r="25" spans="6:9" ht="15" customHeight="1" x14ac:dyDescent="0.25">
      <c r="F25" s="30"/>
      <c r="G25" s="30"/>
      <c r="H25" s="30"/>
      <c r="I25" s="30"/>
    </row>
    <row r="26" spans="6:9" ht="15" customHeight="1" x14ac:dyDescent="0.25">
      <c r="F26" s="30"/>
      <c r="G26" s="30"/>
      <c r="H26" s="30"/>
      <c r="I26" s="30"/>
    </row>
    <row r="27" spans="6:9" ht="15" customHeight="1" x14ac:dyDescent="0.25">
      <c r="F27" s="30"/>
      <c r="G27" s="30"/>
      <c r="H27" s="30"/>
      <c r="I27" s="30"/>
    </row>
    <row r="28" spans="6:9" ht="15" customHeight="1" x14ac:dyDescent="0.25">
      <c r="F28" s="30"/>
      <c r="G28" s="30"/>
      <c r="H28" s="30"/>
      <c r="I28" s="30"/>
    </row>
    <row r="29" spans="6:9" ht="15" customHeight="1" x14ac:dyDescent="0.25">
      <c r="F29" s="30"/>
      <c r="G29" s="30"/>
      <c r="H29" s="30"/>
      <c r="I29" s="30"/>
    </row>
    <row r="30" spans="6:9" ht="15" customHeight="1" x14ac:dyDescent="0.25">
      <c r="F30" s="30"/>
      <c r="G30" s="30"/>
      <c r="H30" s="30"/>
      <c r="I30" s="30"/>
    </row>
    <row r="31" spans="6:9" ht="15" customHeight="1" x14ac:dyDescent="0.25">
      <c r="F31" s="30"/>
      <c r="G31" s="30"/>
      <c r="H31" s="30"/>
      <c r="I31" s="30"/>
    </row>
    <row r="32" spans="6:9" ht="15" customHeight="1" x14ac:dyDescent="0.25">
      <c r="F32" s="30"/>
      <c r="G32" s="30"/>
      <c r="H32" s="30"/>
      <c r="I32" s="30"/>
    </row>
    <row r="33" spans="2:9" ht="15" customHeight="1" x14ac:dyDescent="0.25">
      <c r="F33" s="30"/>
      <c r="G33" s="30"/>
      <c r="H33" s="30"/>
      <c r="I33" s="30"/>
    </row>
    <row r="34" spans="2:9" s="6" customFormat="1" x14ac:dyDescent="0.25">
      <c r="B34" s="42"/>
      <c r="C34" s="42"/>
      <c r="D34" s="85"/>
      <c r="E34" s="42"/>
      <c r="F34" s="30"/>
      <c r="G34" s="30"/>
      <c r="H34" s="30"/>
      <c r="I34" s="30"/>
    </row>
    <row r="35" spans="2:9" s="6" customFormat="1" x14ac:dyDescent="0.25">
      <c r="B35" s="42"/>
      <c r="C35" s="42"/>
      <c r="D35" s="85"/>
      <c r="E35" s="42"/>
      <c r="F35" s="30"/>
      <c r="G35" s="30"/>
      <c r="H35" s="30"/>
      <c r="I35" s="30"/>
    </row>
    <row r="36" spans="2:9" s="6" customFormat="1" x14ac:dyDescent="0.25">
      <c r="B36" s="42"/>
      <c r="C36" s="42"/>
      <c r="D36" s="85"/>
      <c r="E36" s="42"/>
      <c r="F36" s="30"/>
      <c r="G36" s="30"/>
      <c r="H36" s="30"/>
      <c r="I36" s="30"/>
    </row>
    <row r="37" spans="2:9" s="6" customFormat="1" x14ac:dyDescent="0.25">
      <c r="B37" s="42"/>
      <c r="C37" s="42"/>
      <c r="D37" s="85"/>
      <c r="E37" s="42"/>
      <c r="F37" s="30"/>
      <c r="G37" s="30"/>
      <c r="H37" s="30"/>
      <c r="I37" s="30"/>
    </row>
    <row r="38" spans="2:9" s="6" customFormat="1" x14ac:dyDescent="0.25">
      <c r="B38" s="42"/>
      <c r="C38" s="42"/>
      <c r="D38" s="85"/>
      <c r="E38" s="42"/>
      <c r="F38" s="30"/>
      <c r="G38" s="30"/>
      <c r="H38" s="30"/>
      <c r="I38" s="30"/>
    </row>
    <row r="39" spans="2:9" s="6" customFormat="1" x14ac:dyDescent="0.25">
      <c r="B39" s="42"/>
      <c r="C39" s="42"/>
      <c r="D39" s="85"/>
      <c r="E39" s="42"/>
      <c r="F39" s="30"/>
      <c r="G39" s="30"/>
      <c r="H39" s="30"/>
      <c r="I39" s="30"/>
    </row>
    <row r="40" spans="2:9" s="6" customFormat="1" x14ac:dyDescent="0.25">
      <c r="B40" s="42"/>
      <c r="C40" s="42"/>
      <c r="D40" s="85"/>
      <c r="E40" s="42"/>
      <c r="F40" s="30"/>
      <c r="G40" s="30"/>
      <c r="H40" s="30"/>
      <c r="I40" s="30"/>
    </row>
    <row r="41" spans="2:9" ht="15" customHeight="1" x14ac:dyDescent="0.25">
      <c r="F41" s="30"/>
      <c r="G41" s="30"/>
      <c r="H41" s="30"/>
      <c r="I41" s="30"/>
    </row>
    <row r="42" spans="2:9" ht="15" customHeight="1" x14ac:dyDescent="0.25">
      <c r="F42" s="30"/>
      <c r="G42" s="30"/>
      <c r="H42" s="30"/>
      <c r="I42" s="30"/>
    </row>
    <row r="43" spans="2:9" ht="15" customHeight="1" x14ac:dyDescent="0.25">
      <c r="F43" s="30"/>
      <c r="G43" s="30"/>
      <c r="H43" s="30"/>
      <c r="I43" s="30"/>
    </row>
    <row r="44" spans="2:9" ht="15" customHeight="1" x14ac:dyDescent="0.25">
      <c r="F44" s="30"/>
      <c r="G44" s="30"/>
      <c r="H44" s="30"/>
      <c r="I44" s="30"/>
    </row>
    <row r="45" spans="2:9" ht="15" customHeight="1" x14ac:dyDescent="0.25">
      <c r="F45" s="30"/>
      <c r="G45" s="30"/>
      <c r="H45" s="30"/>
      <c r="I45" s="30"/>
    </row>
    <row r="46" spans="2:9" ht="15" customHeight="1" x14ac:dyDescent="0.25">
      <c r="F46" s="30"/>
      <c r="G46" s="30"/>
      <c r="H46" s="30"/>
      <c r="I46" s="30"/>
    </row>
    <row r="47" spans="2:9" ht="15" customHeight="1" x14ac:dyDescent="0.25">
      <c r="F47" s="27"/>
      <c r="H47" s="21"/>
      <c r="I47" s="21"/>
    </row>
    <row r="51" spans="1:10" s="42" customFormat="1" x14ac:dyDescent="0.25">
      <c r="A51" s="20"/>
      <c r="B51" s="20"/>
      <c r="C51" s="20"/>
      <c r="D51" s="20"/>
      <c r="E51" s="20"/>
      <c r="F51" s="20"/>
      <c r="G51" s="20"/>
      <c r="H51" s="20"/>
      <c r="I51" s="20"/>
      <c r="J51" s="20"/>
    </row>
    <row r="62" spans="1:10" ht="15" customHeight="1" x14ac:dyDescent="0.25">
      <c r="I62" s="21"/>
    </row>
    <row r="65" spans="2:9" ht="15" customHeight="1" x14ac:dyDescent="0.25">
      <c r="B65" s="45" t="s">
        <v>110</v>
      </c>
      <c r="C65" s="45"/>
      <c r="D65" s="45"/>
      <c r="E65" s="45"/>
      <c r="F65" s="45"/>
      <c r="G65" s="45"/>
      <c r="H65" s="45"/>
      <c r="I65" s="45"/>
    </row>
  </sheetData>
  <sheetProtection sheet="1" objects="1" formatCells="0" formatColumns="0" formatRows="0" sort="0" autoFilter="0"/>
  <pageMargins left="0.23622047244094491" right="0.23622047244094491" top="0.74803149606299213" bottom="0.74803149606299213" header="0.31496062992125984" footer="0.31496062992125984"/>
  <pageSetup paperSize="9" scale="88" fitToHeight="0" orientation="portrait" r:id="rId1"/>
  <headerFooter>
    <oddFooter>&amp;L&amp;Z&amp;F&amp;C&amp;D&amp;R&amp;P of &amp;N</oddFooter>
  </headerFooter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61C879-788F-49D6-9043-602AF4803D69}">
  <sheetPr codeName="Sheet52">
    <tabColor theme="4" tint="0.59999389629810485"/>
    <pageSetUpPr fitToPage="1"/>
  </sheetPr>
  <dimension ref="A1:LB256"/>
  <sheetViews>
    <sheetView showGridLines="0" zoomScale="80" zoomScaleNormal="80" workbookViewId="0">
      <pane xSplit="9" ySplit="5" topLeftCell="J6" activePane="bottomRight" state="frozen"/>
      <selection pane="topRight"/>
      <selection pane="bottomLeft"/>
      <selection pane="bottomRight"/>
    </sheetView>
  </sheetViews>
  <sheetFormatPr defaultColWidth="0" defaultRowHeight="15" x14ac:dyDescent="0.25"/>
  <cols>
    <col min="1" max="3" width="2.5703125" style="293" customWidth="1"/>
    <col min="4" max="5" width="2.5703125" style="98" customWidth="1"/>
    <col min="6" max="6" width="59.5703125" style="293" customWidth="1"/>
    <col min="7" max="8" width="20.5703125" style="293" customWidth="1"/>
    <col min="9" max="9" width="2.42578125" style="293" customWidth="1"/>
    <col min="10" max="25" width="17" style="293" customWidth="1"/>
    <col min="26" max="26" width="2.42578125" style="293" customWidth="1"/>
    <col min="27" max="27" width="50.5703125" style="293" customWidth="1"/>
    <col min="28" max="28" width="2.42578125" style="293" customWidth="1"/>
    <col min="29" max="29" width="24.5703125" style="293" hidden="1" customWidth="1"/>
    <col min="30" max="30" width="3.5703125" style="293" hidden="1" customWidth="1"/>
    <col min="31" max="31" width="15.42578125" style="293" hidden="1" customWidth="1"/>
    <col min="32" max="314" width="24.5703125" style="293" hidden="1" customWidth="1"/>
    <col min="315" max="16384" width="8.5703125" style="293" hidden="1"/>
  </cols>
  <sheetData>
    <row r="1" spans="1:27" s="10" customFormat="1" x14ac:dyDescent="0.25">
      <c r="A1" s="10" t="str">
        <f ca="1">MID(CELL("filename",A1),FIND("]",CELL("filename",A1))+1,255)</f>
        <v>Reactive power charges</v>
      </c>
    </row>
    <row r="2" spans="1:27" s="10" customFormat="1" x14ac:dyDescent="0.25">
      <c r="A2" s="10" t="str">
        <f>Cover!D21&amp;" - "&amp;Cover!D23</f>
        <v>Southern Electric Power Distribution plc - Final</v>
      </c>
    </row>
    <row r="3" spans="1:27" s="46" customFormat="1" x14ac:dyDescent="0.25">
      <c r="A3" s="46" t="str">
        <f>Cover!D2&amp;" - "&amp;Cover!D8&amp;" v"&amp;Cover!D10&amp;" - "&amp;Cover!D19</f>
        <v>ARP model - Release for charge setting v7 - 2023/24</v>
      </c>
    </row>
    <row r="4" spans="1:27" x14ac:dyDescent="0.25">
      <c r="A4" s="366" t="str">
        <f>H254 &amp; IF(H254 = 1, " issue", " issues") &amp;" identified in checks on this sheet"</f>
        <v>0 issues identified in checks on this sheet</v>
      </c>
      <c r="B4" s="108"/>
      <c r="C4" s="108"/>
      <c r="D4" s="108"/>
      <c r="E4" s="108"/>
      <c r="F4" s="108"/>
      <c r="G4" s="108"/>
      <c r="H4" s="111"/>
      <c r="I4" s="111"/>
    </row>
    <row r="5" spans="1:27" ht="60" x14ac:dyDescent="0.25">
      <c r="B5" s="367" t="s">
        <v>451</v>
      </c>
      <c r="C5" s="368"/>
      <c r="D5" s="368"/>
      <c r="E5" s="368"/>
      <c r="F5" s="368"/>
      <c r="G5" s="1" t="s">
        <v>91</v>
      </c>
      <c r="H5" s="2" t="s">
        <v>92</v>
      </c>
      <c r="J5" s="2" t="s">
        <v>926</v>
      </c>
      <c r="K5" s="2" t="s">
        <v>927</v>
      </c>
      <c r="L5" s="2" t="s">
        <v>928</v>
      </c>
      <c r="M5" s="2" t="s">
        <v>929</v>
      </c>
      <c r="N5" s="2" t="s">
        <v>930</v>
      </c>
      <c r="O5" s="2" t="s">
        <v>931</v>
      </c>
      <c r="P5" s="2" t="s">
        <v>932</v>
      </c>
      <c r="Q5" s="2" t="s">
        <v>933</v>
      </c>
      <c r="R5" s="2" t="s">
        <v>934</v>
      </c>
      <c r="S5" s="2" t="s">
        <v>935</v>
      </c>
      <c r="T5" s="2" t="s">
        <v>936</v>
      </c>
      <c r="U5" s="2" t="s">
        <v>937</v>
      </c>
      <c r="V5" s="2" t="s">
        <v>938</v>
      </c>
      <c r="W5" s="2" t="s">
        <v>939</v>
      </c>
      <c r="X5" s="2" t="s">
        <v>940</v>
      </c>
      <c r="Y5" s="2" t="s">
        <v>941</v>
      </c>
      <c r="AA5" s="1" t="s">
        <v>93</v>
      </c>
    </row>
    <row r="7" spans="1:27" x14ac:dyDescent="0.25">
      <c r="B7" s="95" t="s">
        <v>90</v>
      </c>
      <c r="C7" s="95"/>
      <c r="D7" s="95"/>
      <c r="E7" s="95"/>
      <c r="F7" s="95"/>
      <c r="G7" s="95"/>
      <c r="H7" s="95"/>
      <c r="I7" s="95"/>
      <c r="J7" s="95"/>
      <c r="K7" s="95"/>
      <c r="L7" s="95"/>
      <c r="M7" s="95"/>
      <c r="N7" s="95"/>
      <c r="O7" s="95"/>
      <c r="P7" s="95"/>
      <c r="Q7" s="95"/>
      <c r="R7" s="95"/>
      <c r="S7" s="95"/>
      <c r="T7" s="95"/>
      <c r="U7" s="95"/>
      <c r="V7" s="95"/>
      <c r="W7" s="95"/>
      <c r="X7" s="95"/>
      <c r="Y7" s="95"/>
      <c r="Z7" s="95"/>
      <c r="AA7" s="95"/>
    </row>
    <row r="9" spans="1:27" x14ac:dyDescent="0.25">
      <c r="C9" s="82" t="s">
        <v>759</v>
      </c>
      <c r="D9" s="293"/>
    </row>
    <row r="10" spans="1:27" x14ac:dyDescent="0.25">
      <c r="C10" s="82" t="s">
        <v>391</v>
      </c>
      <c r="D10" s="293"/>
      <c r="E10" s="293"/>
    </row>
    <row r="11" spans="1:27" x14ac:dyDescent="0.25">
      <c r="C11" s="299" t="s">
        <v>760</v>
      </c>
    </row>
    <row r="13" spans="1:27" x14ac:dyDescent="0.25">
      <c r="B13" s="95" t="s">
        <v>659</v>
      </c>
      <c r="C13" s="95"/>
      <c r="D13" s="95"/>
      <c r="E13" s="95"/>
      <c r="F13" s="95"/>
      <c r="G13" s="95"/>
      <c r="H13" s="95"/>
      <c r="I13" s="95"/>
      <c r="J13" s="95"/>
      <c r="K13" s="95"/>
      <c r="L13" s="95"/>
      <c r="M13" s="95"/>
      <c r="N13" s="95"/>
      <c r="O13" s="95"/>
      <c r="P13" s="95"/>
      <c r="Q13" s="95"/>
      <c r="R13" s="95"/>
      <c r="S13" s="95"/>
      <c r="T13" s="95"/>
      <c r="U13" s="95"/>
      <c r="V13" s="95"/>
      <c r="W13" s="95"/>
      <c r="X13" s="95"/>
      <c r="Y13" s="95"/>
      <c r="Z13" s="95"/>
      <c r="AA13" s="95"/>
    </row>
    <row r="15" spans="1:27" x14ac:dyDescent="0.25">
      <c r="C15" s="82" t="s">
        <v>420</v>
      </c>
    </row>
    <row r="17" spans="3:27" x14ac:dyDescent="0.25">
      <c r="C17" s="7" t="str">
        <f ca="1">INDEX('Version control'!$H$35:$H$61,MATCH($A$1,'Version control'!$F$35:$F$61,0),1)&amp;"-A: Inputs to reactive power charge calculations"</f>
        <v>Section 516-A: Inputs to reactive power charge calculations</v>
      </c>
      <c r="D17" s="7"/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</row>
    <row r="18" spans="3:27" x14ac:dyDescent="0.25">
      <c r="C18" s="96"/>
      <c r="D18" s="293"/>
      <c r="E18" s="96"/>
    </row>
    <row r="19" spans="3:27" x14ac:dyDescent="0.25">
      <c r="D19" s="96" t="s">
        <v>89</v>
      </c>
    </row>
    <row r="20" spans="3:27" x14ac:dyDescent="0.25">
      <c r="D20" s="82" t="s">
        <v>270</v>
      </c>
      <c r="E20" s="293"/>
    </row>
    <row r="21" spans="3:27" x14ac:dyDescent="0.25">
      <c r="C21" s="86"/>
      <c r="E21" s="91" t="s">
        <v>267</v>
      </c>
      <c r="F21" s="91"/>
      <c r="G21" s="91" t="s">
        <v>209</v>
      </c>
      <c r="H21" s="238"/>
    </row>
    <row r="22" spans="3:27" x14ac:dyDescent="0.25">
      <c r="C22" s="86"/>
      <c r="E22" s="293" t="s">
        <v>43</v>
      </c>
      <c r="G22" s="293" t="s">
        <v>209</v>
      </c>
      <c r="H22" s="273">
        <f t="array" ref="H22:H30">TRANSPOSE('Inputs by network level'!K24:S24)</f>
        <v>0.22971048873866273</v>
      </c>
    </row>
    <row r="23" spans="3:27" x14ac:dyDescent="0.25">
      <c r="C23" s="86"/>
      <c r="E23" s="293" t="s">
        <v>44</v>
      </c>
      <c r="G23" s="293" t="s">
        <v>209</v>
      </c>
      <c r="H23" s="273">
        <v>0.22971048873866273</v>
      </c>
    </row>
    <row r="24" spans="3:27" x14ac:dyDescent="0.25">
      <c r="C24" s="86"/>
      <c r="E24" s="293" t="s">
        <v>45</v>
      </c>
      <c r="G24" s="293" t="s">
        <v>209</v>
      </c>
      <c r="H24" s="273">
        <v>0.22971048873866273</v>
      </c>
    </row>
    <row r="25" spans="3:27" x14ac:dyDescent="0.25">
      <c r="C25" s="86"/>
      <c r="E25" s="293" t="s">
        <v>46</v>
      </c>
      <c r="G25" s="293" t="s">
        <v>209</v>
      </c>
      <c r="H25" s="273">
        <v>0.22971048873866273</v>
      </c>
    </row>
    <row r="26" spans="3:27" x14ac:dyDescent="0.25">
      <c r="C26" s="86"/>
      <c r="E26" s="293" t="s">
        <v>47</v>
      </c>
      <c r="G26" s="293" t="s">
        <v>209</v>
      </c>
      <c r="H26" s="273">
        <v>0.22971048873866273</v>
      </c>
    </row>
    <row r="27" spans="3:27" x14ac:dyDescent="0.25">
      <c r="C27" s="86"/>
      <c r="E27" s="293" t="s">
        <v>51</v>
      </c>
      <c r="G27" s="293" t="s">
        <v>209</v>
      </c>
      <c r="H27" s="273">
        <v>0</v>
      </c>
    </row>
    <row r="28" spans="3:27" x14ac:dyDescent="0.25">
      <c r="C28" s="86"/>
      <c r="E28" s="293" t="s">
        <v>48</v>
      </c>
      <c r="G28" s="293" t="s">
        <v>209</v>
      </c>
      <c r="H28" s="273">
        <v>0.22971048873866273</v>
      </c>
    </row>
    <row r="29" spans="3:27" x14ac:dyDescent="0.25">
      <c r="C29" s="86"/>
      <c r="E29" s="293" t="s">
        <v>49</v>
      </c>
      <c r="G29" s="293" t="s">
        <v>209</v>
      </c>
      <c r="H29" s="273">
        <v>0.22971048873866273</v>
      </c>
    </row>
    <row r="30" spans="3:27" x14ac:dyDescent="0.25">
      <c r="C30" s="86"/>
      <c r="E30" s="293" t="s">
        <v>50</v>
      </c>
      <c r="G30" s="293" t="s">
        <v>209</v>
      </c>
      <c r="H30" s="273">
        <v>0.22971048873866273</v>
      </c>
    </row>
    <row r="31" spans="3:27" x14ac:dyDescent="0.25">
      <c r="C31" s="86"/>
      <c r="E31" s="293" t="s">
        <v>124</v>
      </c>
      <c r="G31" s="293" t="s">
        <v>209</v>
      </c>
      <c r="H31" s="279"/>
    </row>
    <row r="32" spans="3:27" x14ac:dyDescent="0.25">
      <c r="C32" s="86"/>
      <c r="E32" s="93" t="s">
        <v>123</v>
      </c>
      <c r="F32" s="93"/>
      <c r="G32" s="93" t="s">
        <v>209</v>
      </c>
      <c r="H32" s="240"/>
    </row>
    <row r="33" spans="3:8" x14ac:dyDescent="0.25">
      <c r="C33" s="86"/>
      <c r="H33" s="252"/>
    </row>
    <row r="34" spans="3:8" x14ac:dyDescent="0.25">
      <c r="D34" s="86" t="s">
        <v>100</v>
      </c>
      <c r="H34" s="252"/>
    </row>
    <row r="35" spans="3:8" x14ac:dyDescent="0.25">
      <c r="C35" s="86"/>
      <c r="E35" s="91" t="s">
        <v>267</v>
      </c>
      <c r="F35" s="91"/>
      <c r="G35" s="16" t="s">
        <v>427</v>
      </c>
      <c r="H35" s="272">
        <f t="array" ref="H35:H44">TRANSPOSE('Load &amp; loss characteristics'!J29:S29)</f>
        <v>1</v>
      </c>
    </row>
    <row r="36" spans="3:8" x14ac:dyDescent="0.25">
      <c r="C36" s="86"/>
      <c r="E36" s="293" t="s">
        <v>43</v>
      </c>
      <c r="G36" s="14" t="s">
        <v>427</v>
      </c>
      <c r="H36" s="273">
        <v>1</v>
      </c>
    </row>
    <row r="37" spans="3:8" x14ac:dyDescent="0.25">
      <c r="C37" s="86"/>
      <c r="E37" s="293" t="s">
        <v>44</v>
      </c>
      <c r="G37" s="14" t="s">
        <v>427</v>
      </c>
      <c r="H37" s="273">
        <v>1.004</v>
      </c>
    </row>
    <row r="38" spans="3:8" x14ac:dyDescent="0.25">
      <c r="C38" s="86"/>
      <c r="E38" s="293" t="s">
        <v>45</v>
      </c>
      <c r="G38" s="14" t="s">
        <v>427</v>
      </c>
      <c r="H38" s="273">
        <v>1.008</v>
      </c>
    </row>
    <row r="39" spans="3:8" x14ac:dyDescent="0.25">
      <c r="C39" s="86"/>
      <c r="E39" s="293" t="s">
        <v>46</v>
      </c>
      <c r="G39" s="14" t="s">
        <v>427</v>
      </c>
      <c r="H39" s="273">
        <v>1.014</v>
      </c>
    </row>
    <row r="40" spans="3:8" x14ac:dyDescent="0.25">
      <c r="C40" s="86"/>
      <c r="E40" s="293" t="s">
        <v>47</v>
      </c>
      <c r="G40" s="14" t="s">
        <v>427</v>
      </c>
      <c r="H40" s="273">
        <v>1.02</v>
      </c>
    </row>
    <row r="41" spans="3:8" x14ac:dyDescent="0.25">
      <c r="C41" s="86"/>
      <c r="E41" s="293" t="s">
        <v>51</v>
      </c>
      <c r="G41" s="14" t="s">
        <v>427</v>
      </c>
      <c r="H41" s="273">
        <v>1.02</v>
      </c>
    </row>
    <row r="42" spans="3:8" x14ac:dyDescent="0.25">
      <c r="C42" s="86"/>
      <c r="E42" s="293" t="s">
        <v>48</v>
      </c>
      <c r="G42" s="14" t="s">
        <v>427</v>
      </c>
      <c r="H42" s="273">
        <v>1.0289999999999999</v>
      </c>
    </row>
    <row r="43" spans="3:8" x14ac:dyDescent="0.25">
      <c r="C43" s="86"/>
      <c r="E43" s="293" t="s">
        <v>49</v>
      </c>
      <c r="G43" s="14" t="s">
        <v>427</v>
      </c>
      <c r="H43" s="273">
        <v>1.044</v>
      </c>
    </row>
    <row r="44" spans="3:8" x14ac:dyDescent="0.25">
      <c r="C44" s="86"/>
      <c r="E44" s="293" t="s">
        <v>50</v>
      </c>
      <c r="G44" s="14" t="s">
        <v>427</v>
      </c>
      <c r="H44" s="273">
        <v>1.0880000000000001</v>
      </c>
    </row>
    <row r="45" spans="3:8" x14ac:dyDescent="0.25">
      <c r="C45" s="86"/>
      <c r="E45" s="293" t="s">
        <v>124</v>
      </c>
      <c r="G45" s="14" t="s">
        <v>427</v>
      </c>
      <c r="H45" s="279"/>
    </row>
    <row r="46" spans="3:8" x14ac:dyDescent="0.25">
      <c r="C46" s="86"/>
      <c r="E46" s="93" t="s">
        <v>123</v>
      </c>
      <c r="F46" s="93"/>
      <c r="G46" s="15" t="s">
        <v>427</v>
      </c>
      <c r="H46" s="240"/>
    </row>
    <row r="47" spans="3:8" x14ac:dyDescent="0.25">
      <c r="C47" s="86"/>
      <c r="H47" s="252"/>
    </row>
    <row r="48" spans="3:8" x14ac:dyDescent="0.25">
      <c r="D48" s="96" t="s">
        <v>657</v>
      </c>
      <c r="H48" s="252"/>
    </row>
    <row r="49" spans="3:8" x14ac:dyDescent="0.25">
      <c r="C49" s="86"/>
      <c r="E49" s="91" t="s">
        <v>267</v>
      </c>
      <c r="F49" s="91"/>
      <c r="G49" s="91" t="s">
        <v>108</v>
      </c>
      <c r="H49" s="238"/>
    </row>
    <row r="50" spans="3:8" x14ac:dyDescent="0.25">
      <c r="C50" s="86"/>
      <c r="E50" s="293" t="s">
        <v>43</v>
      </c>
      <c r="G50" s="293" t="s">
        <v>108</v>
      </c>
      <c r="H50" s="279"/>
    </row>
    <row r="51" spans="3:8" x14ac:dyDescent="0.25">
      <c r="C51" s="86"/>
      <c r="E51" s="293" t="s">
        <v>44</v>
      </c>
      <c r="G51" s="293" t="s">
        <v>108</v>
      </c>
      <c r="H51" s="273">
        <f t="array" ref="H51:H58">TRANSPOSE('Unit costs'!L114:S114)</f>
        <v>10.883631559807021</v>
      </c>
    </row>
    <row r="52" spans="3:8" x14ac:dyDescent="0.25">
      <c r="C52" s="86"/>
      <c r="E52" s="293" t="s">
        <v>45</v>
      </c>
      <c r="G52" s="293" t="s">
        <v>108</v>
      </c>
      <c r="H52" s="273">
        <v>2.8273360106831418</v>
      </c>
    </row>
    <row r="53" spans="3:8" x14ac:dyDescent="0.25">
      <c r="C53" s="86"/>
      <c r="E53" s="293" t="s">
        <v>46</v>
      </c>
      <c r="G53" s="293" t="s">
        <v>108</v>
      </c>
      <c r="H53" s="273">
        <v>7.8356229955375181</v>
      </c>
    </row>
    <row r="54" spans="3:8" x14ac:dyDescent="0.25">
      <c r="C54" s="86"/>
      <c r="E54" s="293" t="s">
        <v>47</v>
      </c>
      <c r="G54" s="293" t="s">
        <v>108</v>
      </c>
      <c r="H54" s="273">
        <v>5.576444424745584</v>
      </c>
    </row>
    <row r="55" spans="3:8" x14ac:dyDescent="0.25">
      <c r="C55" s="86"/>
      <c r="E55" s="293" t="s">
        <v>51</v>
      </c>
      <c r="G55" s="293" t="s">
        <v>108</v>
      </c>
      <c r="H55" s="273">
        <v>0</v>
      </c>
    </row>
    <row r="56" spans="3:8" x14ac:dyDescent="0.25">
      <c r="C56" s="86"/>
      <c r="E56" s="293" t="s">
        <v>48</v>
      </c>
      <c r="G56" s="293" t="s">
        <v>108</v>
      </c>
      <c r="H56" s="273">
        <v>18.206544316732039</v>
      </c>
    </row>
    <row r="57" spans="3:8" x14ac:dyDescent="0.25">
      <c r="C57" s="86"/>
      <c r="E57" s="293" t="s">
        <v>49</v>
      </c>
      <c r="G57" s="293" t="s">
        <v>108</v>
      </c>
      <c r="H57" s="273">
        <v>6.9635500131531867</v>
      </c>
    </row>
    <row r="58" spans="3:8" x14ac:dyDescent="0.25">
      <c r="C58" s="86"/>
      <c r="E58" s="293" t="s">
        <v>50</v>
      </c>
      <c r="G58" s="293" t="s">
        <v>108</v>
      </c>
      <c r="H58" s="273">
        <v>19.102355227863391</v>
      </c>
    </row>
    <row r="59" spans="3:8" x14ac:dyDescent="0.25">
      <c r="C59" s="86"/>
      <c r="E59" s="293" t="s">
        <v>124</v>
      </c>
      <c r="G59" s="293" t="s">
        <v>108</v>
      </c>
      <c r="H59" s="279"/>
    </row>
    <row r="60" spans="3:8" x14ac:dyDescent="0.25">
      <c r="C60" s="86"/>
      <c r="E60" s="93" t="s">
        <v>123</v>
      </c>
      <c r="F60" s="93"/>
      <c r="G60" s="93" t="s">
        <v>108</v>
      </c>
      <c r="H60" s="240"/>
    </row>
    <row r="61" spans="3:8" x14ac:dyDescent="0.25">
      <c r="C61" s="86"/>
      <c r="H61" s="252"/>
    </row>
    <row r="62" spans="3:8" x14ac:dyDescent="0.25">
      <c r="C62" s="86"/>
      <c r="D62" s="96" t="s">
        <v>658</v>
      </c>
      <c r="E62" s="293"/>
      <c r="H62" s="252"/>
    </row>
    <row r="63" spans="3:8" x14ac:dyDescent="0.25">
      <c r="C63" s="86"/>
      <c r="E63" s="91" t="s">
        <v>267</v>
      </c>
      <c r="F63" s="91"/>
      <c r="G63" s="91" t="s">
        <v>108</v>
      </c>
      <c r="H63" s="272">
        <f t="array" ref="H63:H72">TRANSPOSE('Unit costs'!J115:S115)</f>
        <v>2.7548504565186631</v>
      </c>
    </row>
    <row r="64" spans="3:8" x14ac:dyDescent="0.25">
      <c r="C64" s="86"/>
      <c r="E64" s="293" t="s">
        <v>43</v>
      </c>
      <c r="G64" s="293" t="s">
        <v>108</v>
      </c>
      <c r="H64" s="273">
        <v>0</v>
      </c>
    </row>
    <row r="65" spans="3:42" x14ac:dyDescent="0.25">
      <c r="C65" s="86"/>
      <c r="E65" s="293" t="s">
        <v>44</v>
      </c>
      <c r="G65" s="293" t="s">
        <v>108</v>
      </c>
      <c r="H65" s="273">
        <v>6.1203202482894374</v>
      </c>
    </row>
    <row r="66" spans="3:42" x14ac:dyDescent="0.25">
      <c r="C66" s="86"/>
      <c r="E66" s="293" t="s">
        <v>45</v>
      </c>
      <c r="G66" s="293" t="s">
        <v>108</v>
      </c>
      <c r="H66" s="273">
        <v>1.5899290360770664</v>
      </c>
    </row>
    <row r="67" spans="3:42" x14ac:dyDescent="0.25">
      <c r="C67" s="86"/>
      <c r="E67" s="293" t="s">
        <v>46</v>
      </c>
      <c r="G67" s="293" t="s">
        <v>108</v>
      </c>
      <c r="H67" s="273">
        <v>4.4062978256864964</v>
      </c>
    </row>
    <row r="68" spans="3:42" x14ac:dyDescent="0.25">
      <c r="C68" s="86"/>
      <c r="E68" s="293" t="s">
        <v>47</v>
      </c>
      <c r="G68" s="293" t="s">
        <v>108</v>
      </c>
      <c r="H68" s="273">
        <v>3.1358674297897946</v>
      </c>
    </row>
    <row r="69" spans="3:42" x14ac:dyDescent="0.25">
      <c r="C69" s="86"/>
      <c r="E69" s="293" t="s">
        <v>51</v>
      </c>
      <c r="G69" s="293" t="s">
        <v>108</v>
      </c>
      <c r="H69" s="273">
        <v>0</v>
      </c>
    </row>
    <row r="70" spans="3:42" x14ac:dyDescent="0.25">
      <c r="C70" s="86"/>
      <c r="E70" s="293" t="s">
        <v>48</v>
      </c>
      <c r="G70" s="293" t="s">
        <v>108</v>
      </c>
      <c r="H70" s="273">
        <v>10.238299709132184</v>
      </c>
    </row>
    <row r="71" spans="3:42" x14ac:dyDescent="0.25">
      <c r="C71" s="86"/>
      <c r="E71" s="293" t="s">
        <v>49</v>
      </c>
      <c r="G71" s="293" t="s">
        <v>108</v>
      </c>
      <c r="H71" s="273">
        <v>3.9158947922189049</v>
      </c>
    </row>
    <row r="72" spans="3:42" x14ac:dyDescent="0.25">
      <c r="C72" s="86"/>
      <c r="E72" s="293" t="s">
        <v>50</v>
      </c>
      <c r="G72" s="293" t="s">
        <v>108</v>
      </c>
      <c r="H72" s="273">
        <v>10.742051570623261</v>
      </c>
    </row>
    <row r="73" spans="3:42" x14ac:dyDescent="0.25">
      <c r="C73" s="86"/>
      <c r="E73" s="293" t="s">
        <v>124</v>
      </c>
      <c r="G73" s="293" t="s">
        <v>108</v>
      </c>
      <c r="H73" s="279"/>
    </row>
    <row r="74" spans="3:42" x14ac:dyDescent="0.25">
      <c r="C74" s="86"/>
      <c r="E74" s="93" t="s">
        <v>123</v>
      </c>
      <c r="F74" s="93"/>
      <c r="G74" s="93" t="s">
        <v>108</v>
      </c>
      <c r="H74" s="240"/>
    </row>
    <row r="75" spans="3:42" x14ac:dyDescent="0.25">
      <c r="C75" s="86"/>
      <c r="H75" s="90"/>
    </row>
    <row r="76" spans="3:42" x14ac:dyDescent="0.25">
      <c r="D76" s="86" t="s">
        <v>301</v>
      </c>
    </row>
    <row r="77" spans="3:42" x14ac:dyDescent="0.25">
      <c r="D77" s="82" t="s">
        <v>395</v>
      </c>
      <c r="E77" s="67"/>
    </row>
    <row r="78" spans="3:42" x14ac:dyDescent="0.25">
      <c r="C78" s="86"/>
      <c r="E78" s="293" t="s">
        <v>302</v>
      </c>
      <c r="G78" s="293" t="s">
        <v>155</v>
      </c>
      <c r="I78" s="293" t="s">
        <v>359</v>
      </c>
      <c r="J78" s="397">
        <f>'Fixed inputs'!J138</f>
        <v>0</v>
      </c>
      <c r="K78" s="397">
        <f>'Fixed inputs'!K138</f>
        <v>0</v>
      </c>
      <c r="L78" s="397">
        <f>'Fixed inputs'!L138</f>
        <v>0</v>
      </c>
      <c r="M78" s="397">
        <f>'Fixed inputs'!M138</f>
        <v>0</v>
      </c>
      <c r="N78" s="397">
        <f>'Fixed inputs'!N138</f>
        <v>1</v>
      </c>
      <c r="O78" s="397">
        <f>'Fixed inputs'!O138</f>
        <v>1</v>
      </c>
      <c r="P78" s="397">
        <f>'Fixed inputs'!P138</f>
        <v>1</v>
      </c>
      <c r="Q78" s="397">
        <f>'Fixed inputs'!Q138</f>
        <v>0</v>
      </c>
      <c r="R78" s="397">
        <f>'Fixed inputs'!R138</f>
        <v>0</v>
      </c>
      <c r="S78" s="397">
        <f>'Fixed inputs'!S138</f>
        <v>0</v>
      </c>
      <c r="T78" s="397">
        <f>'Fixed inputs'!T138</f>
        <v>1</v>
      </c>
      <c r="U78" s="397">
        <f>'Fixed inputs'!U138</f>
        <v>0</v>
      </c>
      <c r="V78" s="397">
        <f>'Fixed inputs'!V138</f>
        <v>1</v>
      </c>
      <c r="W78" s="397">
        <f>'Fixed inputs'!W138</f>
        <v>0</v>
      </c>
      <c r="X78" s="397">
        <f>'Fixed inputs'!X138</f>
        <v>1</v>
      </c>
      <c r="Y78" s="397">
        <f>'Fixed inputs'!Y138</f>
        <v>0</v>
      </c>
      <c r="AA78" s="293" t="s">
        <v>731</v>
      </c>
    </row>
    <row r="79" spans="3:42" x14ac:dyDescent="0.25">
      <c r="C79" s="86"/>
    </row>
    <row r="80" spans="3:42" x14ac:dyDescent="0.25">
      <c r="D80" s="96" t="s">
        <v>263</v>
      </c>
      <c r="E80" s="293"/>
      <c r="H80" s="111"/>
      <c r="J80" s="90"/>
      <c r="K80" s="90"/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  <c r="W80" s="90"/>
      <c r="X80" s="90"/>
      <c r="Y80" s="90"/>
      <c r="AP80" s="88"/>
    </row>
    <row r="81" spans="3:42" x14ac:dyDescent="0.25">
      <c r="C81" s="96"/>
      <c r="D81" s="293"/>
      <c r="E81" s="91" t="s">
        <v>43</v>
      </c>
      <c r="F81" s="91"/>
      <c r="G81" s="91" t="s">
        <v>94</v>
      </c>
      <c r="H81" s="74"/>
      <c r="I81" s="91"/>
      <c r="J81" s="137">
        <f>'Standing charge factors'!J44</f>
        <v>0</v>
      </c>
      <c r="K81" s="137">
        <f>'Standing charge factors'!K44</f>
        <v>0</v>
      </c>
      <c r="L81" s="137">
        <f>'Standing charge factors'!L44</f>
        <v>0</v>
      </c>
      <c r="M81" s="137">
        <f>'Standing charge factors'!M44</f>
        <v>0</v>
      </c>
      <c r="N81" s="137">
        <f>'Standing charge factors'!N44</f>
        <v>0</v>
      </c>
      <c r="O81" s="137">
        <f>'Standing charge factors'!O44</f>
        <v>0</v>
      </c>
      <c r="P81" s="137">
        <f>'Standing charge factors'!P44</f>
        <v>0</v>
      </c>
      <c r="Q81" s="137">
        <f>'Standing charge factors'!Q44</f>
        <v>0</v>
      </c>
      <c r="R81" s="137">
        <f>'Standing charge factors'!R44</f>
        <v>0</v>
      </c>
      <c r="S81" s="137">
        <f>'Standing charge factors'!S44</f>
        <v>0</v>
      </c>
      <c r="T81" s="137">
        <f>'Standing charge factors'!T44</f>
        <v>0</v>
      </c>
      <c r="U81" s="137">
        <f>'Standing charge factors'!U44</f>
        <v>0</v>
      </c>
      <c r="V81" s="137">
        <f>'Standing charge factors'!V44</f>
        <v>0</v>
      </c>
      <c r="W81" s="137">
        <f>'Standing charge factors'!W44</f>
        <v>0</v>
      </c>
      <c r="X81" s="137">
        <f>'Standing charge factors'!X44</f>
        <v>0</v>
      </c>
      <c r="Y81" s="137">
        <f>'Standing charge factors'!Y44</f>
        <v>0</v>
      </c>
      <c r="AP81" s="88"/>
    </row>
    <row r="82" spans="3:42" x14ac:dyDescent="0.25">
      <c r="C82" s="96"/>
      <c r="D82" s="293"/>
      <c r="E82" s="293" t="s">
        <v>44</v>
      </c>
      <c r="G82" s="293" t="s">
        <v>94</v>
      </c>
      <c r="H82" s="90"/>
      <c r="J82" s="143">
        <f>'Standing charge factors'!J45</f>
        <v>0</v>
      </c>
      <c r="K82" s="143">
        <f>'Standing charge factors'!K45</f>
        <v>0</v>
      </c>
      <c r="L82" s="143">
        <f>'Standing charge factors'!L45</f>
        <v>0</v>
      </c>
      <c r="M82" s="143">
        <f>'Standing charge factors'!M45</f>
        <v>0</v>
      </c>
      <c r="N82" s="143">
        <f>'Standing charge factors'!N45</f>
        <v>0</v>
      </c>
      <c r="O82" s="143">
        <f>'Standing charge factors'!O45</f>
        <v>0</v>
      </c>
      <c r="P82" s="143">
        <f>'Standing charge factors'!P45</f>
        <v>0</v>
      </c>
      <c r="Q82" s="143">
        <f>'Standing charge factors'!Q45</f>
        <v>0</v>
      </c>
      <c r="R82" s="143">
        <f>'Standing charge factors'!R45</f>
        <v>0</v>
      </c>
      <c r="S82" s="143">
        <f>'Standing charge factors'!S45</f>
        <v>0</v>
      </c>
      <c r="T82" s="143">
        <f>'Standing charge factors'!T45</f>
        <v>0</v>
      </c>
      <c r="U82" s="143">
        <f>'Standing charge factors'!U45</f>
        <v>0</v>
      </c>
      <c r="V82" s="143">
        <f>'Standing charge factors'!V45</f>
        <v>0</v>
      </c>
      <c r="W82" s="143">
        <f>'Standing charge factors'!W45</f>
        <v>0</v>
      </c>
      <c r="X82" s="143">
        <f>'Standing charge factors'!X45</f>
        <v>0</v>
      </c>
      <c r="Y82" s="143">
        <f>'Standing charge factors'!Y45</f>
        <v>0</v>
      </c>
      <c r="AP82" s="88"/>
    </row>
    <row r="83" spans="3:42" x14ac:dyDescent="0.25">
      <c r="C83" s="96"/>
      <c r="D83" s="293"/>
      <c r="E83" s="293" t="s">
        <v>45</v>
      </c>
      <c r="G83" s="293" t="s">
        <v>94</v>
      </c>
      <c r="H83" s="90"/>
      <c r="J83" s="143">
        <f>'Standing charge factors'!J46</f>
        <v>0</v>
      </c>
      <c r="K83" s="143">
        <f>'Standing charge factors'!K46</f>
        <v>0</v>
      </c>
      <c r="L83" s="143">
        <f>'Standing charge factors'!L46</f>
        <v>0</v>
      </c>
      <c r="M83" s="143">
        <f>'Standing charge factors'!M46</f>
        <v>0</v>
      </c>
      <c r="N83" s="143">
        <f>'Standing charge factors'!N46</f>
        <v>0</v>
      </c>
      <c r="O83" s="143">
        <f>'Standing charge factors'!O46</f>
        <v>0</v>
      </c>
      <c r="P83" s="143">
        <f>'Standing charge factors'!P46</f>
        <v>0</v>
      </c>
      <c r="Q83" s="143">
        <f>'Standing charge factors'!Q46</f>
        <v>0</v>
      </c>
      <c r="R83" s="143">
        <f>'Standing charge factors'!R46</f>
        <v>0</v>
      </c>
      <c r="S83" s="143">
        <f>'Standing charge factors'!S46</f>
        <v>0</v>
      </c>
      <c r="T83" s="143">
        <f>'Standing charge factors'!T46</f>
        <v>0</v>
      </c>
      <c r="U83" s="143">
        <f>'Standing charge factors'!U46</f>
        <v>0</v>
      </c>
      <c r="V83" s="143">
        <f>'Standing charge factors'!V46</f>
        <v>0</v>
      </c>
      <c r="W83" s="143">
        <f>'Standing charge factors'!W46</f>
        <v>0</v>
      </c>
      <c r="X83" s="143">
        <f>'Standing charge factors'!X46</f>
        <v>0</v>
      </c>
      <c r="Y83" s="143">
        <f>'Standing charge factors'!Y46</f>
        <v>0</v>
      </c>
      <c r="AP83" s="88"/>
    </row>
    <row r="84" spans="3:42" x14ac:dyDescent="0.25">
      <c r="C84" s="96"/>
      <c r="D84" s="293"/>
      <c r="E84" s="293" t="s">
        <v>46</v>
      </c>
      <c r="G84" s="293" t="s">
        <v>94</v>
      </c>
      <c r="H84" s="90"/>
      <c r="J84" s="143">
        <f>'Standing charge factors'!J47</f>
        <v>0</v>
      </c>
      <c r="K84" s="143">
        <f>'Standing charge factors'!K47</f>
        <v>0</v>
      </c>
      <c r="L84" s="143">
        <f>'Standing charge factors'!L47</f>
        <v>0</v>
      </c>
      <c r="M84" s="143">
        <f>'Standing charge factors'!M47</f>
        <v>0</v>
      </c>
      <c r="N84" s="143">
        <f>'Standing charge factors'!N47</f>
        <v>0</v>
      </c>
      <c r="O84" s="143">
        <f>'Standing charge factors'!O47</f>
        <v>0</v>
      </c>
      <c r="P84" s="143">
        <f>'Standing charge factors'!P47</f>
        <v>0.2</v>
      </c>
      <c r="Q84" s="143">
        <f>'Standing charge factors'!Q47</f>
        <v>0</v>
      </c>
      <c r="R84" s="143">
        <f>'Standing charge factors'!R47</f>
        <v>0</v>
      </c>
      <c r="S84" s="143">
        <f>'Standing charge factors'!S47</f>
        <v>0</v>
      </c>
      <c r="T84" s="143">
        <f>'Standing charge factors'!T47</f>
        <v>0</v>
      </c>
      <c r="U84" s="143">
        <f>'Standing charge factors'!U47</f>
        <v>0</v>
      </c>
      <c r="V84" s="143">
        <f>'Standing charge factors'!V47</f>
        <v>0</v>
      </c>
      <c r="W84" s="143">
        <f>'Standing charge factors'!W47</f>
        <v>0</v>
      </c>
      <c r="X84" s="143">
        <f>'Standing charge factors'!X47</f>
        <v>0</v>
      </c>
      <c r="Y84" s="143">
        <f>'Standing charge factors'!Y47</f>
        <v>0</v>
      </c>
      <c r="AP84" s="88"/>
    </row>
    <row r="85" spans="3:42" x14ac:dyDescent="0.25">
      <c r="C85" s="96"/>
      <c r="D85" s="293"/>
      <c r="E85" s="293" t="s">
        <v>47</v>
      </c>
      <c r="G85" s="293" t="s">
        <v>94</v>
      </c>
      <c r="H85" s="90"/>
      <c r="J85" s="143">
        <f>'Standing charge factors'!J48</f>
        <v>0</v>
      </c>
      <c r="K85" s="143">
        <f>'Standing charge factors'!K48</f>
        <v>0</v>
      </c>
      <c r="L85" s="143">
        <f>'Standing charge factors'!L48</f>
        <v>0</v>
      </c>
      <c r="M85" s="143">
        <f>'Standing charge factors'!M48</f>
        <v>0</v>
      </c>
      <c r="N85" s="143">
        <f>'Standing charge factors'!N48</f>
        <v>0</v>
      </c>
      <c r="O85" s="143">
        <f>'Standing charge factors'!O48</f>
        <v>0</v>
      </c>
      <c r="P85" s="143">
        <f>'Standing charge factors'!P48</f>
        <v>1</v>
      </c>
      <c r="Q85" s="143">
        <f>'Standing charge factors'!Q48</f>
        <v>0</v>
      </c>
      <c r="R85" s="143">
        <f>'Standing charge factors'!R48</f>
        <v>0</v>
      </c>
      <c r="S85" s="143">
        <f>'Standing charge factors'!S48</f>
        <v>0</v>
      </c>
      <c r="T85" s="143">
        <f>'Standing charge factors'!T48</f>
        <v>0</v>
      </c>
      <c r="U85" s="143">
        <f>'Standing charge factors'!U48</f>
        <v>0</v>
      </c>
      <c r="V85" s="143">
        <f>'Standing charge factors'!V48</f>
        <v>0</v>
      </c>
      <c r="W85" s="143">
        <f>'Standing charge factors'!W48</f>
        <v>0</v>
      </c>
      <c r="X85" s="143">
        <f>'Standing charge factors'!X48</f>
        <v>0</v>
      </c>
      <c r="Y85" s="143">
        <f>'Standing charge factors'!Y48</f>
        <v>0</v>
      </c>
      <c r="AP85" s="88"/>
    </row>
    <row r="86" spans="3:42" x14ac:dyDescent="0.25">
      <c r="C86" s="96"/>
      <c r="D86" s="293"/>
      <c r="E86" s="293" t="s">
        <v>51</v>
      </c>
      <c r="G86" s="293" t="s">
        <v>94</v>
      </c>
      <c r="H86" s="90"/>
      <c r="J86" s="143">
        <f>'Standing charge factors'!J49</f>
        <v>0</v>
      </c>
      <c r="K86" s="143">
        <f>'Standing charge factors'!K49</f>
        <v>0</v>
      </c>
      <c r="L86" s="143">
        <f>'Standing charge factors'!L49</f>
        <v>0</v>
      </c>
      <c r="M86" s="143">
        <f>'Standing charge factors'!M49</f>
        <v>0</v>
      </c>
      <c r="N86" s="143">
        <f>'Standing charge factors'!N49</f>
        <v>0</v>
      </c>
      <c r="O86" s="143">
        <f>'Standing charge factors'!O49</f>
        <v>0</v>
      </c>
      <c r="P86" s="143">
        <f>'Standing charge factors'!P49</f>
        <v>1</v>
      </c>
      <c r="Q86" s="143">
        <f>'Standing charge factors'!Q49</f>
        <v>0</v>
      </c>
      <c r="R86" s="143">
        <f>'Standing charge factors'!R49</f>
        <v>0</v>
      </c>
      <c r="S86" s="143">
        <f>'Standing charge factors'!S49</f>
        <v>0</v>
      </c>
      <c r="T86" s="143">
        <f>'Standing charge factors'!T49</f>
        <v>0</v>
      </c>
      <c r="U86" s="143">
        <f>'Standing charge factors'!U49</f>
        <v>0</v>
      </c>
      <c r="V86" s="143">
        <f>'Standing charge factors'!V49</f>
        <v>0</v>
      </c>
      <c r="W86" s="143">
        <f>'Standing charge factors'!W49</f>
        <v>0</v>
      </c>
      <c r="X86" s="143">
        <f>'Standing charge factors'!X49</f>
        <v>0</v>
      </c>
      <c r="Y86" s="143">
        <f>'Standing charge factors'!Y49</f>
        <v>0</v>
      </c>
      <c r="AP86" s="88"/>
    </row>
    <row r="87" spans="3:42" x14ac:dyDescent="0.25">
      <c r="C87" s="96"/>
      <c r="D87" s="293"/>
      <c r="E87" s="293" t="s">
        <v>48</v>
      </c>
      <c r="G87" s="293" t="s">
        <v>94</v>
      </c>
      <c r="H87" s="90"/>
      <c r="J87" s="143">
        <f>'Standing charge factors'!J50</f>
        <v>0</v>
      </c>
      <c r="K87" s="143">
        <f>'Standing charge factors'!K50</f>
        <v>0</v>
      </c>
      <c r="L87" s="143">
        <f>'Standing charge factors'!L50</f>
        <v>0</v>
      </c>
      <c r="M87" s="143">
        <f>'Standing charge factors'!M50</f>
        <v>0</v>
      </c>
      <c r="N87" s="143">
        <f>'Standing charge factors'!N50</f>
        <v>0.2</v>
      </c>
      <c r="O87" s="143">
        <f>'Standing charge factors'!O50</f>
        <v>1</v>
      </c>
      <c r="P87" s="143">
        <f>'Standing charge factors'!P50</f>
        <v>1</v>
      </c>
      <c r="Q87" s="143">
        <f>'Standing charge factors'!Q50</f>
        <v>0</v>
      </c>
      <c r="R87" s="143">
        <f>'Standing charge factors'!R50</f>
        <v>0</v>
      </c>
      <c r="S87" s="143">
        <f>'Standing charge factors'!S50</f>
        <v>0</v>
      </c>
      <c r="T87" s="143">
        <f>'Standing charge factors'!T50</f>
        <v>0</v>
      </c>
      <c r="U87" s="143">
        <f>'Standing charge factors'!U50</f>
        <v>0</v>
      </c>
      <c r="V87" s="143">
        <f>'Standing charge factors'!V50</f>
        <v>0</v>
      </c>
      <c r="W87" s="143">
        <f>'Standing charge factors'!W50</f>
        <v>0</v>
      </c>
      <c r="X87" s="143">
        <f>'Standing charge factors'!X50</f>
        <v>0</v>
      </c>
      <c r="Y87" s="143">
        <f>'Standing charge factors'!Y50</f>
        <v>0</v>
      </c>
      <c r="AP87" s="88"/>
    </row>
    <row r="88" spans="3:42" x14ac:dyDescent="0.25">
      <c r="C88" s="96"/>
      <c r="D88" s="293"/>
      <c r="E88" s="293" t="s">
        <v>49</v>
      </c>
      <c r="G88" s="293" t="s">
        <v>94</v>
      </c>
      <c r="H88" s="90"/>
      <c r="J88" s="143">
        <f>'Standing charge factors'!J51</f>
        <v>0</v>
      </c>
      <c r="K88" s="143">
        <f>'Standing charge factors'!K51</f>
        <v>0</v>
      </c>
      <c r="L88" s="143">
        <f>'Standing charge factors'!L51</f>
        <v>0</v>
      </c>
      <c r="M88" s="143">
        <f>'Standing charge factors'!M51</f>
        <v>0</v>
      </c>
      <c r="N88" s="143">
        <f>'Standing charge factors'!N51</f>
        <v>1</v>
      </c>
      <c r="O88" s="143">
        <f>'Standing charge factors'!O51</f>
        <v>1</v>
      </c>
      <c r="P88" s="143">
        <f>'Standing charge factors'!P51</f>
        <v>0</v>
      </c>
      <c r="Q88" s="143">
        <f>'Standing charge factors'!Q51</f>
        <v>0</v>
      </c>
      <c r="R88" s="143">
        <f>'Standing charge factors'!R51</f>
        <v>0</v>
      </c>
      <c r="S88" s="143">
        <f>'Standing charge factors'!S51</f>
        <v>0</v>
      </c>
      <c r="T88" s="143">
        <f>'Standing charge factors'!T51</f>
        <v>0</v>
      </c>
      <c r="U88" s="143">
        <f>'Standing charge factors'!U51</f>
        <v>0</v>
      </c>
      <c r="V88" s="143">
        <f>'Standing charge factors'!V51</f>
        <v>0</v>
      </c>
      <c r="W88" s="143">
        <f>'Standing charge factors'!W51</f>
        <v>0</v>
      </c>
      <c r="X88" s="143">
        <f>'Standing charge factors'!X51</f>
        <v>0</v>
      </c>
      <c r="Y88" s="143">
        <f>'Standing charge factors'!Y51</f>
        <v>0</v>
      </c>
      <c r="AP88" s="88"/>
    </row>
    <row r="89" spans="3:42" x14ac:dyDescent="0.25">
      <c r="C89" s="96"/>
      <c r="D89" s="293"/>
      <c r="E89" s="93" t="s">
        <v>50</v>
      </c>
      <c r="F89" s="93"/>
      <c r="G89" s="93" t="s">
        <v>94</v>
      </c>
      <c r="H89" s="187"/>
      <c r="I89" s="93"/>
      <c r="J89" s="390">
        <f>'Standing charge factors'!J52</f>
        <v>1</v>
      </c>
      <c r="K89" s="390">
        <f>'Standing charge factors'!K52</f>
        <v>1</v>
      </c>
      <c r="L89" s="390">
        <f>'Standing charge factors'!L52</f>
        <v>1</v>
      </c>
      <c r="M89" s="390">
        <f>'Standing charge factors'!M52</f>
        <v>1</v>
      </c>
      <c r="N89" s="390">
        <f>'Standing charge factors'!N52</f>
        <v>1</v>
      </c>
      <c r="O89" s="390">
        <f>'Standing charge factors'!O52</f>
        <v>0</v>
      </c>
      <c r="P89" s="390">
        <f>'Standing charge factors'!P52</f>
        <v>0</v>
      </c>
      <c r="Q89" s="390">
        <f>'Standing charge factors'!Q52</f>
        <v>0</v>
      </c>
      <c r="R89" s="390">
        <f>'Standing charge factors'!R52</f>
        <v>0</v>
      </c>
      <c r="S89" s="390">
        <f>'Standing charge factors'!S52</f>
        <v>0</v>
      </c>
      <c r="T89" s="390">
        <f>'Standing charge factors'!T52</f>
        <v>0</v>
      </c>
      <c r="U89" s="390">
        <f>'Standing charge factors'!U52</f>
        <v>0</v>
      </c>
      <c r="V89" s="390">
        <f>'Standing charge factors'!V52</f>
        <v>0</v>
      </c>
      <c r="W89" s="390">
        <f>'Standing charge factors'!W52</f>
        <v>0</v>
      </c>
      <c r="X89" s="390">
        <f>'Standing charge factors'!X52</f>
        <v>0</v>
      </c>
      <c r="Y89" s="390">
        <f>'Standing charge factors'!Y52</f>
        <v>0</v>
      </c>
      <c r="AP89" s="88"/>
    </row>
    <row r="90" spans="3:42" x14ac:dyDescent="0.25">
      <c r="C90" s="86"/>
    </row>
    <row r="91" spans="3:42" x14ac:dyDescent="0.25">
      <c r="D91" s="96" t="s">
        <v>333</v>
      </c>
      <c r="E91" s="96"/>
      <c r="I91" s="293" t="s">
        <v>359</v>
      </c>
      <c r="AA91" s="293" t="s">
        <v>819</v>
      </c>
    </row>
    <row r="92" spans="3:42" x14ac:dyDescent="0.25">
      <c r="D92" s="82" t="s">
        <v>325</v>
      </c>
      <c r="E92" s="293"/>
      <c r="AA92" s="68"/>
    </row>
    <row r="93" spans="3:42" x14ac:dyDescent="0.25">
      <c r="D93" s="293"/>
      <c r="E93" s="91" t="s">
        <v>267</v>
      </c>
      <c r="F93" s="91"/>
      <c r="G93" s="16" t="s">
        <v>427</v>
      </c>
      <c r="H93" s="91"/>
      <c r="I93" s="91"/>
      <c r="J93" s="238"/>
      <c r="K93" s="238"/>
      <c r="L93" s="238"/>
      <c r="M93" s="238"/>
      <c r="N93" s="238"/>
      <c r="O93" s="238"/>
      <c r="P93" s="238"/>
      <c r="Q93" s="238"/>
      <c r="R93" s="272">
        <f t="array" ref="R93:Y102">TRANSPOSE('Load &amp; loss characteristics'!J172:S179)</f>
        <v>-1.0880000000000001</v>
      </c>
      <c r="S93" s="272">
        <v>-1.044</v>
      </c>
      <c r="T93" s="272">
        <v>-1.0880000000000001</v>
      </c>
      <c r="U93" s="272">
        <v>-1.0880000000000001</v>
      </c>
      <c r="V93" s="272">
        <v>-1.044</v>
      </c>
      <c r="W93" s="272">
        <v>-1.044</v>
      </c>
      <c r="X93" s="272">
        <v>-1.0289999999999999</v>
      </c>
      <c r="Y93" s="272">
        <v>-1.0289999999999999</v>
      </c>
    </row>
    <row r="94" spans="3:42" x14ac:dyDescent="0.25">
      <c r="D94" s="293"/>
      <c r="E94" s="293" t="s">
        <v>43</v>
      </c>
      <c r="G94" s="14" t="s">
        <v>427</v>
      </c>
      <c r="J94" s="279"/>
      <c r="K94" s="279"/>
      <c r="L94" s="279"/>
      <c r="M94" s="279"/>
      <c r="N94" s="279"/>
      <c r="O94" s="279"/>
      <c r="P94" s="279"/>
      <c r="Q94" s="279"/>
      <c r="R94" s="273">
        <v>-1.0880000000000001</v>
      </c>
      <c r="S94" s="273">
        <v>-1.044</v>
      </c>
      <c r="T94" s="273">
        <v>-1.0880000000000001</v>
      </c>
      <c r="U94" s="273">
        <v>-1.0880000000000001</v>
      </c>
      <c r="V94" s="273">
        <v>-1.044</v>
      </c>
      <c r="W94" s="273">
        <v>-1.044</v>
      </c>
      <c r="X94" s="273">
        <v>-1.0289999999999999</v>
      </c>
      <c r="Y94" s="273">
        <v>-1.0289999999999999</v>
      </c>
    </row>
    <row r="95" spans="3:42" x14ac:dyDescent="0.25">
      <c r="D95" s="293"/>
      <c r="E95" s="293" t="s">
        <v>44</v>
      </c>
      <c r="G95" s="14" t="s">
        <v>427</v>
      </c>
      <c r="J95" s="279"/>
      <c r="K95" s="279"/>
      <c r="L95" s="279"/>
      <c r="M95" s="279"/>
      <c r="N95" s="279"/>
      <c r="O95" s="279"/>
      <c r="P95" s="279"/>
      <c r="Q95" s="279"/>
      <c r="R95" s="273">
        <v>-1.0880000000000001</v>
      </c>
      <c r="S95" s="273">
        <v>-1.044</v>
      </c>
      <c r="T95" s="273">
        <v>-1.0880000000000001</v>
      </c>
      <c r="U95" s="273">
        <v>-1.0880000000000001</v>
      </c>
      <c r="V95" s="273">
        <v>-1.044</v>
      </c>
      <c r="W95" s="273">
        <v>-1.044</v>
      </c>
      <c r="X95" s="273">
        <v>-1.0289999999999999</v>
      </c>
      <c r="Y95" s="273">
        <v>-1.0289999999999999</v>
      </c>
    </row>
    <row r="96" spans="3:42" x14ac:dyDescent="0.25">
      <c r="D96" s="293"/>
      <c r="E96" s="293" t="s">
        <v>45</v>
      </c>
      <c r="G96" s="14" t="s">
        <v>427</v>
      </c>
      <c r="J96" s="279"/>
      <c r="K96" s="279"/>
      <c r="L96" s="279"/>
      <c r="M96" s="279"/>
      <c r="N96" s="279"/>
      <c r="O96" s="279"/>
      <c r="P96" s="279"/>
      <c r="Q96" s="279"/>
      <c r="R96" s="273">
        <v>-1.0880000000000001</v>
      </c>
      <c r="S96" s="273">
        <v>-1.044</v>
      </c>
      <c r="T96" s="273">
        <v>-1.0880000000000001</v>
      </c>
      <c r="U96" s="273">
        <v>-1.0880000000000001</v>
      </c>
      <c r="V96" s="273">
        <v>-1.044</v>
      </c>
      <c r="W96" s="273">
        <v>-1.044</v>
      </c>
      <c r="X96" s="273">
        <v>-1.0289999999999999</v>
      </c>
      <c r="Y96" s="273">
        <v>-1.0289999999999999</v>
      </c>
    </row>
    <row r="97" spans="3:25" x14ac:dyDescent="0.25">
      <c r="D97" s="293"/>
      <c r="E97" s="293" t="s">
        <v>46</v>
      </c>
      <c r="G97" s="14" t="s">
        <v>427</v>
      </c>
      <c r="J97" s="279"/>
      <c r="K97" s="279"/>
      <c r="L97" s="279"/>
      <c r="M97" s="279"/>
      <c r="N97" s="279"/>
      <c r="O97" s="279"/>
      <c r="P97" s="279"/>
      <c r="Q97" s="279"/>
      <c r="R97" s="273">
        <v>-1.0880000000000001</v>
      </c>
      <c r="S97" s="273">
        <v>-1.044</v>
      </c>
      <c r="T97" s="273">
        <v>-1.0880000000000001</v>
      </c>
      <c r="U97" s="273">
        <v>-1.0880000000000001</v>
      </c>
      <c r="V97" s="273">
        <v>-1.044</v>
      </c>
      <c r="W97" s="273">
        <v>-1.044</v>
      </c>
      <c r="X97" s="273">
        <v>-1.0289999999999999</v>
      </c>
      <c r="Y97" s="273">
        <v>-1.0289999999999999</v>
      </c>
    </row>
    <row r="98" spans="3:25" x14ac:dyDescent="0.25">
      <c r="D98" s="293"/>
      <c r="E98" s="293" t="s">
        <v>47</v>
      </c>
      <c r="G98" s="14" t="s">
        <v>427</v>
      </c>
      <c r="J98" s="279"/>
      <c r="K98" s="279"/>
      <c r="L98" s="279"/>
      <c r="M98" s="279"/>
      <c r="N98" s="279"/>
      <c r="O98" s="279"/>
      <c r="P98" s="279"/>
      <c r="Q98" s="279"/>
      <c r="R98" s="273">
        <v>-1.0880000000000001</v>
      </c>
      <c r="S98" s="273">
        <v>-1.044</v>
      </c>
      <c r="T98" s="273">
        <v>-1.0880000000000001</v>
      </c>
      <c r="U98" s="273">
        <v>-1.0880000000000001</v>
      </c>
      <c r="V98" s="273">
        <v>-1.044</v>
      </c>
      <c r="W98" s="273">
        <v>-1.044</v>
      </c>
      <c r="X98" s="273">
        <v>-1.0289999999999999</v>
      </c>
      <c r="Y98" s="273">
        <v>-1.0289999999999999</v>
      </c>
    </row>
    <row r="99" spans="3:25" x14ac:dyDescent="0.25">
      <c r="D99" s="293"/>
      <c r="E99" s="293" t="s">
        <v>51</v>
      </c>
      <c r="G99" s="14" t="s">
        <v>427</v>
      </c>
      <c r="J99" s="279"/>
      <c r="K99" s="279"/>
      <c r="L99" s="279"/>
      <c r="M99" s="279"/>
      <c r="N99" s="279"/>
      <c r="O99" s="279"/>
      <c r="P99" s="279"/>
      <c r="Q99" s="279"/>
      <c r="R99" s="273">
        <v>0</v>
      </c>
      <c r="S99" s="273">
        <v>0</v>
      </c>
      <c r="T99" s="273">
        <v>0</v>
      </c>
      <c r="U99" s="273">
        <v>0</v>
      </c>
      <c r="V99" s="273">
        <v>0</v>
      </c>
      <c r="W99" s="273">
        <v>0</v>
      </c>
      <c r="X99" s="273">
        <v>0</v>
      </c>
      <c r="Y99" s="273">
        <v>0</v>
      </c>
    </row>
    <row r="100" spans="3:25" x14ac:dyDescent="0.25">
      <c r="D100" s="293"/>
      <c r="E100" s="293" t="s">
        <v>48</v>
      </c>
      <c r="G100" s="14" t="s">
        <v>427</v>
      </c>
      <c r="J100" s="279"/>
      <c r="K100" s="279"/>
      <c r="L100" s="279"/>
      <c r="M100" s="279"/>
      <c r="N100" s="279"/>
      <c r="O100" s="279"/>
      <c r="P100" s="279"/>
      <c r="Q100" s="279"/>
      <c r="R100" s="273">
        <v>-1.0880000000000001</v>
      </c>
      <c r="S100" s="273">
        <v>-1.044</v>
      </c>
      <c r="T100" s="273">
        <v>-1.0880000000000001</v>
      </c>
      <c r="U100" s="273">
        <v>-1.0880000000000001</v>
      </c>
      <c r="V100" s="273">
        <v>-1.044</v>
      </c>
      <c r="W100" s="273">
        <v>-1.044</v>
      </c>
      <c r="X100" s="273">
        <v>-1.0289999999999999</v>
      </c>
      <c r="Y100" s="273">
        <v>-1.0289999999999999</v>
      </c>
    </row>
    <row r="101" spans="3:25" x14ac:dyDescent="0.25">
      <c r="D101" s="293"/>
      <c r="E101" s="293" t="s">
        <v>49</v>
      </c>
      <c r="G101" s="14" t="s">
        <v>427</v>
      </c>
      <c r="J101" s="279"/>
      <c r="K101" s="279"/>
      <c r="L101" s="279"/>
      <c r="M101" s="279"/>
      <c r="N101" s="279"/>
      <c r="O101" s="279"/>
      <c r="P101" s="279"/>
      <c r="Q101" s="279"/>
      <c r="R101" s="273">
        <v>-1.0880000000000001</v>
      </c>
      <c r="S101" s="273">
        <v>-1.044</v>
      </c>
      <c r="T101" s="273">
        <v>-1.0880000000000001</v>
      </c>
      <c r="U101" s="273">
        <v>-1.0880000000000001</v>
      </c>
      <c r="V101" s="273">
        <v>-1.044</v>
      </c>
      <c r="W101" s="273">
        <v>-1.044</v>
      </c>
      <c r="X101" s="273">
        <v>0</v>
      </c>
      <c r="Y101" s="273">
        <v>0</v>
      </c>
    </row>
    <row r="102" spans="3:25" x14ac:dyDescent="0.25">
      <c r="D102" s="293"/>
      <c r="E102" s="293" t="s">
        <v>50</v>
      </c>
      <c r="G102" s="14" t="s">
        <v>427</v>
      </c>
      <c r="J102" s="279"/>
      <c r="K102" s="279"/>
      <c r="L102" s="279"/>
      <c r="M102" s="279"/>
      <c r="N102" s="279"/>
      <c r="O102" s="279"/>
      <c r="P102" s="279"/>
      <c r="Q102" s="279"/>
      <c r="R102" s="273">
        <v>-1.0880000000000001</v>
      </c>
      <c r="S102" s="273">
        <v>0</v>
      </c>
      <c r="T102" s="273">
        <v>-1.0880000000000001</v>
      </c>
      <c r="U102" s="273">
        <v>-1.0880000000000001</v>
      </c>
      <c r="V102" s="273">
        <v>0</v>
      </c>
      <c r="W102" s="273">
        <v>0</v>
      </c>
      <c r="X102" s="273">
        <v>0</v>
      </c>
      <c r="Y102" s="273">
        <v>0</v>
      </c>
    </row>
    <row r="103" spans="3:25" x14ac:dyDescent="0.25">
      <c r="D103" s="293"/>
      <c r="E103" s="293" t="s">
        <v>124</v>
      </c>
      <c r="G103" s="14" t="s">
        <v>427</v>
      </c>
      <c r="J103" s="279"/>
      <c r="K103" s="279"/>
      <c r="L103" s="279"/>
      <c r="M103" s="279"/>
      <c r="N103" s="279"/>
      <c r="O103" s="279"/>
      <c r="P103" s="279"/>
      <c r="Q103" s="279"/>
      <c r="R103" s="279"/>
      <c r="S103" s="279"/>
      <c r="T103" s="279"/>
      <c r="U103" s="279"/>
      <c r="V103" s="279"/>
      <c r="W103" s="279"/>
      <c r="X103" s="279"/>
      <c r="Y103" s="279"/>
    </row>
    <row r="104" spans="3:25" x14ac:dyDescent="0.25">
      <c r="D104" s="293"/>
      <c r="E104" s="93" t="s">
        <v>123</v>
      </c>
      <c r="F104" s="93"/>
      <c r="G104" s="15" t="s">
        <v>427</v>
      </c>
      <c r="H104" s="93"/>
      <c r="I104" s="93"/>
      <c r="J104" s="240"/>
      <c r="K104" s="240"/>
      <c r="L104" s="240"/>
      <c r="M104" s="240"/>
      <c r="N104" s="240"/>
      <c r="O104" s="240"/>
      <c r="P104" s="240"/>
      <c r="Q104" s="240"/>
      <c r="R104" s="240"/>
      <c r="S104" s="240"/>
      <c r="T104" s="240"/>
      <c r="U104" s="240"/>
      <c r="V104" s="240"/>
      <c r="W104" s="240"/>
      <c r="X104" s="240"/>
      <c r="Y104" s="240"/>
    </row>
    <row r="105" spans="3:25" x14ac:dyDescent="0.25">
      <c r="C105" s="86"/>
    </row>
    <row r="106" spans="3:25" x14ac:dyDescent="0.25">
      <c r="D106" s="96" t="s">
        <v>521</v>
      </c>
      <c r="E106" s="293"/>
    </row>
    <row r="107" spans="3:25" x14ac:dyDescent="0.25">
      <c r="C107" s="86"/>
      <c r="E107" s="91" t="s">
        <v>267</v>
      </c>
      <c r="F107" s="91"/>
      <c r="G107" s="91" t="s">
        <v>94</v>
      </c>
      <c r="H107" s="91"/>
      <c r="I107" s="91"/>
      <c r="J107" s="106"/>
      <c r="K107" s="106"/>
      <c r="L107" s="106"/>
      <c r="M107" s="106"/>
      <c r="N107" s="106"/>
      <c r="O107" s="106"/>
      <c r="P107" s="106"/>
      <c r="Q107" s="106"/>
      <c r="R107" s="106"/>
      <c r="S107" s="106"/>
      <c r="T107" s="106"/>
      <c r="U107" s="106"/>
      <c r="V107" s="106"/>
      <c r="W107" s="106"/>
      <c r="X107" s="106"/>
      <c r="Y107" s="106"/>
    </row>
    <row r="108" spans="3:25" x14ac:dyDescent="0.25">
      <c r="C108" s="86"/>
      <c r="E108" s="293" t="s">
        <v>43</v>
      </c>
      <c r="G108" s="293" t="s">
        <v>94</v>
      </c>
      <c r="J108" s="79"/>
      <c r="K108" s="79"/>
      <c r="L108" s="79"/>
      <c r="M108" s="79"/>
      <c r="N108" s="79"/>
      <c r="O108" s="79"/>
      <c r="P108" s="79"/>
      <c r="Q108" s="79"/>
      <c r="R108" s="79"/>
      <c r="S108" s="79"/>
      <c r="T108" s="79"/>
      <c r="U108" s="79"/>
      <c r="V108" s="79"/>
      <c r="W108" s="79"/>
      <c r="X108" s="79"/>
      <c r="Y108" s="79"/>
    </row>
    <row r="109" spans="3:25" x14ac:dyDescent="0.25">
      <c r="C109" s="86"/>
      <c r="E109" s="293" t="s">
        <v>44</v>
      </c>
      <c r="G109" s="293" t="s">
        <v>94</v>
      </c>
      <c r="J109" s="143">
        <f t="array" ref="J109:Y116">TRANSPOSE('Customer contributions'!L51:S66)</f>
        <v>0</v>
      </c>
      <c r="K109" s="143">
        <v>0</v>
      </c>
      <c r="L109" s="143">
        <v>0</v>
      </c>
      <c r="M109" s="143">
        <v>0</v>
      </c>
      <c r="N109" s="143">
        <v>0</v>
      </c>
      <c r="O109" s="143">
        <v>0</v>
      </c>
      <c r="P109" s="143">
        <v>0</v>
      </c>
      <c r="Q109" s="143">
        <v>0</v>
      </c>
      <c r="R109" s="143">
        <v>0</v>
      </c>
      <c r="S109" s="143">
        <v>0</v>
      </c>
      <c r="T109" s="143">
        <v>0</v>
      </c>
      <c r="U109" s="143">
        <v>0</v>
      </c>
      <c r="V109" s="143">
        <v>0</v>
      </c>
      <c r="W109" s="143">
        <v>0</v>
      </c>
      <c r="X109" s="143">
        <v>0</v>
      </c>
      <c r="Y109" s="143">
        <v>0</v>
      </c>
    </row>
    <row r="110" spans="3:25" x14ac:dyDescent="0.25">
      <c r="C110" s="86"/>
      <c r="E110" s="293" t="s">
        <v>45</v>
      </c>
      <c r="G110" s="293" t="s">
        <v>94</v>
      </c>
      <c r="J110" s="143">
        <v>0</v>
      </c>
      <c r="K110" s="143">
        <v>0</v>
      </c>
      <c r="L110" s="143">
        <v>0</v>
      </c>
      <c r="M110" s="143">
        <v>0</v>
      </c>
      <c r="N110" s="143">
        <v>0</v>
      </c>
      <c r="O110" s="143">
        <v>0</v>
      </c>
      <c r="P110" s="143">
        <v>0</v>
      </c>
      <c r="Q110" s="143">
        <v>0</v>
      </c>
      <c r="R110" s="143">
        <v>0</v>
      </c>
      <c r="S110" s="143">
        <v>0</v>
      </c>
      <c r="T110" s="143">
        <v>0</v>
      </c>
      <c r="U110" s="143">
        <v>0</v>
      </c>
      <c r="V110" s="143">
        <v>0</v>
      </c>
      <c r="W110" s="143">
        <v>0</v>
      </c>
      <c r="X110" s="143">
        <v>0</v>
      </c>
      <c r="Y110" s="143">
        <v>0</v>
      </c>
    </row>
    <row r="111" spans="3:25" x14ac:dyDescent="0.25">
      <c r="C111" s="86"/>
      <c r="E111" s="293" t="s">
        <v>46</v>
      </c>
      <c r="G111" s="293" t="s">
        <v>94</v>
      </c>
      <c r="J111" s="143">
        <v>1.2370413198693E-2</v>
      </c>
      <c r="K111" s="143">
        <v>1.2370413198693E-2</v>
      </c>
      <c r="L111" s="143">
        <v>1.2370413198693E-2</v>
      </c>
      <c r="M111" s="143">
        <v>1.2370413198693E-2</v>
      </c>
      <c r="N111" s="143">
        <v>1.2370413198693E-2</v>
      </c>
      <c r="O111" s="143">
        <v>1.2370413198693E-2</v>
      </c>
      <c r="P111" s="143">
        <v>3.4530744799792602E-2</v>
      </c>
      <c r="Q111" s="143">
        <v>1.2370413198693E-2</v>
      </c>
      <c r="R111" s="143">
        <v>1.2370413198693E-2</v>
      </c>
      <c r="S111" s="143">
        <v>1.2370413198693E-2</v>
      </c>
      <c r="T111" s="143">
        <v>1.2370413198693E-2</v>
      </c>
      <c r="U111" s="143">
        <v>1.2370413198693E-2</v>
      </c>
      <c r="V111" s="143">
        <v>1.2370413198693E-2</v>
      </c>
      <c r="W111" s="143">
        <v>1.2370413198693E-2</v>
      </c>
      <c r="X111" s="143">
        <v>3.4530744799792602E-2</v>
      </c>
      <c r="Y111" s="143">
        <v>3.4530744799792602E-2</v>
      </c>
    </row>
    <row r="112" spans="3:25" x14ac:dyDescent="0.25">
      <c r="C112" s="86"/>
      <c r="E112" s="293" t="s">
        <v>47</v>
      </c>
      <c r="G112" s="293" t="s">
        <v>94</v>
      </c>
      <c r="J112" s="143">
        <v>2.4400925983857801E-2</v>
      </c>
      <c r="K112" s="143">
        <v>2.4400925983857801E-2</v>
      </c>
      <c r="L112" s="143">
        <v>2.4400925983857801E-2</v>
      </c>
      <c r="M112" s="143">
        <v>2.4400925983857801E-2</v>
      </c>
      <c r="N112" s="143">
        <v>2.4400925983857801E-2</v>
      </c>
      <c r="O112" s="143">
        <v>2.4400925983857801E-2</v>
      </c>
      <c r="P112" s="143">
        <v>6.6381013698021907E-2</v>
      </c>
      <c r="Q112" s="143">
        <v>2.4400925983857801E-2</v>
      </c>
      <c r="R112" s="143">
        <v>2.4400925983857801E-2</v>
      </c>
      <c r="S112" s="143">
        <v>2.4400925983857801E-2</v>
      </c>
      <c r="T112" s="143">
        <v>2.4400925983857801E-2</v>
      </c>
      <c r="U112" s="143">
        <v>2.4400925983857801E-2</v>
      </c>
      <c r="V112" s="143">
        <v>2.4400925983857801E-2</v>
      </c>
      <c r="W112" s="143">
        <v>2.4400925983857801E-2</v>
      </c>
      <c r="X112" s="143">
        <v>6.6381013698021907E-2</v>
      </c>
      <c r="Y112" s="143">
        <v>6.6381013698021907E-2</v>
      </c>
    </row>
    <row r="113" spans="3:27" x14ac:dyDescent="0.25">
      <c r="C113" s="86"/>
      <c r="E113" s="293" t="s">
        <v>51</v>
      </c>
      <c r="G113" s="293" t="s">
        <v>94</v>
      </c>
      <c r="J113" s="143">
        <v>0</v>
      </c>
      <c r="K113" s="143">
        <v>0</v>
      </c>
      <c r="L113" s="143">
        <v>0</v>
      </c>
      <c r="M113" s="143">
        <v>0</v>
      </c>
      <c r="N113" s="143">
        <v>0</v>
      </c>
      <c r="O113" s="143">
        <v>0</v>
      </c>
      <c r="P113" s="143">
        <v>0</v>
      </c>
      <c r="Q113" s="143">
        <v>0</v>
      </c>
      <c r="R113" s="143">
        <v>0</v>
      </c>
      <c r="S113" s="143">
        <v>0</v>
      </c>
      <c r="T113" s="143">
        <v>0</v>
      </c>
      <c r="U113" s="143">
        <v>0</v>
      </c>
      <c r="V113" s="143">
        <v>0</v>
      </c>
      <c r="W113" s="143">
        <v>0</v>
      </c>
      <c r="X113" s="143">
        <v>0</v>
      </c>
      <c r="Y113" s="143">
        <v>0</v>
      </c>
    </row>
    <row r="114" spans="3:27" x14ac:dyDescent="0.25">
      <c r="C114" s="86"/>
      <c r="E114" s="293" t="s">
        <v>48</v>
      </c>
      <c r="G114" s="293" t="s">
        <v>94</v>
      </c>
      <c r="J114" s="143">
        <v>0.34379931777325301</v>
      </c>
      <c r="K114" s="143">
        <v>0.34379931777325301</v>
      </c>
      <c r="L114" s="143">
        <v>0.34379931777325301</v>
      </c>
      <c r="M114" s="143">
        <v>0.34379931777325301</v>
      </c>
      <c r="N114" s="143">
        <v>0.34379931777325301</v>
      </c>
      <c r="O114" s="143">
        <v>0.34379931777325301</v>
      </c>
      <c r="P114" s="143">
        <v>0.38323267678152101</v>
      </c>
      <c r="Q114" s="143">
        <v>0.34379931777325301</v>
      </c>
      <c r="R114" s="143">
        <v>0.34379931777325301</v>
      </c>
      <c r="S114" s="143">
        <v>0.34379931777325301</v>
      </c>
      <c r="T114" s="143">
        <v>0.34379931777325301</v>
      </c>
      <c r="U114" s="143">
        <v>0.34379931777325301</v>
      </c>
      <c r="V114" s="143">
        <v>0.34379931777325301</v>
      </c>
      <c r="W114" s="143">
        <v>0.34379931777325301</v>
      </c>
      <c r="X114" s="143">
        <v>0.38323267678152101</v>
      </c>
      <c r="Y114" s="143">
        <v>0.38323267678152101</v>
      </c>
    </row>
    <row r="115" spans="3:27" x14ac:dyDescent="0.25">
      <c r="C115" s="86"/>
      <c r="E115" s="293" t="s">
        <v>49</v>
      </c>
      <c r="G115" s="293" t="s">
        <v>94</v>
      </c>
      <c r="J115" s="143">
        <v>0.42351973684210498</v>
      </c>
      <c r="K115" s="143">
        <v>0.42351973684210498</v>
      </c>
      <c r="L115" s="143">
        <v>0.42351973684210498</v>
      </c>
      <c r="M115" s="143">
        <v>0.42351973684210498</v>
      </c>
      <c r="N115" s="143">
        <v>0.42351973684210498</v>
      </c>
      <c r="O115" s="143">
        <v>0.42351973684210498</v>
      </c>
      <c r="P115" s="143">
        <v>0</v>
      </c>
      <c r="Q115" s="143">
        <v>0.42351973684210498</v>
      </c>
      <c r="R115" s="143">
        <v>0.42351973684210498</v>
      </c>
      <c r="S115" s="143">
        <v>0.42351973684210498</v>
      </c>
      <c r="T115" s="143">
        <v>0.42351973684210498</v>
      </c>
      <c r="U115" s="143">
        <v>0.42351973684210498</v>
      </c>
      <c r="V115" s="143">
        <v>0.42351973684210498</v>
      </c>
      <c r="W115" s="143">
        <v>0.42351973684210498</v>
      </c>
      <c r="X115" s="143">
        <v>0</v>
      </c>
      <c r="Y115" s="143">
        <v>0</v>
      </c>
    </row>
    <row r="116" spans="3:27" x14ac:dyDescent="0.25">
      <c r="C116" s="86"/>
      <c r="E116" s="293" t="s">
        <v>50</v>
      </c>
      <c r="G116" s="293" t="s">
        <v>94</v>
      </c>
      <c r="J116" s="143">
        <v>0.95595667870036105</v>
      </c>
      <c r="K116" s="143">
        <v>0.95595667870036105</v>
      </c>
      <c r="L116" s="143">
        <v>0.95595667870036105</v>
      </c>
      <c r="M116" s="143">
        <v>0.95595667870036105</v>
      </c>
      <c r="N116" s="143">
        <v>0.95595667870036105</v>
      </c>
      <c r="O116" s="143">
        <v>0</v>
      </c>
      <c r="P116" s="143">
        <v>0</v>
      </c>
      <c r="Q116" s="143">
        <v>0.95595667870036105</v>
      </c>
      <c r="R116" s="143">
        <v>0.95595667870036105</v>
      </c>
      <c r="S116" s="143">
        <v>0</v>
      </c>
      <c r="T116" s="143">
        <v>0.95595667870036105</v>
      </c>
      <c r="U116" s="143">
        <v>0.95595667870036105</v>
      </c>
      <c r="V116" s="143">
        <v>0</v>
      </c>
      <c r="W116" s="143">
        <v>0</v>
      </c>
      <c r="X116" s="143">
        <v>0</v>
      </c>
      <c r="Y116" s="143">
        <v>0</v>
      </c>
    </row>
    <row r="117" spans="3:27" x14ac:dyDescent="0.25">
      <c r="C117" s="86"/>
      <c r="E117" s="293" t="s">
        <v>124</v>
      </c>
      <c r="G117" s="293" t="s">
        <v>94</v>
      </c>
      <c r="J117" s="79"/>
      <c r="K117" s="79"/>
      <c r="L117" s="79"/>
      <c r="M117" s="79"/>
      <c r="N117" s="79"/>
      <c r="O117" s="79"/>
      <c r="P117" s="79"/>
      <c r="Q117" s="79"/>
      <c r="R117" s="79"/>
      <c r="S117" s="79"/>
      <c r="T117" s="79"/>
      <c r="U117" s="79"/>
      <c r="V117" s="79"/>
      <c r="W117" s="79"/>
      <c r="X117" s="79"/>
      <c r="Y117" s="79"/>
    </row>
    <row r="118" spans="3:27" x14ac:dyDescent="0.25">
      <c r="C118" s="86"/>
      <c r="E118" s="93" t="s">
        <v>123</v>
      </c>
      <c r="F118" s="93"/>
      <c r="G118" s="93" t="s">
        <v>94</v>
      </c>
      <c r="H118" s="93"/>
      <c r="I118" s="93"/>
      <c r="J118" s="102"/>
      <c r="K118" s="102"/>
      <c r="L118" s="102"/>
      <c r="M118" s="102"/>
      <c r="N118" s="102"/>
      <c r="O118" s="102"/>
      <c r="P118" s="102"/>
      <c r="Q118" s="102"/>
      <c r="R118" s="102"/>
      <c r="S118" s="102"/>
      <c r="T118" s="102"/>
      <c r="U118" s="102"/>
      <c r="V118" s="102"/>
      <c r="W118" s="102"/>
      <c r="X118" s="102"/>
      <c r="Y118" s="102"/>
    </row>
    <row r="120" spans="3:27" x14ac:dyDescent="0.25">
      <c r="C120" s="7" t="str">
        <f ca="1">INDEX('Version control'!$H$35:$H$61,MATCH($A$1,'Version control'!$F$35:$F$61,0),1)&amp;"-B: Yardstick charge (demand)"</f>
        <v>Section 516-B: Yardstick charge (demand)</v>
      </c>
      <c r="D120" s="7"/>
      <c r="E120" s="7"/>
      <c r="F120" s="7"/>
      <c r="G120" s="7"/>
      <c r="H120" s="7"/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  <c r="Z120" s="7"/>
      <c r="AA120" s="7"/>
    </row>
    <row r="121" spans="3:27" x14ac:dyDescent="0.25">
      <c r="C121" s="96"/>
      <c r="D121" s="293"/>
      <c r="E121" s="96"/>
    </row>
    <row r="122" spans="3:27" x14ac:dyDescent="0.25">
      <c r="D122" s="96" t="s">
        <v>139</v>
      </c>
      <c r="E122" s="293"/>
    </row>
    <row r="123" spans="3:27" x14ac:dyDescent="0.25">
      <c r="E123" s="91" t="s">
        <v>267</v>
      </c>
      <c r="F123" s="91"/>
      <c r="G123" s="91" t="s">
        <v>183</v>
      </c>
      <c r="H123" s="347"/>
      <c r="I123" s="347"/>
      <c r="J123" s="359"/>
      <c r="K123" s="359"/>
      <c r="L123" s="359"/>
      <c r="M123" s="359"/>
      <c r="N123" s="359"/>
      <c r="O123" s="359"/>
      <c r="P123" s="359"/>
      <c r="Q123" s="359"/>
      <c r="R123" s="359"/>
      <c r="S123" s="359"/>
      <c r="T123" s="359"/>
      <c r="U123" s="359"/>
      <c r="V123" s="359"/>
      <c r="W123" s="359"/>
      <c r="X123" s="359"/>
      <c r="Y123" s="359"/>
      <c r="Z123" s="349"/>
      <c r="AA123" s="349"/>
    </row>
    <row r="124" spans="3:27" x14ac:dyDescent="0.25">
      <c r="E124" s="293" t="s">
        <v>43</v>
      </c>
      <c r="G124" s="293" t="s">
        <v>183</v>
      </c>
      <c r="H124" s="349"/>
      <c r="I124" s="349"/>
      <c r="J124" s="418"/>
      <c r="K124" s="418"/>
      <c r="L124" s="418"/>
      <c r="M124" s="418"/>
      <c r="N124" s="418"/>
      <c r="O124" s="418"/>
      <c r="P124" s="418"/>
      <c r="Q124" s="418"/>
      <c r="R124" s="418"/>
      <c r="S124" s="418"/>
      <c r="T124" s="418"/>
      <c r="U124" s="418"/>
      <c r="V124" s="418"/>
      <c r="W124" s="418"/>
      <c r="X124" s="418"/>
      <c r="Y124" s="418"/>
      <c r="Z124" s="349"/>
      <c r="AA124" s="349"/>
    </row>
    <row r="125" spans="3:27" x14ac:dyDescent="0.25">
      <c r="E125" s="293" t="s">
        <v>44</v>
      </c>
      <c r="G125" s="293" t="s">
        <v>183</v>
      </c>
      <c r="H125" s="349"/>
      <c r="I125" s="349"/>
      <c r="J125" s="416">
        <f>'Initial unit rates'!J125</f>
        <v>0.28064348393169192</v>
      </c>
      <c r="K125" s="416">
        <f>'Initial unit rates'!K125</f>
        <v>0.28064348393169192</v>
      </c>
      <c r="L125" s="416">
        <f>'Initial unit rates'!L125</f>
        <v>0.19310911821405252</v>
      </c>
      <c r="M125" s="416">
        <f>'Initial unit rates'!M125</f>
        <v>0.19310911821405252</v>
      </c>
      <c r="N125" s="416">
        <f>'Initial unit rates'!N125</f>
        <v>0.17739841682462101</v>
      </c>
      <c r="O125" s="416">
        <f>'Initial unit rates'!O125</f>
        <v>0.13708817038558868</v>
      </c>
      <c r="P125" s="416">
        <f>'Initial unit rates'!P125</f>
        <v>0.13796277331446882</v>
      </c>
      <c r="Q125" s="416">
        <f>'Initial unit rates'!Q125</f>
        <v>0.26078694313280254</v>
      </c>
      <c r="R125" s="418"/>
      <c r="S125" s="418"/>
      <c r="T125" s="418"/>
      <c r="U125" s="418"/>
      <c r="V125" s="418"/>
      <c r="W125" s="418"/>
      <c r="X125" s="418"/>
      <c r="Y125" s="418"/>
      <c r="Z125" s="349"/>
      <c r="AA125" s="349"/>
    </row>
    <row r="126" spans="3:27" x14ac:dyDescent="0.25">
      <c r="E126" s="293" t="s">
        <v>45</v>
      </c>
      <c r="G126" s="293" t="s">
        <v>183</v>
      </c>
      <c r="H126" s="349"/>
      <c r="I126" s="349"/>
      <c r="J126" s="416">
        <f>'Initial unit rates'!J126</f>
        <v>7.2615902133420868E-2</v>
      </c>
      <c r="K126" s="416">
        <f>'Initial unit rates'!K126</f>
        <v>7.2615902133420868E-2</v>
      </c>
      <c r="L126" s="416">
        <f>'Initial unit rates'!L126</f>
        <v>4.996657193977809E-2</v>
      </c>
      <c r="M126" s="416">
        <f>'Initial unit rates'!M126</f>
        <v>4.996657193977809E-2</v>
      </c>
      <c r="N126" s="416">
        <f>'Initial unit rates'!N126</f>
        <v>4.5901461506570818E-2</v>
      </c>
      <c r="O126" s="416">
        <f>'Initial unit rates'!O126</f>
        <v>3.5471271325838473E-2</v>
      </c>
      <c r="P126" s="416">
        <f>'Initial unit rates'!P126</f>
        <v>3.5697572965910113E-2</v>
      </c>
      <c r="Q126" s="416">
        <f>'Initial unit rates'!Q126</f>
        <v>6.7478064606748114E-2</v>
      </c>
      <c r="R126" s="418"/>
      <c r="S126" s="418"/>
      <c r="T126" s="418"/>
      <c r="U126" s="418"/>
      <c r="V126" s="418"/>
      <c r="W126" s="418"/>
      <c r="X126" s="418"/>
      <c r="Y126" s="418"/>
      <c r="Z126" s="349"/>
      <c r="AA126" s="349"/>
    </row>
    <row r="127" spans="3:27" x14ac:dyDescent="0.25">
      <c r="E127" s="293" t="s">
        <v>46</v>
      </c>
      <c r="G127" s="293" t="s">
        <v>183</v>
      </c>
      <c r="H127" s="349"/>
      <c r="I127" s="349"/>
      <c r="J127" s="416">
        <f>'Initial unit rates'!J127</f>
        <v>0.19758069714683957</v>
      </c>
      <c r="K127" s="416">
        <f>'Initial unit rates'!K127</f>
        <v>0.19758069714683957</v>
      </c>
      <c r="L127" s="416">
        <f>'Initial unit rates'!L127</f>
        <v>0.13595410685334397</v>
      </c>
      <c r="M127" s="416">
        <f>'Initial unit rates'!M127</f>
        <v>0.13595410685334397</v>
      </c>
      <c r="N127" s="416">
        <f>'Initial unit rates'!N127</f>
        <v>0.12489334289152955</v>
      </c>
      <c r="O127" s="416">
        <f>'Initial unit rates'!O127</f>
        <v>9.6513825640655249E-2</v>
      </c>
      <c r="P127" s="416">
        <f>'Initial unit rates'!P127</f>
        <v>9.4950186697396743E-2</v>
      </c>
      <c r="Q127" s="416">
        <f>'Initial unit rates'!Q127</f>
        <v>0.18360114872117889</v>
      </c>
      <c r="R127" s="418"/>
      <c r="S127" s="418"/>
      <c r="T127" s="418"/>
      <c r="U127" s="418"/>
      <c r="V127" s="418"/>
      <c r="W127" s="418"/>
      <c r="X127" s="418"/>
      <c r="Y127" s="418"/>
      <c r="Z127" s="349"/>
      <c r="AA127" s="349"/>
    </row>
    <row r="128" spans="3:27" x14ac:dyDescent="0.25">
      <c r="E128" s="293" t="s">
        <v>47</v>
      </c>
      <c r="G128" s="293" t="s">
        <v>183</v>
      </c>
      <c r="H128" s="349"/>
      <c r="I128" s="349"/>
      <c r="J128" s="416">
        <f>'Initial unit rates'!J128</f>
        <v>0.13808402271874393</v>
      </c>
      <c r="K128" s="416">
        <f>'Initial unit rates'!K128</f>
        <v>0.13808402271874393</v>
      </c>
      <c r="L128" s="416">
        <f>'Initial unit rates'!L128</f>
        <v>9.5014797753708455E-2</v>
      </c>
      <c r="M128" s="416">
        <f>'Initial unit rates'!M128</f>
        <v>9.5014797753708455E-2</v>
      </c>
      <c r="N128" s="416">
        <f>'Initial unit rates'!N128</f>
        <v>8.7284716808327625E-2</v>
      </c>
      <c r="O128" s="416">
        <f>'Initial unit rates'!O128</f>
        <v>6.7451008549345534E-2</v>
      </c>
      <c r="P128" s="416">
        <f>'Initial unit rates'!P128</f>
        <v>6.4960398294230101E-2</v>
      </c>
      <c r="Q128" s="416">
        <f>'Initial unit rates'!Q128</f>
        <v>0.12831407904366868</v>
      </c>
      <c r="R128" s="418"/>
      <c r="S128" s="418"/>
      <c r="T128" s="418"/>
      <c r="U128" s="418"/>
      <c r="V128" s="418"/>
      <c r="W128" s="418"/>
      <c r="X128" s="418"/>
      <c r="Y128" s="418"/>
      <c r="Z128" s="349"/>
      <c r="AA128" s="349"/>
    </row>
    <row r="129" spans="4:27" x14ac:dyDescent="0.25">
      <c r="E129" s="293" t="s">
        <v>51</v>
      </c>
      <c r="G129" s="293" t="s">
        <v>183</v>
      </c>
      <c r="H129" s="349"/>
      <c r="I129" s="349"/>
      <c r="J129" s="416">
        <f>'Initial unit rates'!J129</f>
        <v>0</v>
      </c>
      <c r="K129" s="416">
        <f>'Initial unit rates'!K129</f>
        <v>0</v>
      </c>
      <c r="L129" s="416">
        <f>'Initial unit rates'!L129</f>
        <v>0</v>
      </c>
      <c r="M129" s="416">
        <f>'Initial unit rates'!M129</f>
        <v>0</v>
      </c>
      <c r="N129" s="416">
        <f>'Initial unit rates'!N129</f>
        <v>0</v>
      </c>
      <c r="O129" s="416">
        <f>'Initial unit rates'!O129</f>
        <v>0</v>
      </c>
      <c r="P129" s="416">
        <f>'Initial unit rates'!P129</f>
        <v>0</v>
      </c>
      <c r="Q129" s="416">
        <f>'Initial unit rates'!Q129</f>
        <v>0</v>
      </c>
      <c r="R129" s="418"/>
      <c r="S129" s="418"/>
      <c r="T129" s="418"/>
      <c r="U129" s="418"/>
      <c r="V129" s="418"/>
      <c r="W129" s="418"/>
      <c r="X129" s="418"/>
      <c r="Y129" s="418"/>
      <c r="Z129" s="349"/>
      <c r="AA129" s="349"/>
    </row>
    <row r="130" spans="4:27" x14ac:dyDescent="0.25">
      <c r="E130" s="293" t="s">
        <v>48</v>
      </c>
      <c r="G130" s="293" t="s">
        <v>183</v>
      </c>
      <c r="H130" s="349"/>
      <c r="I130" s="349"/>
      <c r="J130" s="416">
        <f>'Initial unit rates'!J130</f>
        <v>0.300582484589762</v>
      </c>
      <c r="K130" s="416">
        <f>'Initial unit rates'!K130</f>
        <v>0.300582484589762</v>
      </c>
      <c r="L130" s="416">
        <f>'Initial unit rates'!L130</f>
        <v>0.20682902640934311</v>
      </c>
      <c r="M130" s="416">
        <f>'Initial unit rates'!M130</f>
        <v>0.20682902640934311</v>
      </c>
      <c r="N130" s="416">
        <f>'Initial unit rates'!N130</f>
        <v>0.19000211992954552</v>
      </c>
      <c r="O130" s="416">
        <f>'Initial unit rates'!O130</f>
        <v>0.14682793373672062</v>
      </c>
      <c r="P130" s="416">
        <f>'Initial unit rates'!P130</f>
        <v>0.13888498673020433</v>
      </c>
      <c r="Q130" s="416">
        <f>'Initial unit rates'!Q130</f>
        <v>0.27931518743013556</v>
      </c>
      <c r="R130" s="418"/>
      <c r="S130" s="418"/>
      <c r="T130" s="418"/>
      <c r="U130" s="418"/>
      <c r="V130" s="418"/>
      <c r="W130" s="418"/>
      <c r="X130" s="418"/>
      <c r="Y130" s="418"/>
      <c r="Z130" s="349"/>
      <c r="AA130" s="349"/>
    </row>
    <row r="131" spans="4:27" x14ac:dyDescent="0.25">
      <c r="E131" s="293" t="s">
        <v>49</v>
      </c>
      <c r="G131" s="293" t="s">
        <v>183</v>
      </c>
      <c r="H131" s="349"/>
      <c r="I131" s="349"/>
      <c r="J131" s="416">
        <f>'Initial unit rates'!J131</f>
        <v>9.9547300640604852E-2</v>
      </c>
      <c r="K131" s="416">
        <f>'Initial unit rates'!K131</f>
        <v>9.9547300640604852E-2</v>
      </c>
      <c r="L131" s="416">
        <f>'Initial unit rates'!L131</f>
        <v>6.8497907658441673E-2</v>
      </c>
      <c r="M131" s="416">
        <f>'Initial unit rates'!M131</f>
        <v>6.8497907658441673E-2</v>
      </c>
      <c r="N131" s="416">
        <f>'Initial unit rates'!N131</f>
        <v>6.2925150747865505E-2</v>
      </c>
      <c r="O131" s="416">
        <f>'Initial unit rates'!O131</f>
        <v>4.8626667259326989E-2</v>
      </c>
      <c r="P131" s="416">
        <f>'Initial unit rates'!P131</f>
        <v>0</v>
      </c>
      <c r="Q131" s="416">
        <f>'Initial unit rates'!Q131</f>
        <v>9.2503969333220595E-2</v>
      </c>
      <c r="R131" s="418"/>
      <c r="S131" s="418"/>
      <c r="T131" s="418"/>
      <c r="U131" s="418"/>
      <c r="V131" s="418"/>
      <c r="W131" s="418"/>
      <c r="X131" s="418"/>
      <c r="Y131" s="418"/>
      <c r="Z131" s="349"/>
      <c r="AA131" s="349"/>
    </row>
    <row r="132" spans="4:27" x14ac:dyDescent="0.25">
      <c r="E132" s="293" t="s">
        <v>50</v>
      </c>
      <c r="G132" s="293" t="s">
        <v>183</v>
      </c>
      <c r="H132" s="349"/>
      <c r="I132" s="349"/>
      <c r="J132" s="416">
        <f>'Initial unit rates'!J132</f>
        <v>2.0019486230326268E-2</v>
      </c>
      <c r="K132" s="416">
        <f>'Initial unit rates'!K132</f>
        <v>2.0019486230326268E-2</v>
      </c>
      <c r="L132" s="416">
        <f>'Initial unit rates'!L132</f>
        <v>1.3775289840606582E-2</v>
      </c>
      <c r="M132" s="416">
        <f>'Initial unit rates'!M132</f>
        <v>1.3775289840606582E-2</v>
      </c>
      <c r="N132" s="416">
        <f>'Initial unit rates'!N132</f>
        <v>1.265457908784581E-2</v>
      </c>
      <c r="O132" s="416">
        <f>'Initial unit rates'!O132</f>
        <v>0</v>
      </c>
      <c r="P132" s="416">
        <f>'Initial unit rates'!P132</f>
        <v>0</v>
      </c>
      <c r="Q132" s="416">
        <f>'Initial unit rates'!Q132</f>
        <v>1.8603035224458508E-2</v>
      </c>
      <c r="R132" s="418"/>
      <c r="S132" s="418"/>
      <c r="T132" s="418"/>
      <c r="U132" s="418"/>
      <c r="V132" s="418"/>
      <c r="W132" s="418"/>
      <c r="X132" s="418"/>
      <c r="Y132" s="418"/>
      <c r="Z132" s="349"/>
      <c r="AA132" s="349"/>
    </row>
    <row r="133" spans="4:27" x14ac:dyDescent="0.25">
      <c r="E133" s="293" t="s">
        <v>124</v>
      </c>
      <c r="G133" s="293" t="s">
        <v>183</v>
      </c>
      <c r="H133" s="349"/>
      <c r="I133" s="349"/>
      <c r="J133" s="418"/>
      <c r="K133" s="418"/>
      <c r="L133" s="418"/>
      <c r="M133" s="418"/>
      <c r="N133" s="418"/>
      <c r="O133" s="418"/>
      <c r="P133" s="418"/>
      <c r="Q133" s="418"/>
      <c r="R133" s="418"/>
      <c r="S133" s="418"/>
      <c r="T133" s="418"/>
      <c r="U133" s="418"/>
      <c r="V133" s="418"/>
      <c r="W133" s="418"/>
      <c r="X133" s="418"/>
      <c r="Y133" s="418"/>
      <c r="Z133" s="349"/>
      <c r="AA133" s="349"/>
    </row>
    <row r="134" spans="4:27" x14ac:dyDescent="0.25">
      <c r="E134" s="93" t="s">
        <v>123</v>
      </c>
      <c r="F134" s="93"/>
      <c r="G134" s="93" t="s">
        <v>183</v>
      </c>
      <c r="H134" s="351"/>
      <c r="I134" s="351"/>
      <c r="J134" s="356"/>
      <c r="K134" s="356"/>
      <c r="L134" s="356"/>
      <c r="M134" s="356"/>
      <c r="N134" s="356"/>
      <c r="O134" s="356"/>
      <c r="P134" s="356"/>
      <c r="Q134" s="356"/>
      <c r="R134" s="356"/>
      <c r="S134" s="356"/>
      <c r="T134" s="356"/>
      <c r="U134" s="356"/>
      <c r="V134" s="356"/>
      <c r="W134" s="356"/>
      <c r="X134" s="356"/>
      <c r="Y134" s="356"/>
      <c r="Z134" s="349"/>
      <c r="AA134" s="349"/>
    </row>
    <row r="135" spans="4:27" x14ac:dyDescent="0.25">
      <c r="E135" s="293"/>
      <c r="J135" s="252"/>
      <c r="K135" s="252"/>
      <c r="L135" s="252"/>
      <c r="M135" s="252"/>
      <c r="N135" s="252"/>
      <c r="O135" s="252"/>
      <c r="P135" s="252"/>
      <c r="Q135" s="252"/>
      <c r="R135" s="252"/>
      <c r="S135" s="252"/>
      <c r="T135" s="252"/>
      <c r="U135" s="252"/>
      <c r="V135" s="252"/>
      <c r="W135" s="252"/>
      <c r="X135" s="252"/>
      <c r="Y135" s="252"/>
    </row>
    <row r="136" spans="4:27" x14ac:dyDescent="0.25">
      <c r="D136" s="96" t="s">
        <v>116</v>
      </c>
      <c r="E136" s="293"/>
      <c r="J136" s="252"/>
      <c r="K136" s="252"/>
      <c r="L136" s="252"/>
      <c r="M136" s="252"/>
      <c r="N136" s="252"/>
      <c r="O136" s="252"/>
      <c r="P136" s="252"/>
      <c r="Q136" s="252"/>
      <c r="R136" s="252"/>
      <c r="S136" s="252"/>
      <c r="T136" s="252"/>
      <c r="U136" s="252"/>
      <c r="V136" s="252"/>
      <c r="W136" s="252"/>
      <c r="X136" s="252"/>
      <c r="Y136" s="252"/>
    </row>
    <row r="137" spans="4:27" x14ac:dyDescent="0.25">
      <c r="E137" s="91" t="s">
        <v>267</v>
      </c>
      <c r="F137" s="91"/>
      <c r="G137" s="91" t="s">
        <v>183</v>
      </c>
      <c r="H137" s="347"/>
      <c r="I137" s="347"/>
      <c r="J137" s="358">
        <f>'Initial unit rates'!J135</f>
        <v>7.1320252700770914E-2</v>
      </c>
      <c r="K137" s="358">
        <f>'Initial unit rates'!K135</f>
        <v>7.1320252700770914E-2</v>
      </c>
      <c r="L137" s="358">
        <f>'Initial unit rates'!L135</f>
        <v>4.9075043243125831E-2</v>
      </c>
      <c r="M137" s="358">
        <f>'Initial unit rates'!M135</f>
        <v>4.9075043243125831E-2</v>
      </c>
      <c r="N137" s="358">
        <f>'Initial unit rates'!N135</f>
        <v>4.5082464553954003E-2</v>
      </c>
      <c r="O137" s="358">
        <f>'Initial unit rates'!O135</f>
        <v>3.4838375070080974E-2</v>
      </c>
      <c r="P137" s="358">
        <f>'Initial unit rates'!P135</f>
        <v>3.5060638922519996E-2</v>
      </c>
      <c r="Q137" s="358">
        <f>'Initial unit rates'!Q135</f>
        <v>6.6274087054236069E-2</v>
      </c>
      <c r="R137" s="359"/>
      <c r="S137" s="359"/>
      <c r="T137" s="359"/>
      <c r="U137" s="359"/>
      <c r="V137" s="359"/>
      <c r="W137" s="359"/>
      <c r="X137" s="359"/>
      <c r="Y137" s="359"/>
      <c r="Z137" s="349"/>
      <c r="AA137" s="349"/>
    </row>
    <row r="138" spans="4:27" x14ac:dyDescent="0.25">
      <c r="E138" s="293" t="s">
        <v>43</v>
      </c>
      <c r="G138" s="293" t="s">
        <v>183</v>
      </c>
      <c r="H138" s="349"/>
      <c r="I138" s="349"/>
      <c r="J138" s="416">
        <f>'Initial unit rates'!J136</f>
        <v>0</v>
      </c>
      <c r="K138" s="416">
        <f>'Initial unit rates'!K136</f>
        <v>0</v>
      </c>
      <c r="L138" s="416">
        <f>'Initial unit rates'!L136</f>
        <v>0</v>
      </c>
      <c r="M138" s="416">
        <f>'Initial unit rates'!M136</f>
        <v>0</v>
      </c>
      <c r="N138" s="416">
        <f>'Initial unit rates'!N136</f>
        <v>0</v>
      </c>
      <c r="O138" s="416">
        <f>'Initial unit rates'!O136</f>
        <v>0</v>
      </c>
      <c r="P138" s="416">
        <f>'Initial unit rates'!P136</f>
        <v>0</v>
      </c>
      <c r="Q138" s="416">
        <f>'Initial unit rates'!Q136</f>
        <v>0</v>
      </c>
      <c r="R138" s="418"/>
      <c r="S138" s="418"/>
      <c r="T138" s="418"/>
      <c r="U138" s="418"/>
      <c r="V138" s="418"/>
      <c r="W138" s="418"/>
      <c r="X138" s="418"/>
      <c r="Y138" s="418"/>
      <c r="Z138" s="349"/>
      <c r="AA138" s="349"/>
    </row>
    <row r="139" spans="4:27" x14ac:dyDescent="0.25">
      <c r="E139" s="293" t="s">
        <v>44</v>
      </c>
      <c r="G139" s="293" t="s">
        <v>183</v>
      </c>
      <c r="H139" s="349"/>
      <c r="I139" s="349"/>
      <c r="J139" s="416">
        <f>'Initial unit rates'!J137</f>
        <v>0.15781754351192687</v>
      </c>
      <c r="K139" s="416">
        <f>'Initial unit rates'!K137</f>
        <v>0.15781754351192687</v>
      </c>
      <c r="L139" s="416">
        <f>'Initial unit rates'!L137</f>
        <v>0.10859331647163369</v>
      </c>
      <c r="M139" s="416">
        <f>'Initial unit rates'!M137</f>
        <v>0.10859331647163369</v>
      </c>
      <c r="N139" s="416">
        <f>'Initial unit rates'!N137</f>
        <v>9.9758533403116106E-2</v>
      </c>
      <c r="O139" s="416">
        <f>'Initial unit rates'!O137</f>
        <v>7.7090399505103019E-2</v>
      </c>
      <c r="P139" s="416">
        <f>'Initial unit rates'!P137</f>
        <v>7.7582225233071067E-2</v>
      </c>
      <c r="Q139" s="416">
        <f>'Initial unit rates'!Q137</f>
        <v>0.14665138191920729</v>
      </c>
      <c r="R139" s="418"/>
      <c r="S139" s="418"/>
      <c r="T139" s="418"/>
      <c r="U139" s="418"/>
      <c r="V139" s="418"/>
      <c r="W139" s="418"/>
      <c r="X139" s="418"/>
      <c r="Y139" s="418"/>
      <c r="Z139" s="349"/>
      <c r="AA139" s="349"/>
    </row>
    <row r="140" spans="4:27" x14ac:dyDescent="0.25">
      <c r="E140" s="293" t="s">
        <v>45</v>
      </c>
      <c r="G140" s="293" t="s">
        <v>183</v>
      </c>
      <c r="H140" s="349"/>
      <c r="I140" s="349"/>
      <c r="J140" s="416">
        <f>'Initial unit rates'!J138</f>
        <v>4.0834952353243782E-2</v>
      </c>
      <c r="K140" s="416">
        <f>'Initial unit rates'!K138</f>
        <v>4.0834952353243782E-2</v>
      </c>
      <c r="L140" s="416">
        <f>'Initial unit rates'!L138</f>
        <v>2.8098288728367896E-2</v>
      </c>
      <c r="M140" s="416">
        <f>'Initial unit rates'!M138</f>
        <v>2.8098288728367896E-2</v>
      </c>
      <c r="N140" s="416">
        <f>'Initial unit rates'!N138</f>
        <v>2.5812307476689778E-2</v>
      </c>
      <c r="O140" s="416">
        <f>'Initial unit rates'!O138</f>
        <v>1.9946976239973633E-2</v>
      </c>
      <c r="P140" s="416">
        <f>'Initial unit rates'!P138</f>
        <v>2.0074235096756921E-2</v>
      </c>
      <c r="Q140" s="416">
        <f>'Initial unit rates'!Q138</f>
        <v>3.7945731887251255E-2</v>
      </c>
      <c r="R140" s="418"/>
      <c r="S140" s="418"/>
      <c r="T140" s="418"/>
      <c r="U140" s="418"/>
      <c r="V140" s="418"/>
      <c r="W140" s="418"/>
      <c r="X140" s="418"/>
      <c r="Y140" s="418"/>
      <c r="Z140" s="349"/>
      <c r="AA140" s="349"/>
    </row>
    <row r="141" spans="4:27" x14ac:dyDescent="0.25">
      <c r="E141" s="293" t="s">
        <v>46</v>
      </c>
      <c r="G141" s="293" t="s">
        <v>183</v>
      </c>
      <c r="H141" s="349"/>
      <c r="I141" s="349"/>
      <c r="J141" s="416">
        <f>'Initial unit rates'!J139</f>
        <v>0.11249953769024888</v>
      </c>
      <c r="K141" s="416">
        <f>'Initial unit rates'!K139</f>
        <v>0.11249953769024888</v>
      </c>
      <c r="L141" s="416">
        <f>'Initial unit rates'!L139</f>
        <v>7.7410265217988383E-2</v>
      </c>
      <c r="M141" s="416">
        <f>'Initial unit rates'!M139</f>
        <v>7.7410265217988383E-2</v>
      </c>
      <c r="N141" s="416">
        <f>'Initial unit rates'!N139</f>
        <v>7.1112429193650864E-2</v>
      </c>
      <c r="O141" s="416">
        <f>'Initial unit rates'!O139</f>
        <v>5.4953550230778102E-2</v>
      </c>
      <c r="P141" s="416">
        <f>'Initial unit rates'!P139</f>
        <v>5.5304146025068834E-2</v>
      </c>
      <c r="Q141" s="416">
        <f>'Initial unit rates'!Q139</f>
        <v>0.10453978879920985</v>
      </c>
      <c r="R141" s="418"/>
      <c r="S141" s="418"/>
      <c r="T141" s="418"/>
      <c r="U141" s="418"/>
      <c r="V141" s="418"/>
      <c r="W141" s="418"/>
      <c r="X141" s="418"/>
      <c r="Y141" s="418"/>
      <c r="Z141" s="349"/>
      <c r="AA141" s="349"/>
    </row>
    <row r="142" spans="4:27" x14ac:dyDescent="0.25">
      <c r="E142" s="293" t="s">
        <v>47</v>
      </c>
      <c r="G142" s="293" t="s">
        <v>183</v>
      </c>
      <c r="H142" s="349"/>
      <c r="I142" s="349"/>
      <c r="J142" s="416">
        <f>'Initial unit rates'!J140</f>
        <v>7.9592540523552704E-2</v>
      </c>
      <c r="K142" s="416">
        <f>'Initial unit rates'!K140</f>
        <v>7.9592540523552704E-2</v>
      </c>
      <c r="L142" s="416">
        <f>'Initial unit rates'!L140</f>
        <v>5.4767155472815271E-2</v>
      </c>
      <c r="M142" s="416">
        <f>'Initial unit rates'!M140</f>
        <v>5.4767155472815271E-2</v>
      </c>
      <c r="N142" s="416">
        <f>'Initial unit rates'!N140</f>
        <v>5.0311485882795062E-2</v>
      </c>
      <c r="O142" s="416">
        <f>'Initial unit rates'!O140</f>
        <v>3.8879205759042079E-2</v>
      </c>
      <c r="P142" s="416">
        <f>'Initial unit rates'!P140</f>
        <v>3.9127249533597877E-2</v>
      </c>
      <c r="Q142" s="416">
        <f>'Initial unit rates'!Q140</f>
        <v>7.3961080615586872E-2</v>
      </c>
      <c r="R142" s="418"/>
      <c r="S142" s="418"/>
      <c r="T142" s="418"/>
      <c r="U142" s="418"/>
      <c r="V142" s="418"/>
      <c r="W142" s="418"/>
      <c r="X142" s="418"/>
      <c r="Y142" s="418"/>
      <c r="Z142" s="349"/>
      <c r="AA142" s="349"/>
    </row>
    <row r="143" spans="4:27" x14ac:dyDescent="0.25">
      <c r="E143" s="293" t="s">
        <v>51</v>
      </c>
      <c r="G143" s="293" t="s">
        <v>183</v>
      </c>
      <c r="H143" s="349"/>
      <c r="I143" s="349"/>
      <c r="J143" s="416">
        <f>'Initial unit rates'!J141</f>
        <v>0</v>
      </c>
      <c r="K143" s="416">
        <f>'Initial unit rates'!K141</f>
        <v>0</v>
      </c>
      <c r="L143" s="416">
        <f>'Initial unit rates'!L141</f>
        <v>0</v>
      </c>
      <c r="M143" s="416">
        <f>'Initial unit rates'!M141</f>
        <v>0</v>
      </c>
      <c r="N143" s="416">
        <f>'Initial unit rates'!N141</f>
        <v>0</v>
      </c>
      <c r="O143" s="416">
        <f>'Initial unit rates'!O141</f>
        <v>0</v>
      </c>
      <c r="P143" s="416">
        <f>'Initial unit rates'!P141</f>
        <v>0</v>
      </c>
      <c r="Q143" s="416">
        <f>'Initial unit rates'!Q141</f>
        <v>0</v>
      </c>
      <c r="R143" s="418"/>
      <c r="S143" s="418"/>
      <c r="T143" s="418"/>
      <c r="U143" s="418"/>
      <c r="V143" s="418"/>
      <c r="W143" s="418"/>
      <c r="X143" s="418"/>
      <c r="Y143" s="418"/>
      <c r="Z143" s="349"/>
      <c r="AA143" s="349"/>
    </row>
    <row r="144" spans="4:27" x14ac:dyDescent="0.25">
      <c r="E144" s="293" t="s">
        <v>48</v>
      </c>
      <c r="G144" s="293" t="s">
        <v>183</v>
      </c>
      <c r="H144" s="349"/>
      <c r="I144" s="349"/>
      <c r="J144" s="416">
        <f>'Initial unit rates'!J142</f>
        <v>0.25758899724287682</v>
      </c>
      <c r="K144" s="416">
        <f>'Initial unit rates'!K142</f>
        <v>0.25758899724287682</v>
      </c>
      <c r="L144" s="416">
        <f>'Initial unit rates'!L142</f>
        <v>0.17724546254322171</v>
      </c>
      <c r="M144" s="416">
        <f>'Initial unit rates'!M142</f>
        <v>0.17724546254322171</v>
      </c>
      <c r="N144" s="416">
        <f>'Initial unit rates'!N142</f>
        <v>0.16282537425116309</v>
      </c>
      <c r="O144" s="416">
        <f>'Initial unit rates'!O142</f>
        <v>0.12582656061980546</v>
      </c>
      <c r="P144" s="416">
        <f>'Initial unit rates'!P142</f>
        <v>0.12662931608834416</v>
      </c>
      <c r="Q144" s="416">
        <f>'Initial unit rates'!Q142</f>
        <v>0.23936364470148974</v>
      </c>
      <c r="R144" s="418"/>
      <c r="S144" s="418"/>
      <c r="T144" s="418"/>
      <c r="U144" s="418"/>
      <c r="V144" s="418"/>
      <c r="W144" s="418"/>
      <c r="X144" s="418"/>
      <c r="Y144" s="418"/>
      <c r="Z144" s="349"/>
      <c r="AA144" s="349"/>
    </row>
    <row r="145" spans="2:27" x14ac:dyDescent="0.25">
      <c r="E145" s="293" t="s">
        <v>49</v>
      </c>
      <c r="G145" s="293" t="s">
        <v>183</v>
      </c>
      <c r="H145" s="349"/>
      <c r="I145" s="349"/>
      <c r="J145" s="416">
        <f>'Initial unit rates'!J143</f>
        <v>9.7105842607471016E-2</v>
      </c>
      <c r="K145" s="416">
        <f>'Initial unit rates'!K143</f>
        <v>9.7105842607471016E-2</v>
      </c>
      <c r="L145" s="416">
        <f>'Initial unit rates'!L143</f>
        <v>6.6817954853801292E-2</v>
      </c>
      <c r="M145" s="416">
        <f>'Initial unit rates'!M143</f>
        <v>6.6817954853801292E-2</v>
      </c>
      <c r="N145" s="416">
        <f>'Initial unit rates'!N143</f>
        <v>6.1381873192463167E-2</v>
      </c>
      <c r="O145" s="416">
        <f>'Initial unit rates'!O143</f>
        <v>4.7434068699237199E-2</v>
      </c>
      <c r="P145" s="416">
        <f>'Initial unit rates'!P143</f>
        <v>0</v>
      </c>
      <c r="Q145" s="416">
        <f>'Initial unit rates'!Q143</f>
        <v>9.0235253279927277E-2</v>
      </c>
      <c r="R145" s="418"/>
      <c r="S145" s="418"/>
      <c r="T145" s="418"/>
      <c r="U145" s="418"/>
      <c r="V145" s="418"/>
      <c r="W145" s="418"/>
      <c r="X145" s="418"/>
      <c r="Y145" s="418"/>
      <c r="Z145" s="349"/>
      <c r="AA145" s="349"/>
    </row>
    <row r="146" spans="2:27" x14ac:dyDescent="0.25">
      <c r="E146" s="293" t="s">
        <v>50</v>
      </c>
      <c r="G146" s="293" t="s">
        <v>183</v>
      </c>
      <c r="H146" s="349"/>
      <c r="I146" s="349"/>
      <c r="J146" s="416">
        <f>'Initial unit rates'!J144</f>
        <v>0.25560725842318122</v>
      </c>
      <c r="K146" s="416">
        <f>'Initial unit rates'!K144</f>
        <v>0.25560725842318122</v>
      </c>
      <c r="L146" s="416">
        <f>'Initial unit rates'!L144</f>
        <v>0.17588183980507499</v>
      </c>
      <c r="M146" s="416">
        <f>'Initial unit rates'!M144</f>
        <v>0.17588183980507499</v>
      </c>
      <c r="N146" s="416">
        <f>'Initial unit rates'!N144</f>
        <v>0.16157269122339871</v>
      </c>
      <c r="O146" s="416">
        <f>'Initial unit rates'!O144</f>
        <v>0</v>
      </c>
      <c r="P146" s="416">
        <f>'Initial unit rates'!P144</f>
        <v>0</v>
      </c>
      <c r="Q146" s="416">
        <f>'Initial unit rates'!Q144</f>
        <v>0.23752212106575191</v>
      </c>
      <c r="R146" s="418"/>
      <c r="S146" s="418"/>
      <c r="T146" s="418"/>
      <c r="U146" s="418"/>
      <c r="V146" s="418"/>
      <c r="W146" s="418"/>
      <c r="X146" s="418"/>
      <c r="Y146" s="418"/>
      <c r="Z146" s="349"/>
      <c r="AA146" s="349"/>
    </row>
    <row r="147" spans="2:27" x14ac:dyDescent="0.25">
      <c r="E147" s="293" t="s">
        <v>124</v>
      </c>
      <c r="G147" s="293" t="s">
        <v>183</v>
      </c>
      <c r="H147" s="349"/>
      <c r="I147" s="349"/>
      <c r="J147" s="418"/>
      <c r="K147" s="418"/>
      <c r="L147" s="418"/>
      <c r="M147" s="418"/>
      <c r="N147" s="418"/>
      <c r="O147" s="418"/>
      <c r="P147" s="418"/>
      <c r="Q147" s="418"/>
      <c r="R147" s="418"/>
      <c r="S147" s="418"/>
      <c r="T147" s="418"/>
      <c r="U147" s="418"/>
      <c r="V147" s="418"/>
      <c r="W147" s="418"/>
      <c r="X147" s="418"/>
      <c r="Y147" s="418"/>
      <c r="Z147" s="349"/>
      <c r="AA147" s="349"/>
    </row>
    <row r="148" spans="2:27" x14ac:dyDescent="0.25">
      <c r="E148" s="93" t="s">
        <v>123</v>
      </c>
      <c r="F148" s="93"/>
      <c r="G148" s="93" t="s">
        <v>183</v>
      </c>
      <c r="H148" s="351"/>
      <c r="I148" s="351"/>
      <c r="J148" s="356"/>
      <c r="K148" s="356"/>
      <c r="L148" s="356"/>
      <c r="M148" s="356"/>
      <c r="N148" s="356"/>
      <c r="O148" s="356"/>
      <c r="P148" s="356"/>
      <c r="Q148" s="356"/>
      <c r="R148" s="356"/>
      <c r="S148" s="356"/>
      <c r="T148" s="356"/>
      <c r="U148" s="356"/>
      <c r="V148" s="356"/>
      <c r="W148" s="356"/>
      <c r="X148" s="356"/>
      <c r="Y148" s="356"/>
      <c r="Z148" s="349"/>
      <c r="AA148" s="349"/>
    </row>
    <row r="149" spans="2:27" x14ac:dyDescent="0.25">
      <c r="D149" s="293"/>
      <c r="E149" s="293"/>
      <c r="J149" s="252"/>
      <c r="K149" s="252"/>
      <c r="L149" s="252"/>
      <c r="M149" s="252"/>
      <c r="N149" s="252"/>
      <c r="O149" s="252"/>
      <c r="P149" s="252"/>
      <c r="Q149" s="252"/>
      <c r="R149" s="252"/>
      <c r="S149" s="252"/>
      <c r="T149" s="252"/>
      <c r="U149" s="252"/>
      <c r="V149" s="252"/>
      <c r="W149" s="252"/>
      <c r="X149" s="252"/>
      <c r="Y149" s="252"/>
    </row>
    <row r="150" spans="2:27" x14ac:dyDescent="0.25">
      <c r="B150" s="95" t="s">
        <v>392</v>
      </c>
      <c r="C150" s="95"/>
      <c r="D150" s="95"/>
      <c r="E150" s="95"/>
      <c r="F150" s="95"/>
      <c r="G150" s="95"/>
      <c r="H150" s="95"/>
      <c r="I150" s="95"/>
      <c r="J150" s="281"/>
      <c r="K150" s="281"/>
      <c r="L150" s="281"/>
      <c r="M150" s="281"/>
      <c r="N150" s="281"/>
      <c r="O150" s="281"/>
      <c r="P150" s="281"/>
      <c r="Q150" s="281"/>
      <c r="R150" s="281"/>
      <c r="S150" s="281"/>
      <c r="T150" s="281"/>
      <c r="U150" s="281"/>
      <c r="V150" s="281"/>
      <c r="W150" s="281"/>
      <c r="X150" s="281"/>
      <c r="Y150" s="281"/>
      <c r="Z150" s="95"/>
      <c r="AA150" s="95"/>
    </row>
    <row r="151" spans="2:27" x14ac:dyDescent="0.25">
      <c r="C151" s="69"/>
      <c r="D151" s="293"/>
      <c r="E151" s="293"/>
      <c r="J151" s="252"/>
      <c r="K151" s="252"/>
      <c r="L151" s="252"/>
      <c r="M151" s="252"/>
      <c r="N151" s="252"/>
      <c r="O151" s="252"/>
      <c r="P151" s="252"/>
      <c r="Q151" s="252"/>
      <c r="R151" s="252"/>
      <c r="S151" s="252"/>
      <c r="T151" s="252"/>
      <c r="U151" s="252"/>
      <c r="V151" s="252"/>
      <c r="W151" s="252"/>
      <c r="X151" s="252"/>
      <c r="Y151" s="252"/>
    </row>
    <row r="152" spans="2:27" x14ac:dyDescent="0.25">
      <c r="C152" s="82" t="s">
        <v>544</v>
      </c>
      <c r="D152" s="293"/>
      <c r="E152" s="293"/>
      <c r="J152" s="252"/>
      <c r="K152" s="252"/>
      <c r="L152" s="252"/>
      <c r="M152" s="252"/>
      <c r="N152" s="252"/>
      <c r="O152" s="252"/>
      <c r="P152" s="252"/>
      <c r="Q152" s="252"/>
      <c r="R152" s="252"/>
      <c r="S152" s="252"/>
      <c r="T152" s="252"/>
      <c r="U152" s="252"/>
      <c r="V152" s="252"/>
      <c r="W152" s="252"/>
      <c r="X152" s="252"/>
      <c r="Y152" s="252"/>
    </row>
    <row r="153" spans="2:27" x14ac:dyDescent="0.25">
      <c r="C153" s="82" t="s">
        <v>545</v>
      </c>
      <c r="D153" s="293"/>
      <c r="E153" s="293"/>
      <c r="J153" s="252"/>
      <c r="K153" s="252"/>
      <c r="L153" s="252"/>
      <c r="M153" s="252"/>
      <c r="N153" s="252"/>
      <c r="O153" s="252"/>
      <c r="P153" s="252"/>
      <c r="Q153" s="252"/>
      <c r="R153" s="252"/>
      <c r="S153" s="252"/>
      <c r="T153" s="252"/>
      <c r="U153" s="252"/>
      <c r="V153" s="252"/>
      <c r="W153" s="252"/>
      <c r="X153" s="252"/>
      <c r="Y153" s="252"/>
    </row>
    <row r="154" spans="2:27" x14ac:dyDescent="0.25">
      <c r="C154" s="69"/>
      <c r="D154" s="293"/>
      <c r="E154" s="293"/>
      <c r="J154" s="252"/>
      <c r="K154" s="252"/>
      <c r="L154" s="252"/>
      <c r="M154" s="252"/>
      <c r="N154" s="252"/>
      <c r="O154" s="252"/>
      <c r="P154" s="252"/>
      <c r="Q154" s="252"/>
      <c r="R154" s="252"/>
      <c r="S154" s="252"/>
      <c r="T154" s="252"/>
      <c r="U154" s="252"/>
      <c r="V154" s="252"/>
      <c r="W154" s="252"/>
      <c r="X154" s="252"/>
      <c r="Y154" s="252"/>
    </row>
    <row r="155" spans="2:27" x14ac:dyDescent="0.25">
      <c r="C155" s="7" t="str">
        <f ca="1">INDEX('Version control'!$H$35:$H$61,MATCH($A$1,'Version control'!$F$35:$F$61,0),1)&amp;"-C: Yardstick charge used for generation"</f>
        <v>Section 516-C: Yardstick charge used for generation</v>
      </c>
      <c r="D155" s="7"/>
      <c r="E155" s="7"/>
      <c r="F155" s="7"/>
      <c r="G155" s="7"/>
      <c r="H155" s="7"/>
      <c r="I155" s="7"/>
      <c r="J155" s="242"/>
      <c r="K155" s="242"/>
      <c r="L155" s="242"/>
      <c r="M155" s="242"/>
      <c r="N155" s="242"/>
      <c r="O155" s="242"/>
      <c r="P155" s="242"/>
      <c r="Q155" s="242"/>
      <c r="R155" s="242"/>
      <c r="S155" s="242"/>
      <c r="T155" s="242"/>
      <c r="U155" s="242"/>
      <c r="V155" s="242"/>
      <c r="W155" s="242"/>
      <c r="X155" s="242"/>
      <c r="Y155" s="242"/>
      <c r="Z155" s="7"/>
      <c r="AA155" s="7"/>
    </row>
    <row r="156" spans="2:27" x14ac:dyDescent="0.25">
      <c r="D156" s="96"/>
      <c r="E156" s="96"/>
      <c r="I156" s="293" t="s">
        <v>359</v>
      </c>
      <c r="J156" s="252"/>
      <c r="K156" s="252"/>
      <c r="L156" s="252"/>
      <c r="M156" s="252"/>
      <c r="N156" s="252"/>
      <c r="O156" s="252"/>
      <c r="P156" s="252"/>
      <c r="Q156" s="252"/>
      <c r="R156" s="252"/>
      <c r="S156" s="252"/>
      <c r="T156" s="252"/>
      <c r="U156" s="252"/>
      <c r="V156" s="252"/>
      <c r="W156" s="252"/>
      <c r="X156" s="252"/>
      <c r="Y156" s="252"/>
      <c r="AA156" s="293" t="s">
        <v>732</v>
      </c>
    </row>
    <row r="157" spans="2:27" x14ac:dyDescent="0.25">
      <c r="D157" s="293"/>
      <c r="E157" s="96" t="s">
        <v>139</v>
      </c>
      <c r="J157" s="252"/>
      <c r="K157" s="252"/>
      <c r="L157" s="252"/>
      <c r="M157" s="252"/>
      <c r="N157" s="252"/>
      <c r="O157" s="252"/>
      <c r="P157" s="252"/>
      <c r="Q157" s="252"/>
      <c r="R157" s="252"/>
      <c r="S157" s="252"/>
      <c r="T157" s="252"/>
      <c r="U157" s="252"/>
      <c r="V157" s="252"/>
      <c r="W157" s="252"/>
      <c r="X157" s="252"/>
      <c r="Y157" s="252"/>
    </row>
    <row r="158" spans="2:27" x14ac:dyDescent="0.25">
      <c r="D158" s="293"/>
      <c r="F158" s="91" t="s">
        <v>267</v>
      </c>
      <c r="G158" s="91" t="s">
        <v>183</v>
      </c>
      <c r="H158" s="347"/>
      <c r="I158" s="347"/>
      <c r="J158" s="359"/>
      <c r="K158" s="359"/>
      <c r="L158" s="359"/>
      <c r="M158" s="359"/>
      <c r="N158" s="359"/>
      <c r="O158" s="359"/>
      <c r="P158" s="359"/>
      <c r="Q158" s="359"/>
      <c r="R158" s="359"/>
      <c r="S158" s="359"/>
      <c r="T158" s="359"/>
      <c r="U158" s="359"/>
      <c r="V158" s="359"/>
      <c r="W158" s="359"/>
      <c r="X158" s="359"/>
      <c r="Y158" s="359"/>
      <c r="Z158" s="349"/>
      <c r="AA158" s="349"/>
    </row>
    <row r="159" spans="2:27" x14ac:dyDescent="0.25">
      <c r="D159" s="293"/>
      <c r="F159" s="293" t="s">
        <v>43</v>
      </c>
      <c r="G159" s="293" t="s">
        <v>183</v>
      </c>
      <c r="H159" s="349"/>
      <c r="I159" s="349"/>
      <c r="J159" s="418"/>
      <c r="K159" s="418"/>
      <c r="L159" s="418"/>
      <c r="M159" s="418"/>
      <c r="N159" s="418"/>
      <c r="O159" s="418"/>
      <c r="P159" s="418"/>
      <c r="Q159" s="418"/>
      <c r="R159" s="418"/>
      <c r="S159" s="418"/>
      <c r="T159" s="418"/>
      <c r="U159" s="418"/>
      <c r="V159" s="418"/>
      <c r="W159" s="418"/>
      <c r="X159" s="418"/>
      <c r="Y159" s="418"/>
      <c r="Z159" s="349"/>
      <c r="AA159" s="349"/>
    </row>
    <row r="160" spans="2:27" x14ac:dyDescent="0.25">
      <c r="D160" s="293"/>
      <c r="F160" s="293" t="s">
        <v>44</v>
      </c>
      <c r="G160" s="293" t="s">
        <v>183</v>
      </c>
      <c r="H160" s="349"/>
      <c r="I160" s="349"/>
      <c r="J160" s="418"/>
      <c r="K160" s="418"/>
      <c r="L160" s="418"/>
      <c r="M160" s="418"/>
      <c r="N160" s="418"/>
      <c r="O160" s="418"/>
      <c r="P160" s="418"/>
      <c r="Q160" s="418"/>
      <c r="R160" s="417">
        <f t="shared" ref="R160:S160" si="0">hundred * $H51 * R95 / $H37 * (1 - R109) / hours_in_year</f>
        <v>-0.13426928825079965</v>
      </c>
      <c r="S160" s="417">
        <f t="shared" si="0"/>
        <v>-0.12883928027006877</v>
      </c>
      <c r="T160" s="417">
        <f t="shared" ref="T160:U160" si="1">hundred * $H51 * T95 / $H37 * (1 - T109) / hours_in_year</f>
        <v>-0.13426928825079965</v>
      </c>
      <c r="U160" s="417">
        <f t="shared" si="1"/>
        <v>-0.13426928825079965</v>
      </c>
      <c r="V160" s="417">
        <f t="shared" ref="V160:W160" si="2">hundred * $H51 * V95 / $H37 * (1 - V109) / hours_in_year</f>
        <v>-0.12883928027006877</v>
      </c>
      <c r="W160" s="417">
        <f t="shared" si="2"/>
        <v>-0.12883928027006877</v>
      </c>
      <c r="X160" s="417">
        <f t="shared" ref="X160:Y160" si="3">hundred * $H51 * X95 / $H37 * (1 - X109) / hours_in_year</f>
        <v>-0.12698814118572868</v>
      </c>
      <c r="Y160" s="417">
        <f t="shared" si="3"/>
        <v>-0.12698814118572868</v>
      </c>
      <c r="Z160" s="349"/>
      <c r="AA160" s="349"/>
    </row>
    <row r="161" spans="5:27" s="293" customFormat="1" x14ac:dyDescent="0.25">
      <c r="E161" s="98"/>
      <c r="F161" s="293" t="s">
        <v>45</v>
      </c>
      <c r="G161" s="293" t="s">
        <v>183</v>
      </c>
      <c r="H161" s="349"/>
      <c r="I161" s="349"/>
      <c r="J161" s="418"/>
      <c r="K161" s="418"/>
      <c r="L161" s="418"/>
      <c r="M161" s="418"/>
      <c r="N161" s="418"/>
      <c r="O161" s="418"/>
      <c r="P161" s="418"/>
      <c r="Q161" s="418"/>
      <c r="R161" s="417">
        <f t="shared" ref="R161:S161" si="4">hundred * $H52 * R96 / $H38 * (1 - R110) / hours_in_year</f>
        <v>-3.4741891593382923E-2</v>
      </c>
      <c r="S161" s="417">
        <f t="shared" si="4"/>
        <v>-3.3336888624532879E-2</v>
      </c>
      <c r="T161" s="417">
        <f t="shared" ref="T161:U161" si="5">hundred * $H52 * T96 / $H38 * (1 - T110) / hours_in_year</f>
        <v>-3.4741891593382923E-2</v>
      </c>
      <c r="U161" s="417">
        <f t="shared" si="5"/>
        <v>-3.4741891593382923E-2</v>
      </c>
      <c r="V161" s="417">
        <f t="shared" ref="V161:W161" si="6">hundred * $H52 * V96 / $H38 * (1 - V110) / hours_in_year</f>
        <v>-3.3336888624532879E-2</v>
      </c>
      <c r="W161" s="417">
        <f t="shared" si="6"/>
        <v>-3.3336888624532879E-2</v>
      </c>
      <c r="X161" s="417">
        <f t="shared" ref="X161:Y161" si="7">hundred * $H52 * X96 / $H38 * (1 - X110) / hours_in_year</f>
        <v>-3.2857910339697628E-2</v>
      </c>
      <c r="Y161" s="417">
        <f t="shared" si="7"/>
        <v>-3.2857910339697628E-2</v>
      </c>
      <c r="Z161" s="349"/>
      <c r="AA161" s="349"/>
    </row>
    <row r="162" spans="5:27" s="293" customFormat="1" x14ac:dyDescent="0.25">
      <c r="E162" s="98"/>
      <c r="F162" s="293" t="s">
        <v>46</v>
      </c>
      <c r="G162" s="293" t="s">
        <v>183</v>
      </c>
      <c r="H162" s="349"/>
      <c r="I162" s="349"/>
      <c r="J162" s="418"/>
      <c r="K162" s="418"/>
      <c r="L162" s="418"/>
      <c r="M162" s="418"/>
      <c r="N162" s="418"/>
      <c r="O162" s="418"/>
      <c r="P162" s="418"/>
      <c r="Q162" s="418"/>
      <c r="R162" s="417">
        <f t="shared" ref="R162:S162" si="8">hundred * $H53 * R97 / $H39 * (1 - R111) / hours_in_year</f>
        <v>-9.4529255432347983E-2</v>
      </c>
      <c r="S162" s="417">
        <f t="shared" si="8"/>
        <v>-9.070638113177508E-2</v>
      </c>
      <c r="T162" s="417">
        <f t="shared" ref="T162:U162" si="9">hundred * $H53 * T97 / $H39 * (1 - T111) / hours_in_year</f>
        <v>-9.4529255432347983E-2</v>
      </c>
      <c r="U162" s="417">
        <f t="shared" si="9"/>
        <v>-9.4529255432347983E-2</v>
      </c>
      <c r="V162" s="417">
        <f t="shared" ref="V162:W162" si="10">hundred * $H53 * V97 / $H39 * (1 - V111) / hours_in_year</f>
        <v>-9.070638113177508E-2</v>
      </c>
      <c r="W162" s="417">
        <f t="shared" si="10"/>
        <v>-9.070638113177508E-2</v>
      </c>
      <c r="X162" s="417">
        <f t="shared" ref="X162:Y162" si="11">hundred * $H53 * X97 / $H39 * (1 - X111) / hours_in_year</f>
        <v>-8.7397110280297508E-2</v>
      </c>
      <c r="Y162" s="417">
        <f t="shared" si="11"/>
        <v>-8.7397110280297508E-2</v>
      </c>
      <c r="Z162" s="349"/>
      <c r="AA162" s="349"/>
    </row>
    <row r="163" spans="5:27" s="293" customFormat="1" x14ac:dyDescent="0.25">
      <c r="E163" s="98"/>
      <c r="F163" s="293" t="s">
        <v>47</v>
      </c>
      <c r="G163" s="293" t="s">
        <v>183</v>
      </c>
      <c r="H163" s="349"/>
      <c r="I163" s="349"/>
      <c r="J163" s="418"/>
      <c r="K163" s="418"/>
      <c r="L163" s="418"/>
      <c r="M163" s="418"/>
      <c r="N163" s="418"/>
      <c r="O163" s="418"/>
      <c r="P163" s="418"/>
      <c r="Q163" s="418"/>
      <c r="R163" s="417">
        <f t="shared" ref="R163:S163" si="12">hundred * $H54 * R98 / $H40 * (1 - R112) / hours_in_year</f>
        <v>-6.6064043923306268E-2</v>
      </c>
      <c r="S163" s="417">
        <f t="shared" si="12"/>
        <v>-6.3392336264643162E-2</v>
      </c>
      <c r="T163" s="417">
        <f t="shared" ref="T163:U163" si="13">hundred * $H54 * T98 / $H40 * (1 - T112) / hours_in_year</f>
        <v>-6.6064043923306268E-2</v>
      </c>
      <c r="U163" s="417">
        <f t="shared" si="13"/>
        <v>-6.6064043923306268E-2</v>
      </c>
      <c r="V163" s="417">
        <f t="shared" ref="V163:W163" si="14">hundred * $H54 * V98 / $H40 * (1 - V112) / hours_in_year</f>
        <v>-6.3392336264643162E-2</v>
      </c>
      <c r="W163" s="417">
        <f t="shared" si="14"/>
        <v>-6.3392336264643162E-2</v>
      </c>
      <c r="X163" s="417">
        <f t="shared" ref="X163:Y163" si="15">hundred * $H54 * X98 / $H40 * (1 - X112) / hours_in_year</f>
        <v>-5.9792942921391146E-2</v>
      </c>
      <c r="Y163" s="417">
        <f t="shared" si="15"/>
        <v>-5.9792942921391146E-2</v>
      </c>
      <c r="Z163" s="349"/>
      <c r="AA163" s="349"/>
    </row>
    <row r="164" spans="5:27" s="293" customFormat="1" x14ac:dyDescent="0.25">
      <c r="E164" s="98"/>
      <c r="F164" s="293" t="s">
        <v>51</v>
      </c>
      <c r="G164" s="293" t="s">
        <v>183</v>
      </c>
      <c r="H164" s="349"/>
      <c r="I164" s="349"/>
      <c r="J164" s="418"/>
      <c r="K164" s="418"/>
      <c r="L164" s="418"/>
      <c r="M164" s="418"/>
      <c r="N164" s="418"/>
      <c r="O164" s="418"/>
      <c r="P164" s="418"/>
      <c r="Q164" s="418"/>
      <c r="R164" s="417">
        <f t="shared" ref="R164:S164" si="16">hundred * $H55 * R99 / $H41 * (1 - R113) / hours_in_year</f>
        <v>0</v>
      </c>
      <c r="S164" s="417">
        <f t="shared" si="16"/>
        <v>0</v>
      </c>
      <c r="T164" s="417">
        <f t="shared" ref="T164:U164" si="17">hundred * $H55 * T99 / $H41 * (1 - T113) / hours_in_year</f>
        <v>0</v>
      </c>
      <c r="U164" s="417">
        <f t="shared" si="17"/>
        <v>0</v>
      </c>
      <c r="V164" s="417">
        <f t="shared" ref="V164:W164" si="18">hundred * $H55 * V99 / $H41 * (1 - V113) / hours_in_year</f>
        <v>0</v>
      </c>
      <c r="W164" s="417">
        <f t="shared" si="18"/>
        <v>0</v>
      </c>
      <c r="X164" s="417">
        <f t="shared" ref="X164:Y164" si="19">hundred * $H55 * X99 / $H41 * (1 - X113) / hours_in_year</f>
        <v>0</v>
      </c>
      <c r="Y164" s="417">
        <f t="shared" si="19"/>
        <v>0</v>
      </c>
      <c r="Z164" s="349"/>
      <c r="AA164" s="349"/>
    </row>
    <row r="165" spans="5:27" s="293" customFormat="1" x14ac:dyDescent="0.25">
      <c r="E165" s="98"/>
      <c r="F165" s="293" t="s">
        <v>48</v>
      </c>
      <c r="G165" s="293" t="s">
        <v>183</v>
      </c>
      <c r="H165" s="349"/>
      <c r="I165" s="349"/>
      <c r="J165" s="418"/>
      <c r="K165" s="418"/>
      <c r="L165" s="418"/>
      <c r="M165" s="418"/>
      <c r="N165" s="418"/>
      <c r="O165" s="418"/>
      <c r="P165" s="418"/>
      <c r="Q165" s="418"/>
      <c r="R165" s="417">
        <f t="shared" ref="R165:S165" si="20">hundred * $H56 * R100 / $H42 * (1 - R114) / hours_in_year</f>
        <v>-0.14380877724689162</v>
      </c>
      <c r="S165" s="417">
        <f t="shared" si="20"/>
        <v>-0.13799298110823058</v>
      </c>
      <c r="T165" s="417">
        <f t="shared" ref="T165:U165" si="21">hundred * $H56 * T100 / $H42 * (1 - T114) / hours_in_year</f>
        <v>-0.14380877724689162</v>
      </c>
      <c r="U165" s="417">
        <f t="shared" si="21"/>
        <v>-0.14380877724689162</v>
      </c>
      <c r="V165" s="417">
        <f t="shared" ref="V165:W165" si="22">hundred * $H56 * V100 / $H42 * (1 - V114) / hours_in_year</f>
        <v>-0.13799298110823058</v>
      </c>
      <c r="W165" s="417">
        <f t="shared" si="22"/>
        <v>-0.13799298110823058</v>
      </c>
      <c r="X165" s="417">
        <f t="shared" ref="X165:Y165" si="23">hundred * $H56 * X100 / $H42 * (1 - X114) / hours_in_year</f>
        <v>-0.1278369945729671</v>
      </c>
      <c r="Y165" s="417">
        <f t="shared" si="23"/>
        <v>-0.1278369945729671</v>
      </c>
      <c r="Z165" s="349"/>
      <c r="AA165" s="349"/>
    </row>
    <row r="166" spans="5:27" s="293" customFormat="1" x14ac:dyDescent="0.25">
      <c r="E166" s="98"/>
      <c r="F166" s="293" t="s">
        <v>49</v>
      </c>
      <c r="G166" s="293" t="s">
        <v>183</v>
      </c>
      <c r="H166" s="349"/>
      <c r="I166" s="349"/>
      <c r="J166" s="418"/>
      <c r="K166" s="418"/>
      <c r="L166" s="418"/>
      <c r="M166" s="418"/>
      <c r="N166" s="418"/>
      <c r="O166" s="418"/>
      <c r="P166" s="418"/>
      <c r="Q166" s="418"/>
      <c r="R166" s="417">
        <f t="shared" ref="R166:S166" si="24">hundred * $H57 * R101 / $H43 * (1 - R115) / hours_in_year</f>
        <v>-4.7626779061635649E-2</v>
      </c>
      <c r="S166" s="417">
        <f t="shared" si="24"/>
        <v>-4.5700696084878326E-2</v>
      </c>
      <c r="T166" s="417">
        <f t="shared" ref="T166:U166" si="25">hundred * $H57 * T101 / $H43 * (1 - T115) / hours_in_year</f>
        <v>-4.7626779061635649E-2</v>
      </c>
      <c r="U166" s="417">
        <f t="shared" si="25"/>
        <v>-4.7626779061635649E-2</v>
      </c>
      <c r="V166" s="417">
        <f t="shared" ref="V166:W166" si="26">hundred * $H57 * V101 / $H43 * (1 - V115) / hours_in_year</f>
        <v>-4.5700696084878326E-2</v>
      </c>
      <c r="W166" s="417">
        <f t="shared" si="26"/>
        <v>-4.5700696084878326E-2</v>
      </c>
      <c r="X166" s="417">
        <f t="shared" ref="X166:Y166" si="27">hundred * $H57 * X101 / $H43 * (1 - X115) / hours_in_year</f>
        <v>0</v>
      </c>
      <c r="Y166" s="417">
        <f t="shared" si="27"/>
        <v>0</v>
      </c>
      <c r="Z166" s="349"/>
      <c r="AA166" s="349"/>
    </row>
    <row r="167" spans="5:27" s="293" customFormat="1" x14ac:dyDescent="0.25">
      <c r="E167" s="98"/>
      <c r="F167" s="293" t="s">
        <v>50</v>
      </c>
      <c r="G167" s="293" t="s">
        <v>183</v>
      </c>
      <c r="H167" s="349"/>
      <c r="I167" s="349"/>
      <c r="J167" s="418"/>
      <c r="K167" s="418"/>
      <c r="L167" s="418"/>
      <c r="M167" s="418"/>
      <c r="N167" s="418"/>
      <c r="O167" s="418"/>
      <c r="P167" s="418"/>
      <c r="Q167" s="418"/>
      <c r="R167" s="417">
        <f t="shared" ref="R167:S167" si="28">hundred * $H58 * R102 / $H44 * (1 - R116) / hours_in_year</f>
        <v>-9.5779960027393557E-3</v>
      </c>
      <c r="S167" s="417">
        <f t="shared" si="28"/>
        <v>0</v>
      </c>
      <c r="T167" s="417">
        <f t="shared" ref="T167:U167" si="29">hundred * $H58 * T102 / $H44 * (1 - T116) / hours_in_year</f>
        <v>-9.5779960027393557E-3</v>
      </c>
      <c r="U167" s="417">
        <f t="shared" si="29"/>
        <v>-9.5779960027393557E-3</v>
      </c>
      <c r="V167" s="417">
        <f t="shared" ref="V167:W167" si="30">hundred * $H58 * V102 / $H44 * (1 - V116) / hours_in_year</f>
        <v>0</v>
      </c>
      <c r="W167" s="417">
        <f t="shared" si="30"/>
        <v>0</v>
      </c>
      <c r="X167" s="417">
        <f t="shared" ref="X167:Y167" si="31">hundred * $H58 * X102 / $H44 * (1 - X116) / hours_in_year</f>
        <v>0</v>
      </c>
      <c r="Y167" s="417">
        <f t="shared" si="31"/>
        <v>0</v>
      </c>
      <c r="Z167" s="349"/>
      <c r="AA167" s="349"/>
    </row>
    <row r="168" spans="5:27" s="293" customFormat="1" x14ac:dyDescent="0.25">
      <c r="E168" s="98"/>
      <c r="F168" s="293" t="s">
        <v>124</v>
      </c>
      <c r="G168" s="293" t="s">
        <v>183</v>
      </c>
      <c r="H168" s="349"/>
      <c r="I168" s="349"/>
      <c r="J168" s="418"/>
      <c r="K168" s="418"/>
      <c r="L168" s="418"/>
      <c r="M168" s="418"/>
      <c r="N168" s="418"/>
      <c r="O168" s="418"/>
      <c r="P168" s="418"/>
      <c r="Q168" s="418"/>
      <c r="R168" s="418"/>
      <c r="S168" s="418"/>
      <c r="T168" s="418"/>
      <c r="U168" s="418"/>
      <c r="V168" s="418"/>
      <c r="W168" s="418"/>
      <c r="X168" s="418"/>
      <c r="Y168" s="418"/>
      <c r="Z168" s="349"/>
      <c r="AA168" s="349"/>
    </row>
    <row r="169" spans="5:27" s="293" customFormat="1" x14ac:dyDescent="0.25">
      <c r="E169" s="98"/>
      <c r="F169" s="93" t="s">
        <v>123</v>
      </c>
      <c r="G169" s="93" t="s">
        <v>183</v>
      </c>
      <c r="H169" s="351"/>
      <c r="I169" s="351"/>
      <c r="J169" s="356"/>
      <c r="K169" s="356"/>
      <c r="L169" s="356"/>
      <c r="M169" s="356"/>
      <c r="N169" s="356"/>
      <c r="O169" s="356"/>
      <c r="P169" s="356"/>
      <c r="Q169" s="356"/>
      <c r="R169" s="356"/>
      <c r="S169" s="356"/>
      <c r="T169" s="356"/>
      <c r="U169" s="356"/>
      <c r="V169" s="356"/>
      <c r="W169" s="356"/>
      <c r="X169" s="356"/>
      <c r="Y169" s="356"/>
      <c r="Z169" s="349"/>
      <c r="AA169" s="349"/>
    </row>
    <row r="170" spans="5:27" s="293" customFormat="1" x14ac:dyDescent="0.25">
      <c r="E170" s="98"/>
      <c r="J170" s="252"/>
      <c r="K170" s="252"/>
      <c r="L170" s="252"/>
      <c r="M170" s="252"/>
      <c r="N170" s="252"/>
      <c r="O170" s="252"/>
      <c r="P170" s="252"/>
      <c r="Q170" s="252"/>
      <c r="R170" s="252"/>
      <c r="S170" s="252"/>
      <c r="T170" s="252"/>
      <c r="U170" s="252"/>
      <c r="V170" s="252"/>
      <c r="W170" s="252"/>
      <c r="X170" s="252"/>
      <c r="Y170" s="252"/>
    </row>
    <row r="171" spans="5:27" s="293" customFormat="1" x14ac:dyDescent="0.25">
      <c r="E171" s="96" t="s">
        <v>116</v>
      </c>
      <c r="J171" s="252"/>
      <c r="K171" s="252"/>
      <c r="L171" s="252"/>
      <c r="M171" s="252"/>
      <c r="N171" s="252"/>
      <c r="O171" s="252"/>
      <c r="P171" s="252"/>
      <c r="Q171" s="252"/>
      <c r="R171" s="252"/>
      <c r="S171" s="252"/>
      <c r="T171" s="252"/>
      <c r="U171" s="252"/>
      <c r="V171" s="252"/>
      <c r="W171" s="252"/>
      <c r="X171" s="252"/>
      <c r="Y171" s="252"/>
    </row>
    <row r="172" spans="5:27" s="293" customFormat="1" x14ac:dyDescent="0.25">
      <c r="E172" s="98"/>
      <c r="F172" s="91" t="s">
        <v>267</v>
      </c>
      <c r="G172" s="91" t="s">
        <v>183</v>
      </c>
      <c r="H172" s="347"/>
      <c r="I172" s="347"/>
      <c r="J172" s="359"/>
      <c r="K172" s="359"/>
      <c r="L172" s="359"/>
      <c r="M172" s="359"/>
      <c r="N172" s="359"/>
      <c r="O172" s="359"/>
      <c r="P172" s="359"/>
      <c r="Q172" s="359"/>
      <c r="R172" s="360">
        <f t="shared" ref="R172:S172" si="32">hundred * $H63 * R93 / $H35 / hours_in_year</f>
        <v>-3.4122009297498923E-2</v>
      </c>
      <c r="S172" s="360">
        <f t="shared" si="32"/>
        <v>-3.274207509796772E-2</v>
      </c>
      <c r="T172" s="360">
        <f t="shared" ref="T172:U172" si="33">hundred * $H63 * T93 / $H35 / hours_in_year</f>
        <v>-3.4122009297498923E-2</v>
      </c>
      <c r="U172" s="360">
        <f t="shared" si="33"/>
        <v>-3.4122009297498923E-2</v>
      </c>
      <c r="V172" s="360">
        <f t="shared" ref="V172:W172" si="34">hundred * $H63 * V93 / $H35 / hours_in_year</f>
        <v>-3.274207509796772E-2</v>
      </c>
      <c r="W172" s="360">
        <f t="shared" si="34"/>
        <v>-3.274207509796772E-2</v>
      </c>
      <c r="X172" s="360">
        <f t="shared" ref="X172:Y172" si="35">hundred * $H63 * X93 / $H35 / hours_in_year</f>
        <v>-3.2271642984491165E-2</v>
      </c>
      <c r="Y172" s="360">
        <f t="shared" si="35"/>
        <v>-3.2271642984491165E-2</v>
      </c>
      <c r="Z172" s="349"/>
      <c r="AA172" s="349"/>
    </row>
    <row r="173" spans="5:27" s="293" customFormat="1" x14ac:dyDescent="0.25">
      <c r="E173" s="98"/>
      <c r="F173" s="293" t="s">
        <v>43</v>
      </c>
      <c r="G173" s="293" t="s">
        <v>183</v>
      </c>
      <c r="H173" s="349"/>
      <c r="I173" s="349"/>
      <c r="J173" s="418"/>
      <c r="K173" s="418"/>
      <c r="L173" s="418"/>
      <c r="M173" s="418"/>
      <c r="N173" s="418"/>
      <c r="O173" s="418"/>
      <c r="P173" s="418"/>
      <c r="Q173" s="418"/>
      <c r="R173" s="417">
        <f t="shared" ref="R173:S173" si="36">hundred * $H64 * R94 / $H36 / hours_in_year</f>
        <v>0</v>
      </c>
      <c r="S173" s="417">
        <f t="shared" si="36"/>
        <v>0</v>
      </c>
      <c r="T173" s="417">
        <f t="shared" ref="T173:U173" si="37">hundred * $H64 * T94 / $H36 / hours_in_year</f>
        <v>0</v>
      </c>
      <c r="U173" s="417">
        <f t="shared" si="37"/>
        <v>0</v>
      </c>
      <c r="V173" s="417">
        <f t="shared" ref="V173:W173" si="38">hundred * $H64 * V94 / $H36 / hours_in_year</f>
        <v>0</v>
      </c>
      <c r="W173" s="417">
        <f t="shared" si="38"/>
        <v>0</v>
      </c>
      <c r="X173" s="417">
        <f t="shared" ref="X173:Y173" si="39">hundred * $H64 * X94 / $H36 / hours_in_year</f>
        <v>0</v>
      </c>
      <c r="Y173" s="417">
        <f t="shared" si="39"/>
        <v>0</v>
      </c>
      <c r="Z173" s="349"/>
      <c r="AA173" s="349"/>
    </row>
    <row r="174" spans="5:27" s="293" customFormat="1" x14ac:dyDescent="0.25">
      <c r="E174" s="98"/>
      <c r="F174" s="293" t="s">
        <v>44</v>
      </c>
      <c r="G174" s="293" t="s">
        <v>183</v>
      </c>
      <c r="H174" s="349"/>
      <c r="I174" s="349"/>
      <c r="J174" s="418"/>
      <c r="K174" s="418"/>
      <c r="L174" s="418"/>
      <c r="M174" s="418"/>
      <c r="N174" s="418"/>
      <c r="O174" s="418"/>
      <c r="P174" s="418"/>
      <c r="Q174" s="418"/>
      <c r="R174" s="417">
        <f t="shared" ref="R174:S174" si="40">hundred * $H65 * R95 / $H37 / hours_in_year</f>
        <v>-7.5505224436258928E-2</v>
      </c>
      <c r="S174" s="417">
        <f t="shared" si="40"/>
        <v>-7.2451704330380798E-2</v>
      </c>
      <c r="T174" s="417">
        <f t="shared" ref="T174:U174" si="41">hundred * $H65 * T95 / $H37 / hours_in_year</f>
        <v>-7.5505224436258928E-2</v>
      </c>
      <c r="U174" s="417">
        <f t="shared" si="41"/>
        <v>-7.5505224436258928E-2</v>
      </c>
      <c r="V174" s="417">
        <f t="shared" ref="V174:W174" si="42">hundred * $H65 * V95 / $H37 / hours_in_year</f>
        <v>-7.2451704330380798E-2</v>
      </c>
      <c r="W174" s="417">
        <f t="shared" si="42"/>
        <v>-7.2451704330380798E-2</v>
      </c>
      <c r="X174" s="417">
        <f t="shared" ref="X174:Y174" si="43">hundred * $H65 * X95 / $H37 / hours_in_year</f>
        <v>-7.1410731567013261E-2</v>
      </c>
      <c r="Y174" s="417">
        <f t="shared" si="43"/>
        <v>-7.1410731567013261E-2</v>
      </c>
      <c r="Z174" s="349"/>
      <c r="AA174" s="349"/>
    </row>
    <row r="175" spans="5:27" s="293" customFormat="1" x14ac:dyDescent="0.25">
      <c r="E175" s="98"/>
      <c r="F175" s="293" t="s">
        <v>45</v>
      </c>
      <c r="G175" s="293" t="s">
        <v>183</v>
      </c>
      <c r="H175" s="349"/>
      <c r="I175" s="349"/>
      <c r="J175" s="418"/>
      <c r="K175" s="418"/>
      <c r="L175" s="418"/>
      <c r="M175" s="418"/>
      <c r="N175" s="418"/>
      <c r="O175" s="418"/>
      <c r="P175" s="418"/>
      <c r="Q175" s="418"/>
      <c r="R175" s="417">
        <f t="shared" ref="R175:S175" si="44">hundred * $H66 * R96 / $H38 / hours_in_year</f>
        <v>-1.9536815576163102E-2</v>
      </c>
      <c r="S175" s="417">
        <f t="shared" si="44"/>
        <v>-1.8746723769774154E-2</v>
      </c>
      <c r="T175" s="417">
        <f t="shared" ref="T175:U175" si="45">hundred * $H66 * T96 / $H38 / hours_in_year</f>
        <v>-1.9536815576163102E-2</v>
      </c>
      <c r="U175" s="417">
        <f t="shared" si="45"/>
        <v>-1.9536815576163102E-2</v>
      </c>
      <c r="V175" s="417">
        <f t="shared" ref="V175:W175" si="46">hundred * $H66 * V96 / $H38 / hours_in_year</f>
        <v>-1.8746723769774154E-2</v>
      </c>
      <c r="W175" s="417">
        <f t="shared" si="46"/>
        <v>-1.8746723769774154E-2</v>
      </c>
      <c r="X175" s="417">
        <f t="shared" ref="X175:Y175" si="47">hundred * $H66 * X96 / $H38 / hours_in_year</f>
        <v>-1.8477374290323374E-2</v>
      </c>
      <c r="Y175" s="417">
        <f t="shared" si="47"/>
        <v>-1.8477374290323374E-2</v>
      </c>
      <c r="Z175" s="349"/>
      <c r="AA175" s="349"/>
    </row>
    <row r="176" spans="5:27" s="293" customFormat="1" x14ac:dyDescent="0.25">
      <c r="E176" s="98"/>
      <c r="F176" s="293" t="s">
        <v>46</v>
      </c>
      <c r="G176" s="293" t="s">
        <v>183</v>
      </c>
      <c r="H176" s="349"/>
      <c r="I176" s="349"/>
      <c r="J176" s="418"/>
      <c r="K176" s="418"/>
      <c r="L176" s="418"/>
      <c r="M176" s="418"/>
      <c r="N176" s="418"/>
      <c r="O176" s="418"/>
      <c r="P176" s="418"/>
      <c r="Q176" s="418"/>
      <c r="R176" s="417">
        <f t="shared" ref="R176:S176" si="48">hundred * $H67 * R97 / $H39 / hours_in_year</f>
        <v>-5.3823565195942023E-2</v>
      </c>
      <c r="S176" s="417">
        <f t="shared" si="48"/>
        <v>-5.1646876897576723E-2</v>
      </c>
      <c r="T176" s="417">
        <f t="shared" ref="T176:U176" si="49">hundred * $H67 * T97 / $H39 / hours_in_year</f>
        <v>-5.3823565195942023E-2</v>
      </c>
      <c r="U176" s="417">
        <f t="shared" si="49"/>
        <v>-5.3823565195942023E-2</v>
      </c>
      <c r="V176" s="417">
        <f t="shared" ref="V176:W176" si="50">hundred * $H67 * V97 / $H39 / hours_in_year</f>
        <v>-5.1646876897576723E-2</v>
      </c>
      <c r="W176" s="417">
        <f t="shared" si="50"/>
        <v>-5.1646876897576723E-2</v>
      </c>
      <c r="X176" s="417">
        <f t="shared" ref="X176:Y176" si="51">hundred * $H67 * X97 / $H39 / hours_in_year</f>
        <v>-5.0904824068588539E-2</v>
      </c>
      <c r="Y176" s="417">
        <f t="shared" si="51"/>
        <v>-5.0904824068588539E-2</v>
      </c>
      <c r="Z176" s="349"/>
      <c r="AA176" s="349"/>
    </row>
    <row r="177" spans="2:27" x14ac:dyDescent="0.25">
      <c r="D177" s="293"/>
      <c r="F177" s="293" t="s">
        <v>47</v>
      </c>
      <c r="G177" s="293" t="s">
        <v>183</v>
      </c>
      <c r="H177" s="349"/>
      <c r="I177" s="349"/>
      <c r="J177" s="418"/>
      <c r="K177" s="418"/>
      <c r="L177" s="418"/>
      <c r="M177" s="418"/>
      <c r="N177" s="418"/>
      <c r="O177" s="418"/>
      <c r="P177" s="418"/>
      <c r="Q177" s="418"/>
      <c r="R177" s="417">
        <f t="shared" ref="R177:S177" si="52">hundred * $H68 * R98 / $H40 / hours_in_year</f>
        <v>-3.8079750209955007E-2</v>
      </c>
      <c r="S177" s="417">
        <f t="shared" si="52"/>
        <v>-3.6539760311758304E-2</v>
      </c>
      <c r="T177" s="417">
        <f t="shared" ref="T177:U177" si="53">hundred * $H68 * T98 / $H40 / hours_in_year</f>
        <v>-3.8079750209955007E-2</v>
      </c>
      <c r="U177" s="417">
        <f t="shared" si="53"/>
        <v>-3.8079750209955007E-2</v>
      </c>
      <c r="V177" s="417">
        <f t="shared" ref="V177:W177" si="54">hundred * $H68 * V98 / $H40 / hours_in_year</f>
        <v>-3.6539760311758304E-2</v>
      </c>
      <c r="W177" s="417">
        <f t="shared" si="54"/>
        <v>-3.6539760311758304E-2</v>
      </c>
      <c r="X177" s="417">
        <f t="shared" ref="X177:Y177" si="55">hundred * $H68 * X98 / $H40 / hours_in_year</f>
        <v>-3.6014763755554867E-2</v>
      </c>
      <c r="Y177" s="417">
        <f t="shared" si="55"/>
        <v>-3.6014763755554867E-2</v>
      </c>
      <c r="Z177" s="349"/>
      <c r="AA177" s="349"/>
    </row>
    <row r="178" spans="2:27" x14ac:dyDescent="0.25">
      <c r="D178" s="293"/>
      <c r="F178" s="293" t="s">
        <v>51</v>
      </c>
      <c r="G178" s="293" t="s">
        <v>183</v>
      </c>
      <c r="H178" s="349"/>
      <c r="I178" s="349"/>
      <c r="J178" s="418"/>
      <c r="K178" s="418"/>
      <c r="L178" s="418"/>
      <c r="M178" s="418"/>
      <c r="N178" s="418"/>
      <c r="O178" s="418"/>
      <c r="P178" s="418"/>
      <c r="Q178" s="418"/>
      <c r="R178" s="417">
        <f t="shared" ref="R178:S178" si="56">hundred * $H69 * R99 / $H41 / hours_in_year</f>
        <v>0</v>
      </c>
      <c r="S178" s="417">
        <f t="shared" si="56"/>
        <v>0</v>
      </c>
      <c r="T178" s="417">
        <f t="shared" ref="T178:U178" si="57">hundred * $H69 * T99 / $H41 / hours_in_year</f>
        <v>0</v>
      </c>
      <c r="U178" s="417">
        <f t="shared" si="57"/>
        <v>0</v>
      </c>
      <c r="V178" s="417">
        <f t="shared" ref="V178:W178" si="58">hundred * $H69 * V99 / $H41 / hours_in_year</f>
        <v>0</v>
      </c>
      <c r="W178" s="417">
        <f t="shared" si="58"/>
        <v>0</v>
      </c>
      <c r="X178" s="417">
        <f t="shared" ref="X178:Y178" si="59">hundred * $H69 * X99 / $H41 / hours_in_year</f>
        <v>0</v>
      </c>
      <c r="Y178" s="417">
        <f t="shared" si="59"/>
        <v>0</v>
      </c>
      <c r="Z178" s="349"/>
      <c r="AA178" s="349"/>
    </row>
    <row r="179" spans="2:27" x14ac:dyDescent="0.25">
      <c r="D179" s="293"/>
      <c r="F179" s="293" t="s">
        <v>48</v>
      </c>
      <c r="G179" s="293" t="s">
        <v>183</v>
      </c>
      <c r="H179" s="349"/>
      <c r="I179" s="349"/>
      <c r="J179" s="418"/>
      <c r="K179" s="418"/>
      <c r="L179" s="418"/>
      <c r="M179" s="418"/>
      <c r="N179" s="418"/>
      <c r="O179" s="418"/>
      <c r="P179" s="418"/>
      <c r="Q179" s="418"/>
      <c r="R179" s="417">
        <f t="shared" ref="R179:S179" si="60">hundred * $H70 * R100 / $H42 / hours_in_year</f>
        <v>-0.12323924588057243</v>
      </c>
      <c r="S179" s="417">
        <f t="shared" si="60"/>
        <v>-0.11825530578981398</v>
      </c>
      <c r="T179" s="417">
        <f t="shared" ref="T179:U179" si="61">hundred * $H70 * T100 / $H42 / hours_in_year</f>
        <v>-0.12323924588057243</v>
      </c>
      <c r="U179" s="417">
        <f t="shared" si="61"/>
        <v>-0.12323924588057243</v>
      </c>
      <c r="V179" s="417">
        <f t="shared" ref="V179:W179" si="62">hundred * $H70 * V100 / $H42 / hours_in_year</f>
        <v>-0.11825530578981398</v>
      </c>
      <c r="W179" s="417">
        <f t="shared" si="62"/>
        <v>-0.11825530578981398</v>
      </c>
      <c r="X179" s="417">
        <f t="shared" ref="X179:Y179" si="63">hundred * $H70 * X100 / $H42 / hours_in_year</f>
        <v>-0.11655623530432815</v>
      </c>
      <c r="Y179" s="417">
        <f t="shared" si="63"/>
        <v>-0.11655623530432815</v>
      </c>
      <c r="Z179" s="349"/>
      <c r="AA179" s="349"/>
    </row>
    <row r="180" spans="2:27" x14ac:dyDescent="0.25">
      <c r="D180" s="293"/>
      <c r="F180" s="293" t="s">
        <v>49</v>
      </c>
      <c r="G180" s="293" t="s">
        <v>183</v>
      </c>
      <c r="H180" s="349"/>
      <c r="I180" s="349"/>
      <c r="J180" s="418"/>
      <c r="K180" s="418"/>
      <c r="L180" s="418"/>
      <c r="M180" s="418"/>
      <c r="N180" s="418"/>
      <c r="O180" s="418"/>
      <c r="P180" s="418"/>
      <c r="Q180" s="418"/>
      <c r="R180" s="417">
        <f t="shared" ref="R180:S180" si="64">hundred * $H71 * R101 / $H43 / hours_in_year</f>
        <v>-4.6458703367126146E-2</v>
      </c>
      <c r="S180" s="417">
        <f t="shared" si="64"/>
        <v>-4.4579858745661484E-2</v>
      </c>
      <c r="T180" s="417">
        <f t="shared" ref="T180:U180" si="65">hundred * $H71 * T101 / $H43 / hours_in_year</f>
        <v>-4.6458703367126146E-2</v>
      </c>
      <c r="U180" s="417">
        <f t="shared" si="65"/>
        <v>-4.6458703367126146E-2</v>
      </c>
      <c r="V180" s="417">
        <f t="shared" ref="V180:W180" si="66">hundred * $H71 * V101 / $H43 / hours_in_year</f>
        <v>-4.4579858745661484E-2</v>
      </c>
      <c r="W180" s="417">
        <f t="shared" si="66"/>
        <v>-4.4579858745661484E-2</v>
      </c>
      <c r="X180" s="417">
        <f t="shared" ref="X180:Y180" si="67">hundred * $H71 * X101 / $H43 / hours_in_year</f>
        <v>0</v>
      </c>
      <c r="Y180" s="417">
        <f t="shared" si="67"/>
        <v>0</v>
      </c>
      <c r="Z180" s="349"/>
      <c r="AA180" s="349"/>
    </row>
    <row r="181" spans="2:27" x14ac:dyDescent="0.25">
      <c r="D181" s="293"/>
      <c r="F181" s="293" t="s">
        <v>50</v>
      </c>
      <c r="G181" s="293" t="s">
        <v>183</v>
      </c>
      <c r="H181" s="349"/>
      <c r="I181" s="349"/>
      <c r="J181" s="418"/>
      <c r="K181" s="418"/>
      <c r="L181" s="418"/>
      <c r="M181" s="418"/>
      <c r="N181" s="418"/>
      <c r="O181" s="418"/>
      <c r="P181" s="418"/>
      <c r="Q181" s="418"/>
      <c r="R181" s="417">
        <f t="shared" ref="R181:S181" si="68">hundred * $H72 * R102 / $H44 / hours_in_year</f>
        <v>-0.12229111533041054</v>
      </c>
      <c r="S181" s="417">
        <f t="shared" si="68"/>
        <v>0</v>
      </c>
      <c r="T181" s="417">
        <f t="shared" ref="T181:U181" si="69">hundred * $H72 * T102 / $H44 / hours_in_year</f>
        <v>-0.12229111533041054</v>
      </c>
      <c r="U181" s="417">
        <f t="shared" si="69"/>
        <v>-0.12229111533041054</v>
      </c>
      <c r="V181" s="417">
        <f t="shared" ref="V181:W181" si="70">hundred * $H72 * V102 / $H44 / hours_in_year</f>
        <v>0</v>
      </c>
      <c r="W181" s="417">
        <f t="shared" si="70"/>
        <v>0</v>
      </c>
      <c r="X181" s="417">
        <f t="shared" ref="X181:Y181" si="71">hundred * $H72 * X102 / $H44 / hours_in_year</f>
        <v>0</v>
      </c>
      <c r="Y181" s="417">
        <f t="shared" si="71"/>
        <v>0</v>
      </c>
      <c r="Z181" s="349"/>
      <c r="AA181" s="349"/>
    </row>
    <row r="182" spans="2:27" x14ac:dyDescent="0.25">
      <c r="D182" s="293"/>
      <c r="F182" s="293" t="s">
        <v>124</v>
      </c>
      <c r="G182" s="293" t="s">
        <v>183</v>
      </c>
      <c r="H182" s="349"/>
      <c r="I182" s="349"/>
      <c r="J182" s="418"/>
      <c r="K182" s="418"/>
      <c r="L182" s="418"/>
      <c r="M182" s="418"/>
      <c r="N182" s="418"/>
      <c r="O182" s="418"/>
      <c r="P182" s="418"/>
      <c r="Q182" s="418"/>
      <c r="R182" s="418"/>
      <c r="S182" s="418"/>
      <c r="T182" s="418"/>
      <c r="U182" s="418"/>
      <c r="V182" s="418"/>
      <c r="W182" s="418"/>
      <c r="X182" s="418"/>
      <c r="Y182" s="418"/>
      <c r="Z182" s="349"/>
      <c r="AA182" s="349"/>
    </row>
    <row r="183" spans="2:27" x14ac:dyDescent="0.25">
      <c r="D183" s="293"/>
      <c r="F183" s="93" t="s">
        <v>123</v>
      </c>
      <c r="G183" s="93" t="s">
        <v>183</v>
      </c>
      <c r="H183" s="351"/>
      <c r="I183" s="351"/>
      <c r="J183" s="356"/>
      <c r="K183" s="356"/>
      <c r="L183" s="356"/>
      <c r="M183" s="356"/>
      <c r="N183" s="356"/>
      <c r="O183" s="356"/>
      <c r="P183" s="356"/>
      <c r="Q183" s="356"/>
      <c r="R183" s="356"/>
      <c r="S183" s="356"/>
      <c r="T183" s="356"/>
      <c r="U183" s="356"/>
      <c r="V183" s="356"/>
      <c r="W183" s="356"/>
      <c r="X183" s="356"/>
      <c r="Y183" s="356"/>
      <c r="Z183" s="349"/>
      <c r="AA183" s="349"/>
    </row>
    <row r="184" spans="2:27" x14ac:dyDescent="0.25">
      <c r="D184" s="293"/>
      <c r="E184" s="293"/>
      <c r="J184" s="252"/>
      <c r="K184" s="252"/>
      <c r="L184" s="252"/>
      <c r="M184" s="252"/>
      <c r="N184" s="252"/>
      <c r="O184" s="252"/>
      <c r="P184" s="252"/>
      <c r="Q184" s="252"/>
      <c r="R184" s="252"/>
      <c r="S184" s="252"/>
      <c r="T184" s="252"/>
      <c r="U184" s="252"/>
      <c r="V184" s="252"/>
      <c r="W184" s="252"/>
      <c r="X184" s="252"/>
      <c r="Y184" s="252"/>
    </row>
    <row r="185" spans="2:27" x14ac:dyDescent="0.25">
      <c r="B185" s="95" t="s">
        <v>393</v>
      </c>
      <c r="C185" s="95"/>
      <c r="D185" s="95"/>
      <c r="E185" s="95"/>
      <c r="F185" s="95"/>
      <c r="G185" s="95"/>
      <c r="H185" s="95"/>
      <c r="I185" s="95"/>
      <c r="J185" s="281"/>
      <c r="K185" s="281"/>
      <c r="L185" s="281"/>
      <c r="M185" s="281"/>
      <c r="N185" s="281"/>
      <c r="O185" s="281"/>
      <c r="P185" s="281"/>
      <c r="Q185" s="281"/>
      <c r="R185" s="281"/>
      <c r="S185" s="281"/>
      <c r="T185" s="281"/>
      <c r="U185" s="281"/>
      <c r="V185" s="281"/>
      <c r="W185" s="281"/>
      <c r="X185" s="281"/>
      <c r="Y185" s="281"/>
      <c r="Z185" s="95"/>
      <c r="AA185" s="95"/>
    </row>
    <row r="186" spans="2:27" x14ac:dyDescent="0.25">
      <c r="B186" s="419"/>
      <c r="J186" s="252"/>
      <c r="K186" s="252"/>
      <c r="L186" s="252"/>
      <c r="M186" s="252"/>
      <c r="N186" s="252"/>
      <c r="O186" s="252"/>
      <c r="P186" s="252"/>
      <c r="Q186" s="252"/>
      <c r="R186" s="252"/>
      <c r="S186" s="252"/>
      <c r="T186" s="252"/>
      <c r="U186" s="252"/>
      <c r="V186" s="252"/>
      <c r="W186" s="252"/>
      <c r="X186" s="252"/>
      <c r="Y186" s="252"/>
    </row>
    <row r="187" spans="2:27" x14ac:dyDescent="0.25">
      <c r="B187" s="419"/>
      <c r="C187" s="82" t="s">
        <v>535</v>
      </c>
      <c r="J187" s="252"/>
      <c r="K187" s="252"/>
      <c r="L187" s="252"/>
      <c r="M187" s="252"/>
      <c r="N187" s="252"/>
      <c r="O187" s="252"/>
      <c r="P187" s="252"/>
      <c r="Q187" s="252"/>
      <c r="R187" s="252"/>
      <c r="S187" s="252"/>
      <c r="T187" s="252"/>
      <c r="U187" s="252"/>
      <c r="V187" s="252"/>
      <c r="W187" s="252"/>
      <c r="X187" s="252"/>
      <c r="Y187" s="252"/>
    </row>
    <row r="188" spans="2:27" x14ac:dyDescent="0.25">
      <c r="B188" s="419"/>
      <c r="C188" s="82" t="s">
        <v>733</v>
      </c>
      <c r="I188" s="293" t="s">
        <v>359</v>
      </c>
      <c r="J188" s="252"/>
      <c r="K188" s="252"/>
      <c r="L188" s="252"/>
      <c r="M188" s="252"/>
      <c r="N188" s="252"/>
      <c r="O188" s="252"/>
      <c r="P188" s="252"/>
      <c r="Q188" s="252"/>
      <c r="R188" s="252"/>
      <c r="S188" s="252"/>
      <c r="T188" s="252"/>
      <c r="U188" s="252"/>
      <c r="V188" s="252"/>
      <c r="W188" s="252"/>
      <c r="X188" s="252"/>
      <c r="Y188" s="252"/>
      <c r="AA188" s="293" t="s">
        <v>734</v>
      </c>
    </row>
    <row r="189" spans="2:27" x14ac:dyDescent="0.25">
      <c r="B189" s="419"/>
      <c r="J189" s="252"/>
      <c r="K189" s="252"/>
      <c r="L189" s="252"/>
      <c r="M189" s="252"/>
      <c r="N189" s="252"/>
      <c r="O189" s="252"/>
      <c r="P189" s="252"/>
      <c r="Q189" s="252"/>
      <c r="R189" s="252"/>
      <c r="S189" s="252"/>
      <c r="T189" s="252"/>
      <c r="U189" s="252"/>
      <c r="V189" s="252"/>
      <c r="W189" s="252"/>
      <c r="X189" s="252"/>
      <c r="Y189" s="252"/>
    </row>
    <row r="190" spans="2:27" x14ac:dyDescent="0.25">
      <c r="C190" s="7" t="str">
        <f ca="1">INDEX('Version control'!$H$35:$H$61,MATCH($A$1,'Version control'!$F$35:$F$61,0),1)&amp;"-D: Reactive power charges, all customer categories"</f>
        <v>Section 516-D: Reactive power charges, all customer categories</v>
      </c>
      <c r="D190" s="7"/>
      <c r="E190" s="7"/>
      <c r="F190" s="7"/>
      <c r="G190" s="7"/>
      <c r="H190" s="7"/>
      <c r="I190" s="7"/>
      <c r="J190" s="242"/>
      <c r="K190" s="242"/>
      <c r="L190" s="242"/>
      <c r="M190" s="242"/>
      <c r="N190" s="242"/>
      <c r="O190" s="242"/>
      <c r="P190" s="242"/>
      <c r="Q190" s="242"/>
      <c r="R190" s="242"/>
      <c r="S190" s="242"/>
      <c r="T190" s="242"/>
      <c r="U190" s="242"/>
      <c r="V190" s="242"/>
      <c r="W190" s="242"/>
      <c r="X190" s="242"/>
      <c r="Y190" s="242"/>
      <c r="Z190" s="7"/>
      <c r="AA190" s="7"/>
    </row>
    <row r="191" spans="2:27" x14ac:dyDescent="0.25">
      <c r="C191" s="96"/>
      <c r="D191" s="293"/>
      <c r="E191" s="96"/>
      <c r="I191" s="293" t="s">
        <v>359</v>
      </c>
      <c r="J191" s="252"/>
      <c r="K191" s="252"/>
      <c r="L191" s="252"/>
      <c r="M191" s="252"/>
      <c r="N191" s="252"/>
      <c r="O191" s="252"/>
      <c r="P191" s="252"/>
      <c r="Q191" s="252"/>
      <c r="R191" s="252"/>
      <c r="S191" s="252"/>
      <c r="T191" s="252"/>
      <c r="U191" s="252"/>
      <c r="V191" s="252"/>
      <c r="W191" s="252"/>
      <c r="X191" s="252"/>
      <c r="Y191" s="252"/>
      <c r="AA191" s="293" t="s">
        <v>805</v>
      </c>
    </row>
    <row r="192" spans="2:27" x14ac:dyDescent="0.25">
      <c r="E192" s="96" t="s">
        <v>139</v>
      </c>
      <c r="J192" s="252"/>
      <c r="K192" s="252"/>
      <c r="L192" s="252"/>
      <c r="M192" s="252"/>
      <c r="N192" s="252"/>
      <c r="O192" s="252"/>
      <c r="P192" s="252"/>
      <c r="Q192" s="252"/>
      <c r="R192" s="252"/>
      <c r="S192" s="252"/>
      <c r="T192" s="252"/>
      <c r="U192" s="252"/>
      <c r="V192" s="252"/>
      <c r="W192" s="252"/>
      <c r="X192" s="252"/>
      <c r="Y192" s="252"/>
    </row>
    <row r="193" spans="4:27" x14ac:dyDescent="0.25">
      <c r="F193" s="91" t="s">
        <v>267</v>
      </c>
      <c r="G193" s="91" t="s">
        <v>258</v>
      </c>
      <c r="H193" s="347"/>
      <c r="I193" s="347"/>
      <c r="J193" s="359"/>
      <c r="K193" s="359"/>
      <c r="L193" s="359"/>
      <c r="M193" s="359"/>
      <c r="N193" s="359"/>
      <c r="O193" s="359"/>
      <c r="P193" s="359"/>
      <c r="Q193" s="359"/>
      <c r="R193" s="359"/>
      <c r="S193" s="359"/>
      <c r="T193" s="359"/>
      <c r="U193" s="359"/>
      <c r="V193" s="359"/>
      <c r="W193" s="359"/>
      <c r="X193" s="359"/>
      <c r="Y193" s="359"/>
      <c r="Z193" s="349"/>
      <c r="AA193" s="349"/>
    </row>
    <row r="194" spans="4:27" x14ac:dyDescent="0.25">
      <c r="F194" s="293" t="s">
        <v>43</v>
      </c>
      <c r="G194" s="293" t="s">
        <v>258</v>
      </c>
      <c r="H194" s="349"/>
      <c r="I194" s="349"/>
      <c r="J194" s="418"/>
      <c r="K194" s="418"/>
      <c r="L194" s="418"/>
      <c r="M194" s="418"/>
      <c r="N194" s="418"/>
      <c r="O194" s="418"/>
      <c r="P194" s="418"/>
      <c r="Q194" s="418"/>
      <c r="R194" s="418"/>
      <c r="S194" s="418"/>
      <c r="T194" s="418"/>
      <c r="U194" s="418"/>
      <c r="V194" s="418"/>
      <c r="W194" s="418"/>
      <c r="X194" s="418"/>
      <c r="Y194" s="418"/>
      <c r="Z194" s="349"/>
      <c r="AA194" s="349"/>
    </row>
    <row r="195" spans="4:27" x14ac:dyDescent="0.25">
      <c r="F195" s="293" t="s">
        <v>44</v>
      </c>
      <c r="G195" s="293" t="s">
        <v>258</v>
      </c>
      <c r="H195" s="349"/>
      <c r="I195" s="349"/>
      <c r="J195" s="417">
        <f t="shared" ref="J195:K195" si="72">ABS(J125 + J160)*(1-J82)*PowerFactor*$H23</f>
        <v>6.1243414262506492E-2</v>
      </c>
      <c r="K195" s="417">
        <f t="shared" si="72"/>
        <v>6.1243414262506492E-2</v>
      </c>
      <c r="L195" s="417">
        <f t="shared" ref="L195:M195" si="73">ABS(L125 + L160)*(1-L82)*PowerFactor*$H23</f>
        <v>4.2141230428600088E-2</v>
      </c>
      <c r="M195" s="417">
        <f t="shared" si="73"/>
        <v>4.2141230428600088E-2</v>
      </c>
      <c r="N195" s="417">
        <f t="shared" ref="N195:P195" si="74">ABS(N125 + N160)*(1-N82)*PowerFactor*$H23</f>
        <v>3.8712763178736266E-2</v>
      </c>
      <c r="O195" s="417">
        <f t="shared" si="74"/>
        <v>2.9916061088584515E-2</v>
      </c>
      <c r="P195" s="417">
        <f t="shared" si="74"/>
        <v>3.0106921281517571E-2</v>
      </c>
      <c r="Q195" s="417">
        <f t="shared" ref="Q195:S195" si="75">ABS(Q125 + Q160)*(1-Q82)*PowerFactor*$H23</f>
        <v>5.6910221355513012E-2</v>
      </c>
      <c r="R195" s="417">
        <f t="shared" si="75"/>
        <v>2.9300910635349394E-2</v>
      </c>
      <c r="S195" s="417">
        <f t="shared" si="75"/>
        <v>2.811594733759629E-2</v>
      </c>
      <c r="T195" s="417">
        <f t="shared" ref="T195:U195" si="76">ABS(T125 + T160)*(1-T82)*PowerFactor*$H23</f>
        <v>2.9300910635349394E-2</v>
      </c>
      <c r="U195" s="417">
        <f t="shared" si="76"/>
        <v>2.9300910635349394E-2</v>
      </c>
      <c r="V195" s="417">
        <f t="shared" ref="V195:W195" si="77">ABS(V125 + V160)*(1-V82)*PowerFactor*$H23</f>
        <v>2.811594733759629E-2</v>
      </c>
      <c r="W195" s="417">
        <f t="shared" si="77"/>
        <v>2.811594733759629E-2</v>
      </c>
      <c r="X195" s="417">
        <f t="shared" ref="X195:Y195" si="78">ABS(X125 + X160)*(1-X82)*PowerFactor*$H23</f>
        <v>2.7711982576998639E-2</v>
      </c>
      <c r="Y195" s="417">
        <f t="shared" si="78"/>
        <v>2.7711982576998639E-2</v>
      </c>
      <c r="Z195" s="349"/>
      <c r="AA195" s="349"/>
    </row>
    <row r="196" spans="4:27" x14ac:dyDescent="0.25">
      <c r="F196" s="293" t="s">
        <v>45</v>
      </c>
      <c r="G196" s="293" t="s">
        <v>258</v>
      </c>
      <c r="H196" s="349"/>
      <c r="I196" s="349"/>
      <c r="J196" s="417">
        <f t="shared" ref="J196:K196" si="79">ABS(J126 + J161)*(1-J83)*PowerFactor*$H24</f>
        <v>1.5846602650803655E-2</v>
      </c>
      <c r="K196" s="417">
        <f t="shared" si="79"/>
        <v>1.5846602650803655E-2</v>
      </c>
      <c r="L196" s="417">
        <f t="shared" ref="L196:M196" si="80">ABS(L126 + L161)*(1-L83)*PowerFactor*$H24</f>
        <v>1.0903953377837878E-2</v>
      </c>
      <c r="M196" s="417">
        <f t="shared" si="80"/>
        <v>1.0903953377837878E-2</v>
      </c>
      <c r="N196" s="417">
        <f t="shared" ref="N196:P196" si="81">ABS(N126 + N161)*(1-N83)*PowerFactor*$H24</f>
        <v>1.0016844798668632E-2</v>
      </c>
      <c r="O196" s="417">
        <f t="shared" si="81"/>
        <v>7.7407169188180658E-3</v>
      </c>
      <c r="P196" s="417">
        <f t="shared" si="81"/>
        <v>7.7901015861441218E-3</v>
      </c>
      <c r="Q196" s="417">
        <f t="shared" ref="Q196:S196" si="82">ABS(Q126 + Q161)*(1-Q83)*PowerFactor*$H24</f>
        <v>1.4725398239957409E-2</v>
      </c>
      <c r="R196" s="417">
        <f t="shared" si="82"/>
        <v>7.5815480527405476E-3</v>
      </c>
      <c r="S196" s="417">
        <f t="shared" si="82"/>
        <v>7.2749413300194224E-3</v>
      </c>
      <c r="T196" s="417">
        <f t="shared" ref="T196:U196" si="83">ABS(T126 + T161)*(1-T83)*PowerFactor*$H24</f>
        <v>7.5815480527405476E-3</v>
      </c>
      <c r="U196" s="417">
        <f t="shared" si="83"/>
        <v>7.5815480527405476E-3</v>
      </c>
      <c r="V196" s="417">
        <f t="shared" ref="V196:W196" si="84">ABS(V126 + V161)*(1-V83)*PowerFactor*$H24</f>
        <v>7.2749413300194224E-3</v>
      </c>
      <c r="W196" s="417">
        <f t="shared" si="84"/>
        <v>7.2749413300194224E-3</v>
      </c>
      <c r="X196" s="417">
        <f t="shared" ref="X196:Y196" si="85">ABS(X126 + X161)*(1-X83)*PowerFactor*$H24</f>
        <v>7.170416310909946E-3</v>
      </c>
      <c r="Y196" s="417">
        <f t="shared" si="85"/>
        <v>7.170416310909946E-3</v>
      </c>
      <c r="Z196" s="349"/>
      <c r="AA196" s="349"/>
    </row>
    <row r="197" spans="4:27" x14ac:dyDescent="0.25">
      <c r="F197" s="293" t="s">
        <v>46</v>
      </c>
      <c r="G197" s="293" t="s">
        <v>258</v>
      </c>
      <c r="H197" s="349"/>
      <c r="I197" s="349"/>
      <c r="J197" s="417">
        <f t="shared" ref="J197:K197" si="86">ABS(J127 + J162)*(1-J84)*PowerFactor*$H25</f>
        <v>4.3117040581579912E-2</v>
      </c>
      <c r="K197" s="417">
        <f t="shared" si="86"/>
        <v>4.3117040581579912E-2</v>
      </c>
      <c r="L197" s="417">
        <f t="shared" ref="L197:M197" si="87">ABS(L127 + L162)*(1-L84)*PowerFactor*$H25</f>
        <v>2.9668580114744516E-2</v>
      </c>
      <c r="M197" s="417">
        <f t="shared" si="87"/>
        <v>2.9668580114744516E-2</v>
      </c>
      <c r="N197" s="417">
        <f t="shared" ref="N197:P197" si="88">ABS(N127 + N162)*(1-N84)*PowerFactor*$H25</f>
        <v>2.7254845294027708E-2</v>
      </c>
      <c r="O197" s="417">
        <f t="shared" si="88"/>
        <v>2.1061726155055346E-2</v>
      </c>
      <c r="P197" s="417">
        <f t="shared" si="88"/>
        <v>1.6576400881985573E-2</v>
      </c>
      <c r="Q197" s="417">
        <f t="shared" ref="Q197:S197" si="89">ABS(Q127 + Q162)*(1-Q84)*PowerFactor*$H25</f>
        <v>4.0066354125435806E-2</v>
      </c>
      <c r="R197" s="417">
        <f t="shared" si="89"/>
        <v>2.0628643392193214E-2</v>
      </c>
      <c r="S197" s="417">
        <f t="shared" si="89"/>
        <v>1.9794396784420694E-2</v>
      </c>
      <c r="T197" s="417">
        <f t="shared" ref="T197:U197" si="90">ABS(T127 + T162)*(1-T84)*PowerFactor*$H25</f>
        <v>2.0628643392193214E-2</v>
      </c>
      <c r="U197" s="417">
        <f t="shared" si="90"/>
        <v>2.0628643392193214E-2</v>
      </c>
      <c r="V197" s="417">
        <f t="shared" ref="V197:W197" si="91">ABS(V127 + V162)*(1-V84)*PowerFactor*$H25</f>
        <v>1.9794396784420694E-2</v>
      </c>
      <c r="W197" s="417">
        <f t="shared" si="91"/>
        <v>1.9794396784420694E-2</v>
      </c>
      <c r="X197" s="417">
        <f t="shared" ref="X197:Y197" si="92">ABS(X127 + X162)*(1-X84)*PowerFactor*$H25</f>
        <v>1.9072231270992248E-2</v>
      </c>
      <c r="Y197" s="417">
        <f t="shared" si="92"/>
        <v>1.9072231270992248E-2</v>
      </c>
      <c r="Z197" s="349"/>
      <c r="AA197" s="349"/>
    </row>
    <row r="198" spans="4:27" x14ac:dyDescent="0.25">
      <c r="F198" s="293" t="s">
        <v>47</v>
      </c>
      <c r="G198" s="293" t="s">
        <v>258</v>
      </c>
      <c r="H198" s="349"/>
      <c r="I198" s="349"/>
      <c r="J198" s="417">
        <f t="shared" ref="J198:K198" si="93">ABS(J128 + J163)*(1-J85)*PowerFactor*$H26</f>
        <v>3.013338092843711E-2</v>
      </c>
      <c r="K198" s="417">
        <f t="shared" si="93"/>
        <v>3.013338092843711E-2</v>
      </c>
      <c r="L198" s="417">
        <f t="shared" ref="L198:M198" si="94">ABS(L128 + L163)*(1-L85)*PowerFactor*$H26</f>
        <v>2.0734600847939082E-2</v>
      </c>
      <c r="M198" s="417">
        <f t="shared" si="94"/>
        <v>2.0734600847939082E-2</v>
      </c>
      <c r="N198" s="417">
        <f t="shared" ref="N198:P198" si="95">ABS(N128 + N163)*(1-N85)*PowerFactor*$H26</f>
        <v>1.9047704209583873E-2</v>
      </c>
      <c r="O198" s="417">
        <f t="shared" si="95"/>
        <v>1.4719493932796585E-2</v>
      </c>
      <c r="P198" s="417">
        <f t="shared" si="95"/>
        <v>0</v>
      </c>
      <c r="Q198" s="417">
        <f t="shared" ref="Q198:S198" si="96">ABS(Q128 + Q163)*(1-Q85)*PowerFactor*$H26</f>
        <v>2.8001335318713905E-2</v>
      </c>
      <c r="R198" s="417">
        <f t="shared" si="96"/>
        <v>1.4416823626791407E-2</v>
      </c>
      <c r="S198" s="417">
        <f t="shared" si="96"/>
        <v>1.3833790318354992E-2</v>
      </c>
      <c r="T198" s="417">
        <f t="shared" ref="T198:U198" si="97">ABS(T128 + T163)*(1-T85)*PowerFactor*$H26</f>
        <v>1.4416823626791407E-2</v>
      </c>
      <c r="U198" s="417">
        <f t="shared" si="97"/>
        <v>1.4416823626791407E-2</v>
      </c>
      <c r="V198" s="417">
        <f t="shared" ref="V198:W198" si="98">ABS(V128 + V163)*(1-V85)*PowerFactor*$H26</f>
        <v>1.3833790318354992E-2</v>
      </c>
      <c r="W198" s="417">
        <f t="shared" si="98"/>
        <v>1.3833790318354992E-2</v>
      </c>
      <c r="X198" s="417">
        <f t="shared" ref="X198:Y198" si="99">ABS(X128 + X163)*(1-X85)*PowerFactor*$H26</f>
        <v>1.3048312834515938E-2</v>
      </c>
      <c r="Y198" s="417">
        <f t="shared" si="99"/>
        <v>1.3048312834515938E-2</v>
      </c>
      <c r="Z198" s="349"/>
      <c r="AA198" s="349"/>
    </row>
    <row r="199" spans="4:27" x14ac:dyDescent="0.25">
      <c r="F199" s="293" t="s">
        <v>51</v>
      </c>
      <c r="G199" s="293" t="s">
        <v>258</v>
      </c>
      <c r="H199" s="349"/>
      <c r="I199" s="349"/>
      <c r="J199" s="417">
        <f t="shared" ref="J199:K199" si="100">ABS(J129 + J164)*(1-J86)*PowerFactor*$H27</f>
        <v>0</v>
      </c>
      <c r="K199" s="417">
        <f t="shared" si="100"/>
        <v>0</v>
      </c>
      <c r="L199" s="417">
        <f t="shared" ref="L199:M199" si="101">ABS(L129 + L164)*(1-L86)*PowerFactor*$H27</f>
        <v>0</v>
      </c>
      <c r="M199" s="417">
        <f t="shared" si="101"/>
        <v>0</v>
      </c>
      <c r="N199" s="417">
        <f t="shared" ref="N199:P199" si="102">ABS(N129 + N164)*(1-N86)*PowerFactor*$H27</f>
        <v>0</v>
      </c>
      <c r="O199" s="417">
        <f t="shared" si="102"/>
        <v>0</v>
      </c>
      <c r="P199" s="417">
        <f t="shared" si="102"/>
        <v>0</v>
      </c>
      <c r="Q199" s="417">
        <f t="shared" ref="Q199:S199" si="103">ABS(Q129 + Q164)*(1-Q86)*PowerFactor*$H27</f>
        <v>0</v>
      </c>
      <c r="R199" s="417">
        <f t="shared" si="103"/>
        <v>0</v>
      </c>
      <c r="S199" s="417">
        <f t="shared" si="103"/>
        <v>0</v>
      </c>
      <c r="T199" s="417">
        <f t="shared" ref="T199:U199" si="104">ABS(T129 + T164)*(1-T86)*PowerFactor*$H27</f>
        <v>0</v>
      </c>
      <c r="U199" s="417">
        <f t="shared" si="104"/>
        <v>0</v>
      </c>
      <c r="V199" s="417">
        <f t="shared" ref="V199:W199" si="105">ABS(V129 + V164)*(1-V86)*PowerFactor*$H27</f>
        <v>0</v>
      </c>
      <c r="W199" s="417">
        <f t="shared" si="105"/>
        <v>0</v>
      </c>
      <c r="X199" s="417">
        <f t="shared" ref="X199:Y199" si="106">ABS(X129 + X164)*(1-X86)*PowerFactor*$H27</f>
        <v>0</v>
      </c>
      <c r="Y199" s="417">
        <f t="shared" si="106"/>
        <v>0</v>
      </c>
      <c r="Z199" s="349"/>
      <c r="AA199" s="349"/>
    </row>
    <row r="200" spans="4:27" x14ac:dyDescent="0.25">
      <c r="F200" s="293" t="s">
        <v>48</v>
      </c>
      <c r="G200" s="293" t="s">
        <v>258</v>
      </c>
      <c r="H200" s="349"/>
      <c r="I200" s="349"/>
      <c r="J200" s="417">
        <f t="shared" ref="J200:K200" si="107">ABS(J130 + J165)*(1-J87)*PowerFactor*$H28</f>
        <v>6.5594601969325997E-2</v>
      </c>
      <c r="K200" s="417">
        <f t="shared" si="107"/>
        <v>6.5594601969325997E-2</v>
      </c>
      <c r="L200" s="417">
        <f t="shared" ref="L200:M200" si="108">ABS(L130 + L165)*(1-L87)*PowerFactor*$H28</f>
        <v>4.5135256904740392E-2</v>
      </c>
      <c r="M200" s="417">
        <f t="shared" si="108"/>
        <v>4.5135256904740392E-2</v>
      </c>
      <c r="N200" s="417">
        <f t="shared" ref="N200:P200" si="109">ABS(N130 + N165)*(1-N87)*PowerFactor*$H28</f>
        <v>3.3170564671102416E-2</v>
      </c>
      <c r="O200" s="417">
        <f t="shared" si="109"/>
        <v>0</v>
      </c>
      <c r="P200" s="417">
        <f t="shared" si="109"/>
        <v>0</v>
      </c>
      <c r="Q200" s="417">
        <f t="shared" ref="Q200:S200" si="110">ABS(Q130 + Q165)*(1-Q87)*PowerFactor*$H28</f>
        <v>6.0953546805872241E-2</v>
      </c>
      <c r="R200" s="417">
        <f t="shared" si="110"/>
        <v>3.1382665280978307E-2</v>
      </c>
      <c r="S200" s="417">
        <f t="shared" si="110"/>
        <v>3.0113513376232862E-2</v>
      </c>
      <c r="T200" s="417">
        <f t="shared" ref="T200:U200" si="111">ABS(T130 + T165)*(1-T87)*PowerFactor*$H28</f>
        <v>3.1382665280978307E-2</v>
      </c>
      <c r="U200" s="417">
        <f t="shared" si="111"/>
        <v>3.1382665280978307E-2</v>
      </c>
      <c r="V200" s="417">
        <f t="shared" ref="V200:W200" si="112">ABS(V130 + V165)*(1-V87)*PowerFactor*$H28</f>
        <v>3.0113513376232862E-2</v>
      </c>
      <c r="W200" s="417">
        <f t="shared" si="112"/>
        <v>3.0113513376232862E-2</v>
      </c>
      <c r="X200" s="417">
        <f t="shared" ref="X200:Y200" si="113">ABS(X130 + X165)*(1-X87)*PowerFactor*$H28</f>
        <v>2.7897223577126144E-2</v>
      </c>
      <c r="Y200" s="417">
        <f t="shared" si="113"/>
        <v>2.7897223577126144E-2</v>
      </c>
      <c r="Z200" s="349"/>
      <c r="AA200" s="349"/>
    </row>
    <row r="201" spans="4:27" x14ac:dyDescent="0.25">
      <c r="F201" s="293" t="s">
        <v>49</v>
      </c>
      <c r="G201" s="293" t="s">
        <v>258</v>
      </c>
      <c r="H201" s="349"/>
      <c r="I201" s="349"/>
      <c r="J201" s="417">
        <f t="shared" ref="J201:K201" si="114">ABS(J131 + J166)*(1-J88)*PowerFactor*$H29</f>
        <v>2.1723706128629536E-2</v>
      </c>
      <c r="K201" s="417">
        <f t="shared" si="114"/>
        <v>2.1723706128629536E-2</v>
      </c>
      <c r="L201" s="417">
        <f t="shared" ref="L201:M201" si="115">ABS(L131 + L166)*(1-L88)*PowerFactor*$H29</f>
        <v>1.4947953453506605E-2</v>
      </c>
      <c r="M201" s="417">
        <f t="shared" si="115"/>
        <v>1.4947953453506605E-2</v>
      </c>
      <c r="N201" s="417">
        <f t="shared" ref="N201:P201" si="116">ABS(N131 + N166)*(1-N88)*PowerFactor*$H29</f>
        <v>0</v>
      </c>
      <c r="O201" s="417">
        <f t="shared" si="116"/>
        <v>0</v>
      </c>
      <c r="P201" s="417">
        <f t="shared" si="116"/>
        <v>0</v>
      </c>
      <c r="Q201" s="417">
        <f t="shared" ref="Q201:S201" si="117">ABS(Q131 + Q166)*(1-Q88)*PowerFactor*$H29</f>
        <v>2.0186675405510352E-2</v>
      </c>
      <c r="R201" s="417">
        <f t="shared" si="117"/>
        <v>1.0393352160531801E-2</v>
      </c>
      <c r="S201" s="417">
        <f t="shared" si="117"/>
        <v>9.9730327716867646E-3</v>
      </c>
      <c r="T201" s="417">
        <f t="shared" ref="T201:U201" si="118">ABS(T131 + T166)*(1-T88)*PowerFactor*$H29</f>
        <v>1.0393352160531801E-2</v>
      </c>
      <c r="U201" s="417">
        <f t="shared" si="118"/>
        <v>1.0393352160531801E-2</v>
      </c>
      <c r="V201" s="417">
        <f t="shared" ref="V201:W201" si="119">ABS(V131 + V166)*(1-V88)*PowerFactor*$H29</f>
        <v>9.9730327716867646E-3</v>
      </c>
      <c r="W201" s="417">
        <f t="shared" si="119"/>
        <v>9.9730327716867646E-3</v>
      </c>
      <c r="X201" s="417">
        <f t="shared" ref="X201:Y201" si="120">ABS(X131 + X166)*(1-X88)*PowerFactor*$H29</f>
        <v>0</v>
      </c>
      <c r="Y201" s="417">
        <f t="shared" si="120"/>
        <v>0</v>
      </c>
      <c r="Z201" s="349"/>
      <c r="AA201" s="349"/>
    </row>
    <row r="202" spans="4:27" x14ac:dyDescent="0.25">
      <c r="F202" s="293" t="s">
        <v>50</v>
      </c>
      <c r="G202" s="293" t="s">
        <v>258</v>
      </c>
      <c r="H202" s="349"/>
      <c r="I202" s="349"/>
      <c r="J202" s="417">
        <f t="shared" ref="J202:K202" si="121">ABS(J132 + J167)*(1-J89)*PowerFactor*$H30</f>
        <v>0</v>
      </c>
      <c r="K202" s="417">
        <f t="shared" si="121"/>
        <v>0</v>
      </c>
      <c r="L202" s="417">
        <f t="shared" ref="L202:M202" si="122">ABS(L132 + L167)*(1-L89)*PowerFactor*$H30</f>
        <v>0</v>
      </c>
      <c r="M202" s="417">
        <f t="shared" si="122"/>
        <v>0</v>
      </c>
      <c r="N202" s="417">
        <f t="shared" ref="N202:P202" si="123">ABS(N132 + N167)*(1-N89)*PowerFactor*$H30</f>
        <v>0</v>
      </c>
      <c r="O202" s="417">
        <f t="shared" si="123"/>
        <v>0</v>
      </c>
      <c r="P202" s="417">
        <f t="shared" si="123"/>
        <v>0</v>
      </c>
      <c r="Q202" s="417">
        <f t="shared" ref="Q202:S202" si="124">ABS(Q132 + Q167)*(1-Q89)*PowerFactor*$H30</f>
        <v>4.0596466977612759E-3</v>
      </c>
      <c r="R202" s="417">
        <f t="shared" si="124"/>
        <v>2.0901578357799045E-3</v>
      </c>
      <c r="S202" s="417">
        <f t="shared" si="124"/>
        <v>0</v>
      </c>
      <c r="T202" s="417">
        <f t="shared" ref="T202:U202" si="125">ABS(T132 + T167)*(1-T89)*PowerFactor*$H30</f>
        <v>2.0901578357799045E-3</v>
      </c>
      <c r="U202" s="417">
        <f t="shared" si="125"/>
        <v>2.0901578357799045E-3</v>
      </c>
      <c r="V202" s="417">
        <f t="shared" ref="V202:W202" si="126">ABS(V132 + V167)*(1-V89)*PowerFactor*$H30</f>
        <v>0</v>
      </c>
      <c r="W202" s="417">
        <f t="shared" si="126"/>
        <v>0</v>
      </c>
      <c r="X202" s="417">
        <f t="shared" ref="X202:Y202" si="127">ABS(X132 + X167)*(1-X89)*PowerFactor*$H30</f>
        <v>0</v>
      </c>
      <c r="Y202" s="417">
        <f t="shared" si="127"/>
        <v>0</v>
      </c>
      <c r="Z202" s="349"/>
      <c r="AA202" s="349"/>
    </row>
    <row r="203" spans="4:27" x14ac:dyDescent="0.25">
      <c r="F203" s="293" t="s">
        <v>124</v>
      </c>
      <c r="G203" s="293" t="s">
        <v>258</v>
      </c>
      <c r="H203" s="349"/>
      <c r="I203" s="349"/>
      <c r="J203" s="418"/>
      <c r="K203" s="418"/>
      <c r="L203" s="418"/>
      <c r="M203" s="418"/>
      <c r="N203" s="418"/>
      <c r="O203" s="418"/>
      <c r="P203" s="418"/>
      <c r="Q203" s="418"/>
      <c r="R203" s="418"/>
      <c r="S203" s="418"/>
      <c r="T203" s="418"/>
      <c r="U203" s="418"/>
      <c r="V203" s="418"/>
      <c r="W203" s="418"/>
      <c r="X203" s="418"/>
      <c r="Y203" s="418"/>
      <c r="Z203" s="349"/>
      <c r="AA203" s="349"/>
    </row>
    <row r="204" spans="4:27" x14ac:dyDescent="0.25">
      <c r="F204" s="93" t="s">
        <v>123</v>
      </c>
      <c r="G204" s="93" t="s">
        <v>258</v>
      </c>
      <c r="H204" s="351"/>
      <c r="I204" s="351"/>
      <c r="J204" s="356"/>
      <c r="K204" s="356"/>
      <c r="L204" s="356"/>
      <c r="M204" s="356"/>
      <c r="N204" s="356"/>
      <c r="O204" s="356"/>
      <c r="P204" s="356"/>
      <c r="Q204" s="356"/>
      <c r="R204" s="356"/>
      <c r="S204" s="356"/>
      <c r="T204" s="356"/>
      <c r="U204" s="356"/>
      <c r="V204" s="356"/>
      <c r="W204" s="356"/>
      <c r="X204" s="356"/>
      <c r="Y204" s="356"/>
      <c r="Z204" s="349"/>
      <c r="AA204" s="349"/>
    </row>
    <row r="205" spans="4:27" x14ac:dyDescent="0.25">
      <c r="D205" s="293"/>
      <c r="J205" s="252"/>
      <c r="K205" s="252"/>
      <c r="L205" s="252"/>
      <c r="M205" s="252"/>
      <c r="N205" s="252"/>
      <c r="O205" s="252"/>
      <c r="P205" s="252"/>
      <c r="Q205" s="252"/>
      <c r="R205" s="252"/>
      <c r="S205" s="252"/>
      <c r="T205" s="252"/>
      <c r="U205" s="252"/>
      <c r="V205" s="252"/>
      <c r="W205" s="252"/>
      <c r="X205" s="252"/>
      <c r="Y205" s="252"/>
    </row>
    <row r="206" spans="4:27" x14ac:dyDescent="0.25">
      <c r="E206" s="96" t="s">
        <v>116</v>
      </c>
      <c r="J206" s="252"/>
      <c r="K206" s="252"/>
      <c r="L206" s="252"/>
      <c r="M206" s="252"/>
      <c r="N206" s="252"/>
      <c r="O206" s="252"/>
      <c r="P206" s="252"/>
      <c r="Q206" s="252"/>
      <c r="R206" s="252"/>
      <c r="S206" s="252"/>
      <c r="T206" s="252"/>
      <c r="U206" s="252"/>
      <c r="V206" s="252"/>
      <c r="W206" s="252"/>
      <c r="X206" s="252"/>
      <c r="Y206" s="252"/>
    </row>
    <row r="207" spans="4:27" x14ac:dyDescent="0.25">
      <c r="F207" s="91" t="s">
        <v>267</v>
      </c>
      <c r="G207" s="91" t="s">
        <v>258</v>
      </c>
      <c r="H207" s="347"/>
      <c r="I207" s="347"/>
      <c r="J207" s="530">
        <f t="shared" ref="J207:K207" si="128">ABS(J137 + J172)*(1-J81)*PowerFactor*$H22</f>
        <v>1.5563859599616068E-2</v>
      </c>
      <c r="K207" s="530">
        <f t="shared" si="128"/>
        <v>1.5563859599616068E-2</v>
      </c>
      <c r="L207" s="530">
        <f t="shared" ref="L207:M207" si="129">ABS(L137 + L172)*(1-L81)*PowerFactor*$H22</f>
        <v>1.070939955983697E-2</v>
      </c>
      <c r="M207" s="530">
        <f t="shared" si="129"/>
        <v>1.070939955983697E-2</v>
      </c>
      <c r="N207" s="530">
        <f t="shared" ref="N207:P207" si="130">ABS(N137 + N172)*(1-N81)*PowerFactor*$H22</f>
        <v>9.838119217920601E-3</v>
      </c>
      <c r="O207" s="530">
        <f t="shared" si="130"/>
        <v>7.6026031559986856E-3</v>
      </c>
      <c r="P207" s="530">
        <f t="shared" si="130"/>
        <v>7.6511066772627576E-3</v>
      </c>
      <c r="Q207" s="530">
        <f t="shared" ref="Q207:S207" si="131">ABS(Q137 + Q172)*(1-Q81)*PowerFactor*$H22</f>
        <v>1.4462660281540385E-2</v>
      </c>
      <c r="R207" s="530">
        <f t="shared" si="131"/>
        <v>7.4462742608499876E-3</v>
      </c>
      <c r="S207" s="530">
        <f t="shared" si="131"/>
        <v>7.1451381694185544E-3</v>
      </c>
      <c r="T207" s="530">
        <f t="shared" ref="T207:U207" si="132">ABS(T137 + T172)*(1-T81)*PowerFactor*$H22</f>
        <v>7.4462742608499876E-3</v>
      </c>
      <c r="U207" s="530">
        <f t="shared" si="132"/>
        <v>7.4462742608499876E-3</v>
      </c>
      <c r="V207" s="530">
        <f t="shared" ref="V207:W207" si="133">ABS(V137 + V172)*(1-V81)*PowerFactor*$H22</f>
        <v>7.1451381694185544E-3</v>
      </c>
      <c r="W207" s="530">
        <f t="shared" si="133"/>
        <v>7.1451381694185544E-3</v>
      </c>
      <c r="X207" s="530">
        <f t="shared" ref="X207:Y207" si="134">ABS(X137 + X172)*(1-X81)*PowerFactor*$H22</f>
        <v>7.0424781382487471E-3</v>
      </c>
      <c r="Y207" s="530">
        <f t="shared" si="134"/>
        <v>7.0424781382487471E-3</v>
      </c>
      <c r="Z207" s="349"/>
      <c r="AA207" s="349"/>
    </row>
    <row r="208" spans="4:27" x14ac:dyDescent="0.25">
      <c r="F208" s="293" t="s">
        <v>43</v>
      </c>
      <c r="G208" s="293" t="s">
        <v>258</v>
      </c>
      <c r="H208" s="349"/>
      <c r="I208" s="349"/>
      <c r="J208" s="417">
        <f t="shared" ref="J208:K208" si="135">ABS(J138 + J173)*(1-J81)*PowerFactor*$H22</f>
        <v>0</v>
      </c>
      <c r="K208" s="417">
        <f t="shared" si="135"/>
        <v>0</v>
      </c>
      <c r="L208" s="417">
        <f t="shared" ref="L208:M208" si="136">ABS(L138 + L173)*(1-L81)*PowerFactor*$H22</f>
        <v>0</v>
      </c>
      <c r="M208" s="417">
        <f t="shared" si="136"/>
        <v>0</v>
      </c>
      <c r="N208" s="417">
        <f t="shared" ref="N208:P208" si="137">ABS(N138 + N173)*(1-N81)*PowerFactor*$H22</f>
        <v>0</v>
      </c>
      <c r="O208" s="417">
        <f t="shared" si="137"/>
        <v>0</v>
      </c>
      <c r="P208" s="417">
        <f t="shared" si="137"/>
        <v>0</v>
      </c>
      <c r="Q208" s="417">
        <f t="shared" ref="Q208:S208" si="138">ABS(Q138 + Q173)*(1-Q81)*PowerFactor*$H22</f>
        <v>0</v>
      </c>
      <c r="R208" s="417">
        <f t="shared" si="138"/>
        <v>0</v>
      </c>
      <c r="S208" s="417">
        <f t="shared" si="138"/>
        <v>0</v>
      </c>
      <c r="T208" s="417">
        <f t="shared" ref="T208:U208" si="139">ABS(T138 + T173)*(1-T81)*PowerFactor*$H22</f>
        <v>0</v>
      </c>
      <c r="U208" s="417">
        <f t="shared" si="139"/>
        <v>0</v>
      </c>
      <c r="V208" s="417">
        <f t="shared" ref="V208:W208" si="140">ABS(V138 + V173)*(1-V81)*PowerFactor*$H22</f>
        <v>0</v>
      </c>
      <c r="W208" s="417">
        <f t="shared" si="140"/>
        <v>0</v>
      </c>
      <c r="X208" s="417">
        <f t="shared" ref="X208:Y208" si="141">ABS(X138 + X173)*(1-X81)*PowerFactor*$H22</f>
        <v>0</v>
      </c>
      <c r="Y208" s="417">
        <f t="shared" si="141"/>
        <v>0</v>
      </c>
      <c r="Z208" s="349"/>
      <c r="AA208" s="349"/>
    </row>
    <row r="209" spans="3:27" x14ac:dyDescent="0.25">
      <c r="F209" s="293" t="s">
        <v>44</v>
      </c>
      <c r="G209" s="293" t="s">
        <v>258</v>
      </c>
      <c r="H209" s="349"/>
      <c r="I209" s="349"/>
      <c r="J209" s="417">
        <f t="shared" ref="J209:K209" si="142">ABS(J139 + J174)*(1-J82)*PowerFactor*$H23</f>
        <v>3.4439727799076891E-2</v>
      </c>
      <c r="K209" s="417">
        <f t="shared" si="142"/>
        <v>3.4439727799076891E-2</v>
      </c>
      <c r="L209" s="417">
        <f t="shared" ref="L209:M209" si="143">ABS(L139 + L174)*(1-L82)*PowerFactor*$H23</f>
        <v>2.3697772610428686E-2</v>
      </c>
      <c r="M209" s="417">
        <f t="shared" si="143"/>
        <v>2.3697772610428686E-2</v>
      </c>
      <c r="N209" s="417">
        <f t="shared" ref="N209:P209" si="144">ABS(N139 + N174)*(1-N82)*PowerFactor*$H23</f>
        <v>2.176980239068791E-2</v>
      </c>
      <c r="O209" s="417">
        <f t="shared" si="144"/>
        <v>1.6823049680007179E-2</v>
      </c>
      <c r="P209" s="417">
        <f t="shared" si="144"/>
        <v>1.693037833193568E-2</v>
      </c>
      <c r="Q209" s="417">
        <f t="shared" ref="Q209:S209" si="145">ABS(Q139 + Q174)*(1-Q82)*PowerFactor*$H23</f>
        <v>3.2002992584118324E-2</v>
      </c>
      <c r="R209" s="417">
        <f t="shared" si="145"/>
        <v>1.6477124907196685E-2</v>
      </c>
      <c r="S209" s="417">
        <f t="shared" si="145"/>
        <v>1.5810770591096819E-2</v>
      </c>
      <c r="T209" s="417">
        <f t="shared" ref="T209:U209" si="146">ABS(T139 + T174)*(1-T82)*PowerFactor*$H23</f>
        <v>1.6477124907196685E-2</v>
      </c>
      <c r="U209" s="417">
        <f t="shared" si="146"/>
        <v>1.6477124907196685E-2</v>
      </c>
      <c r="V209" s="417">
        <f t="shared" ref="V209:W209" si="147">ABS(V139 + V174)*(1-V82)*PowerFactor*$H23</f>
        <v>1.5810770591096819E-2</v>
      </c>
      <c r="W209" s="417">
        <f t="shared" si="147"/>
        <v>1.5810770591096819E-2</v>
      </c>
      <c r="X209" s="417">
        <f t="shared" ref="X209:Y209" si="148">ABS(X139 + X174)*(1-X82)*PowerFactor*$H23</f>
        <v>1.5583604346971862E-2</v>
      </c>
      <c r="Y209" s="417">
        <f t="shared" si="148"/>
        <v>1.5583604346971862E-2</v>
      </c>
      <c r="Z209" s="349"/>
      <c r="AA209" s="349"/>
    </row>
    <row r="210" spans="3:27" x14ac:dyDescent="0.25">
      <c r="F210" s="293" t="s">
        <v>45</v>
      </c>
      <c r="G210" s="293" t="s">
        <v>258</v>
      </c>
      <c r="H210" s="349"/>
      <c r="I210" s="349"/>
      <c r="J210" s="417">
        <f t="shared" ref="J210:K210" si="149">ABS(J140 + J175)*(1-J83)*PowerFactor*$H24</f>
        <v>8.9112060195494537E-3</v>
      </c>
      <c r="K210" s="417">
        <f t="shared" si="149"/>
        <v>8.9112060195494537E-3</v>
      </c>
      <c r="L210" s="417">
        <f t="shared" ref="L210:M210" si="150">ABS(L140 + L175)*(1-L83)*PowerFactor*$H24</f>
        <v>6.1317480546877754E-3</v>
      </c>
      <c r="M210" s="417">
        <f t="shared" si="150"/>
        <v>6.1317480546877754E-3</v>
      </c>
      <c r="N210" s="417">
        <f t="shared" ref="N210:P210" si="151">ABS(N140 + N175)*(1-N83)*PowerFactor*$H24</f>
        <v>5.6328898776458946E-3</v>
      </c>
      <c r="O210" s="417">
        <f t="shared" si="151"/>
        <v>4.3529281778956945E-3</v>
      </c>
      <c r="P210" s="417">
        <f t="shared" si="151"/>
        <v>4.3806992373743069E-3</v>
      </c>
      <c r="Q210" s="417">
        <f t="shared" ref="Q210:S210" si="152">ABS(Q140 + Q175)*(1-Q83)*PowerFactor*$H24</f>
        <v>8.2807059864984066E-3</v>
      </c>
      <c r="R210" s="417">
        <f t="shared" si="152"/>
        <v>4.263420881677667E-3</v>
      </c>
      <c r="S210" s="417">
        <f t="shared" si="152"/>
        <v>4.0910031254333505E-3</v>
      </c>
      <c r="T210" s="417">
        <f t="shared" ref="T210:U210" si="153">ABS(T140 + T175)*(1-T83)*PowerFactor*$H24</f>
        <v>4.263420881677667E-3</v>
      </c>
      <c r="U210" s="417">
        <f t="shared" si="153"/>
        <v>4.263420881677667E-3</v>
      </c>
      <c r="V210" s="417">
        <f t="shared" ref="V210:W210" si="154">ABS(V140 + V175)*(1-V83)*PowerFactor*$H24</f>
        <v>4.0910031254333505E-3</v>
      </c>
      <c r="W210" s="417">
        <f t="shared" si="154"/>
        <v>4.0910031254333505E-3</v>
      </c>
      <c r="X210" s="417">
        <f t="shared" ref="X210:Y210" si="155">ABS(X140 + X175)*(1-X83)*PowerFactor*$H24</f>
        <v>4.0322243448955141E-3</v>
      </c>
      <c r="Y210" s="417">
        <f t="shared" si="155"/>
        <v>4.0322243448955141E-3</v>
      </c>
      <c r="Z210" s="349"/>
      <c r="AA210" s="349"/>
    </row>
    <row r="211" spans="3:27" x14ac:dyDescent="0.25">
      <c r="F211" s="293" t="s">
        <v>46</v>
      </c>
      <c r="G211" s="293" t="s">
        <v>258</v>
      </c>
      <c r="H211" s="349"/>
      <c r="I211" s="349"/>
      <c r="J211" s="417">
        <f t="shared" ref="J211:K211" si="156">ABS(J141 + J176)*(1-J84)*PowerFactor*$H25</f>
        <v>2.4550207596415644E-2</v>
      </c>
      <c r="K211" s="417">
        <f t="shared" si="156"/>
        <v>2.4550207596415644E-2</v>
      </c>
      <c r="L211" s="417">
        <f t="shared" ref="L211:M211" si="157">ABS(L141 + L176)*(1-L84)*PowerFactor*$H25</f>
        <v>1.6892852363782934E-2</v>
      </c>
      <c r="M211" s="417">
        <f t="shared" si="157"/>
        <v>1.6892852363782934E-2</v>
      </c>
      <c r="N211" s="417">
        <f t="shared" ref="N211:P211" si="158">ABS(N141 + N176)*(1-N84)*PowerFactor*$H25</f>
        <v>1.5518507322193731E-2</v>
      </c>
      <c r="O211" s="417">
        <f t="shared" si="158"/>
        <v>1.1992236537364856E-2</v>
      </c>
      <c r="P211" s="417">
        <f t="shared" si="158"/>
        <v>9.6549962336466306E-3</v>
      </c>
      <c r="Q211" s="417">
        <f t="shared" ref="Q211:S211" si="159">ABS(Q141 + Q176)*(1-Q84)*PowerFactor*$H25</f>
        <v>2.2813191678817919E-2</v>
      </c>
      <c r="R211" s="417">
        <f t="shared" si="159"/>
        <v>1.1745645593476264E-2</v>
      </c>
      <c r="S211" s="417">
        <f t="shared" si="159"/>
        <v>1.1270637867269503E-2</v>
      </c>
      <c r="T211" s="417">
        <f t="shared" ref="T211:U211" si="160">ABS(T141 + T176)*(1-T84)*PowerFactor*$H25</f>
        <v>1.1745645593476264E-2</v>
      </c>
      <c r="U211" s="417">
        <f t="shared" si="160"/>
        <v>1.1745645593476264E-2</v>
      </c>
      <c r="V211" s="417">
        <f t="shared" ref="V211:W211" si="161">ABS(V141 + V176)*(1-V84)*PowerFactor*$H25</f>
        <v>1.1270637867269503E-2</v>
      </c>
      <c r="W211" s="417">
        <f t="shared" si="161"/>
        <v>1.1270637867269503E-2</v>
      </c>
      <c r="X211" s="417">
        <f t="shared" ref="X211:Y211" si="162">ABS(X141 + X176)*(1-X84)*PowerFactor*$H25</f>
        <v>1.1108703415153558E-2</v>
      </c>
      <c r="Y211" s="417">
        <f t="shared" si="162"/>
        <v>1.1108703415153558E-2</v>
      </c>
      <c r="Z211" s="349"/>
      <c r="AA211" s="349"/>
    </row>
    <row r="212" spans="3:27" x14ac:dyDescent="0.25">
      <c r="F212" s="293" t="s">
        <v>47</v>
      </c>
      <c r="G212" s="293" t="s">
        <v>258</v>
      </c>
      <c r="H212" s="349"/>
      <c r="I212" s="349"/>
      <c r="J212" s="417">
        <f t="shared" ref="J212:K212" si="163">ABS(J142 + J177)*(1-J85)*PowerFactor*$H26</f>
        <v>1.7369079314436254E-2</v>
      </c>
      <c r="K212" s="417">
        <f t="shared" si="163"/>
        <v>1.7369079314436254E-2</v>
      </c>
      <c r="L212" s="417">
        <f t="shared" ref="L212:M212" si="164">ABS(L142 + L177)*(1-L85)*PowerFactor*$H26</f>
        <v>1.1951560547962387E-2</v>
      </c>
      <c r="M212" s="417">
        <f t="shared" si="164"/>
        <v>1.1951560547962387E-2</v>
      </c>
      <c r="N212" s="417">
        <f t="shared" ref="N212:P212" si="165">ABS(N142 + N177)*(1-N85)*PowerFactor*$H26</f>
        <v>1.0979222210739924E-2</v>
      </c>
      <c r="O212" s="417">
        <f t="shared" si="165"/>
        <v>8.4844132888465557E-3</v>
      </c>
      <c r="P212" s="417">
        <f t="shared" si="165"/>
        <v>0</v>
      </c>
      <c r="Q212" s="417">
        <f t="shared" ref="Q212:S212" si="166">ABS(Q142 + Q177)*(1-Q85)*PowerFactor*$H26</f>
        <v>1.6140154177053789E-2</v>
      </c>
      <c r="R212" s="417">
        <f t="shared" si="166"/>
        <v>8.3099521301862114E-3</v>
      </c>
      <c r="S212" s="417">
        <f t="shared" si="166"/>
        <v>7.9738878896272111E-3</v>
      </c>
      <c r="T212" s="417">
        <f t="shared" ref="T212:U212" si="167">ABS(T142 + T177)*(1-T85)*PowerFactor*$H26</f>
        <v>8.3099521301862114E-3</v>
      </c>
      <c r="U212" s="417">
        <f t="shared" si="167"/>
        <v>8.3099521301862114E-3</v>
      </c>
      <c r="V212" s="417">
        <f t="shared" ref="V212:W212" si="168">ABS(V142 + V177)*(1-V85)*PowerFactor*$H26</f>
        <v>7.9738878896272111E-3</v>
      </c>
      <c r="W212" s="417">
        <f t="shared" si="168"/>
        <v>7.9738878896272111E-3</v>
      </c>
      <c r="X212" s="417">
        <f t="shared" ref="X212:Y212" si="169">ABS(X142 + X177)*(1-X85)*PowerFactor*$H26</f>
        <v>7.8593205348911847E-3</v>
      </c>
      <c r="Y212" s="417">
        <f t="shared" si="169"/>
        <v>7.8593205348911847E-3</v>
      </c>
      <c r="Z212" s="349"/>
      <c r="AA212" s="349"/>
    </row>
    <row r="213" spans="3:27" x14ac:dyDescent="0.25">
      <c r="F213" s="293" t="s">
        <v>51</v>
      </c>
      <c r="G213" s="293" t="s">
        <v>258</v>
      </c>
      <c r="H213" s="349"/>
      <c r="I213" s="349"/>
      <c r="J213" s="417">
        <f t="shared" ref="J213:K213" si="170">ABS(J143 + J178)*(1-J86)*PowerFactor*$H27</f>
        <v>0</v>
      </c>
      <c r="K213" s="417">
        <f t="shared" si="170"/>
        <v>0</v>
      </c>
      <c r="L213" s="417">
        <f t="shared" ref="L213:M213" si="171">ABS(L143 + L178)*(1-L86)*PowerFactor*$H27</f>
        <v>0</v>
      </c>
      <c r="M213" s="417">
        <f t="shared" si="171"/>
        <v>0</v>
      </c>
      <c r="N213" s="417">
        <f t="shared" ref="N213:P213" si="172">ABS(N143 + N178)*(1-N86)*PowerFactor*$H27</f>
        <v>0</v>
      </c>
      <c r="O213" s="417">
        <f t="shared" si="172"/>
        <v>0</v>
      </c>
      <c r="P213" s="417">
        <f t="shared" si="172"/>
        <v>0</v>
      </c>
      <c r="Q213" s="417">
        <f t="shared" ref="Q213:S213" si="173">ABS(Q143 + Q178)*(1-Q86)*PowerFactor*$H27</f>
        <v>0</v>
      </c>
      <c r="R213" s="417">
        <f t="shared" si="173"/>
        <v>0</v>
      </c>
      <c r="S213" s="417">
        <f t="shared" si="173"/>
        <v>0</v>
      </c>
      <c r="T213" s="417">
        <f t="shared" ref="T213:U213" si="174">ABS(T143 + T178)*(1-T86)*PowerFactor*$H27</f>
        <v>0</v>
      </c>
      <c r="U213" s="417">
        <f t="shared" si="174"/>
        <v>0</v>
      </c>
      <c r="V213" s="417">
        <f t="shared" ref="V213:W213" si="175">ABS(V143 + V178)*(1-V86)*PowerFactor*$H27</f>
        <v>0</v>
      </c>
      <c r="W213" s="417">
        <f t="shared" si="175"/>
        <v>0</v>
      </c>
      <c r="X213" s="417">
        <f t="shared" ref="X213:Y213" si="176">ABS(X143 + X178)*(1-X86)*PowerFactor*$H27</f>
        <v>0</v>
      </c>
      <c r="Y213" s="417">
        <f t="shared" si="176"/>
        <v>0</v>
      </c>
      <c r="Z213" s="349"/>
      <c r="AA213" s="349"/>
    </row>
    <row r="214" spans="3:27" x14ac:dyDescent="0.25">
      <c r="F214" s="293" t="s">
        <v>48</v>
      </c>
      <c r="G214" s="293" t="s">
        <v>258</v>
      </c>
      <c r="H214" s="349"/>
      <c r="I214" s="349"/>
      <c r="J214" s="417">
        <f t="shared" ref="J214:K214" si="177">ABS(J144 + J179)*(1-J87)*PowerFactor*$H28</f>
        <v>5.6212349727845119E-2</v>
      </c>
      <c r="K214" s="417">
        <f t="shared" si="177"/>
        <v>5.6212349727845119E-2</v>
      </c>
      <c r="L214" s="417">
        <f t="shared" ref="L214:M214" si="178">ABS(L144 + L179)*(1-L87)*PowerFactor*$H28</f>
        <v>3.8679384736138106E-2</v>
      </c>
      <c r="M214" s="417">
        <f t="shared" si="178"/>
        <v>3.8679384736138106E-2</v>
      </c>
      <c r="N214" s="417">
        <f t="shared" ref="N214:P214" si="179">ABS(N144 + N179)*(1-N87)*PowerFactor*$H28</f>
        <v>2.8426049186700664E-2</v>
      </c>
      <c r="O214" s="417">
        <f t="shared" si="179"/>
        <v>0</v>
      </c>
      <c r="P214" s="417">
        <f t="shared" si="179"/>
        <v>0</v>
      </c>
      <c r="Q214" s="417">
        <f t="shared" ref="Q214:S214" si="180">ABS(Q144 + Q179)*(1-Q87)*PowerFactor*$H28</f>
        <v>5.2235122820114478E-2</v>
      </c>
      <c r="R214" s="417">
        <f t="shared" si="180"/>
        <v>2.6893880032859994E-2</v>
      </c>
      <c r="S214" s="417">
        <f t="shared" si="180"/>
        <v>2.5806259884472271E-2</v>
      </c>
      <c r="T214" s="417">
        <f t="shared" ref="T214:U214" si="181">ABS(T144 + T179)*(1-T87)*PowerFactor*$H28</f>
        <v>2.6893880032859994E-2</v>
      </c>
      <c r="U214" s="417">
        <f t="shared" si="181"/>
        <v>2.6893880032859994E-2</v>
      </c>
      <c r="V214" s="417">
        <f t="shared" ref="V214:W214" si="182">ABS(V144 + V179)*(1-V87)*PowerFactor*$H28</f>
        <v>2.5806259884472271E-2</v>
      </c>
      <c r="W214" s="417">
        <f t="shared" si="182"/>
        <v>2.5806259884472271E-2</v>
      </c>
      <c r="X214" s="417">
        <f t="shared" ref="X214:Y214" si="183">ABS(X144 + X179)*(1-X87)*PowerFactor*$H28</f>
        <v>2.5435480288431008E-2</v>
      </c>
      <c r="Y214" s="417">
        <f t="shared" si="183"/>
        <v>2.5435480288431008E-2</v>
      </c>
      <c r="Z214" s="349"/>
      <c r="AA214" s="349"/>
    </row>
    <row r="215" spans="3:27" x14ac:dyDescent="0.25">
      <c r="F215" s="293" t="s">
        <v>49</v>
      </c>
      <c r="G215" s="293" t="s">
        <v>258</v>
      </c>
      <c r="H215" s="349"/>
      <c r="I215" s="349"/>
      <c r="J215" s="417">
        <f t="shared" ref="J215:K215" si="184">ABS(J145 + J180)*(1-J88)*PowerFactor*$H29</f>
        <v>2.1190919036504732E-2</v>
      </c>
      <c r="K215" s="417">
        <f t="shared" si="184"/>
        <v>2.1190919036504732E-2</v>
      </c>
      <c r="L215" s="417">
        <f t="shared" ref="L215:M215" si="185">ABS(L145 + L180)*(1-L88)*PowerFactor*$H29</f>
        <v>1.4581345812685366E-2</v>
      </c>
      <c r="M215" s="417">
        <f t="shared" si="185"/>
        <v>1.4581345812685366E-2</v>
      </c>
      <c r="N215" s="417">
        <f t="shared" ref="N215:P215" si="186">ABS(N145 + N180)*(1-N88)*PowerFactor*$H29</f>
        <v>0</v>
      </c>
      <c r="O215" s="417">
        <f t="shared" si="186"/>
        <v>0</v>
      </c>
      <c r="P215" s="417">
        <f t="shared" si="186"/>
        <v>0</v>
      </c>
      <c r="Q215" s="417">
        <f t="shared" ref="Q215:S215" si="187">ABS(Q145 + Q180)*(1-Q88)*PowerFactor*$H29</f>
        <v>1.9691584925769657E-2</v>
      </c>
      <c r="R215" s="417">
        <f t="shared" si="187"/>
        <v>1.0138448883795748E-2</v>
      </c>
      <c r="S215" s="417">
        <f t="shared" si="187"/>
        <v>9.7284380833481243E-3</v>
      </c>
      <c r="T215" s="417">
        <f t="shared" ref="T215:U215" si="188">ABS(T145 + T180)*(1-T88)*PowerFactor*$H29</f>
        <v>1.0138448883795748E-2</v>
      </c>
      <c r="U215" s="417">
        <f t="shared" si="188"/>
        <v>1.0138448883795748E-2</v>
      </c>
      <c r="V215" s="417">
        <f t="shared" ref="V215:W215" si="189">ABS(V145 + V180)*(1-V88)*PowerFactor*$H29</f>
        <v>9.7284380833481243E-3</v>
      </c>
      <c r="W215" s="417">
        <f t="shared" si="189"/>
        <v>9.7284380833481243E-3</v>
      </c>
      <c r="X215" s="417">
        <f t="shared" ref="X215:Y215" si="190">ABS(X145 + X180)*(1-X88)*PowerFactor*$H29</f>
        <v>0</v>
      </c>
      <c r="Y215" s="417">
        <f t="shared" si="190"/>
        <v>0</v>
      </c>
      <c r="Z215" s="349"/>
      <c r="AA215" s="349"/>
    </row>
    <row r="216" spans="3:27" x14ac:dyDescent="0.25">
      <c r="F216" s="293" t="s">
        <v>50</v>
      </c>
      <c r="G216" s="293" t="s">
        <v>258</v>
      </c>
      <c r="H216" s="349"/>
      <c r="I216" s="349"/>
      <c r="J216" s="417">
        <f t="shared" ref="J216:K216" si="191">ABS(J146 + J181)*(1-J89)*PowerFactor*$H30</f>
        <v>0</v>
      </c>
      <c r="K216" s="417">
        <f t="shared" si="191"/>
        <v>0</v>
      </c>
      <c r="L216" s="417">
        <f t="shared" ref="L216:M216" si="192">ABS(L146 + L181)*(1-L89)*PowerFactor*$H30</f>
        <v>0</v>
      </c>
      <c r="M216" s="417">
        <f t="shared" si="192"/>
        <v>0</v>
      </c>
      <c r="N216" s="417">
        <f t="shared" ref="N216:P216" si="193">ABS(N146 + N181)*(1-N89)*PowerFactor*$H30</f>
        <v>0</v>
      </c>
      <c r="O216" s="417">
        <f t="shared" si="193"/>
        <v>0</v>
      </c>
      <c r="P216" s="417">
        <f t="shared" si="193"/>
        <v>0</v>
      </c>
      <c r="Q216" s="417">
        <f t="shared" ref="Q216:S216" si="194">ABS(Q146 + Q181)*(1-Q89)*PowerFactor*$H30</f>
        <v>5.1833256390444803E-2</v>
      </c>
      <c r="R216" s="417">
        <f t="shared" si="194"/>
        <v>2.6686974277397534E-2</v>
      </c>
      <c r="S216" s="417">
        <f t="shared" si="194"/>
        <v>0</v>
      </c>
      <c r="T216" s="417">
        <f t="shared" ref="T216:U216" si="195">ABS(T146 + T181)*(1-T89)*PowerFactor*$H30</f>
        <v>2.6686974277397534E-2</v>
      </c>
      <c r="U216" s="417">
        <f t="shared" si="195"/>
        <v>2.6686974277397534E-2</v>
      </c>
      <c r="V216" s="417">
        <f t="shared" ref="V216:W216" si="196">ABS(V146 + V181)*(1-V89)*PowerFactor*$H30</f>
        <v>0</v>
      </c>
      <c r="W216" s="417">
        <f t="shared" si="196"/>
        <v>0</v>
      </c>
      <c r="X216" s="417">
        <f t="shared" ref="X216:Y216" si="197">ABS(X146 + X181)*(1-X89)*PowerFactor*$H30</f>
        <v>0</v>
      </c>
      <c r="Y216" s="417">
        <f t="shared" si="197"/>
        <v>0</v>
      </c>
      <c r="Z216" s="349"/>
      <c r="AA216" s="349"/>
    </row>
    <row r="217" spans="3:27" x14ac:dyDescent="0.25">
      <c r="F217" s="293" t="s">
        <v>124</v>
      </c>
      <c r="G217" s="293" t="s">
        <v>258</v>
      </c>
      <c r="H217" s="349"/>
      <c r="I217" s="349"/>
      <c r="J217" s="418"/>
      <c r="K217" s="418"/>
      <c r="L217" s="418"/>
      <c r="M217" s="418"/>
      <c r="N217" s="418"/>
      <c r="O217" s="418"/>
      <c r="P217" s="418"/>
      <c r="Q217" s="418"/>
      <c r="R217" s="418"/>
      <c r="S217" s="418"/>
      <c r="T217" s="418"/>
      <c r="U217" s="418"/>
      <c r="V217" s="418"/>
      <c r="W217" s="418"/>
      <c r="X217" s="418"/>
      <c r="Y217" s="418"/>
      <c r="Z217" s="349"/>
      <c r="AA217" s="349"/>
    </row>
    <row r="218" spans="3:27" x14ac:dyDescent="0.25">
      <c r="F218" s="93" t="s">
        <v>123</v>
      </c>
      <c r="G218" s="93" t="s">
        <v>258</v>
      </c>
      <c r="H218" s="351"/>
      <c r="I218" s="351"/>
      <c r="J218" s="356"/>
      <c r="K218" s="356"/>
      <c r="L218" s="356"/>
      <c r="M218" s="356"/>
      <c r="N218" s="356"/>
      <c r="O218" s="356"/>
      <c r="P218" s="356"/>
      <c r="Q218" s="356"/>
      <c r="R218" s="356"/>
      <c r="S218" s="356"/>
      <c r="T218" s="356"/>
      <c r="U218" s="356"/>
      <c r="V218" s="356"/>
      <c r="W218" s="356"/>
      <c r="X218" s="356"/>
      <c r="Y218" s="356"/>
      <c r="Z218" s="349"/>
      <c r="AA218" s="349"/>
    </row>
    <row r="219" spans="3:27" x14ac:dyDescent="0.25">
      <c r="J219" s="252"/>
      <c r="K219" s="252"/>
      <c r="L219" s="252"/>
      <c r="M219" s="252"/>
      <c r="N219" s="252"/>
      <c r="O219" s="252"/>
      <c r="P219" s="252"/>
      <c r="Q219" s="252"/>
      <c r="R219" s="252"/>
      <c r="S219" s="252"/>
      <c r="T219" s="252"/>
      <c r="U219" s="252"/>
      <c r="V219" s="252"/>
      <c r="W219" s="252"/>
      <c r="X219" s="252"/>
      <c r="Y219" s="252"/>
    </row>
    <row r="220" spans="3:27" x14ac:dyDescent="0.25">
      <c r="C220" s="7" t="str">
        <f ca="1">INDEX('Version control'!$H$35:$H$61,MATCH($A$1,'Version control'!$F$35:$F$61,0),1)&amp;"-E: Reactive power charges for applicable customers"</f>
        <v>Section 516-E: Reactive power charges for applicable customers</v>
      </c>
      <c r="D220" s="7"/>
      <c r="E220" s="7"/>
      <c r="F220" s="7"/>
      <c r="G220" s="7"/>
      <c r="H220" s="7"/>
      <c r="I220" s="7"/>
      <c r="J220" s="242"/>
      <c r="K220" s="242"/>
      <c r="L220" s="242"/>
      <c r="M220" s="242"/>
      <c r="N220" s="242"/>
      <c r="O220" s="242"/>
      <c r="P220" s="242"/>
      <c r="Q220" s="242"/>
      <c r="R220" s="242"/>
      <c r="S220" s="242"/>
      <c r="T220" s="242"/>
      <c r="U220" s="242"/>
      <c r="V220" s="242"/>
      <c r="W220" s="242"/>
      <c r="X220" s="242"/>
      <c r="Y220" s="242"/>
      <c r="Z220" s="7"/>
      <c r="AA220" s="7"/>
    </row>
    <row r="221" spans="3:27" x14ac:dyDescent="0.25">
      <c r="D221" s="96"/>
      <c r="E221" s="96"/>
      <c r="J221" s="252"/>
      <c r="K221" s="252"/>
      <c r="L221" s="252"/>
      <c r="M221" s="252"/>
      <c r="N221" s="252"/>
      <c r="O221" s="252"/>
      <c r="P221" s="252"/>
      <c r="Q221" s="252"/>
      <c r="R221" s="252"/>
      <c r="S221" s="252"/>
      <c r="T221" s="252"/>
      <c r="U221" s="252"/>
      <c r="V221" s="252"/>
      <c r="W221" s="252"/>
      <c r="X221" s="252"/>
      <c r="Y221" s="252"/>
    </row>
    <row r="222" spans="3:27" x14ac:dyDescent="0.25">
      <c r="D222" s="293"/>
      <c r="E222" s="96" t="s">
        <v>139</v>
      </c>
      <c r="J222" s="252"/>
      <c r="K222" s="252"/>
      <c r="L222" s="252"/>
      <c r="M222" s="252"/>
      <c r="N222" s="252"/>
      <c r="O222" s="252"/>
      <c r="P222" s="252"/>
      <c r="Q222" s="252"/>
      <c r="R222" s="252"/>
      <c r="S222" s="252"/>
      <c r="T222" s="252"/>
      <c r="U222" s="252"/>
      <c r="V222" s="252"/>
      <c r="W222" s="252"/>
      <c r="X222" s="252"/>
      <c r="Y222" s="252"/>
    </row>
    <row r="223" spans="3:27" x14ac:dyDescent="0.25">
      <c r="D223" s="293"/>
      <c r="F223" s="91" t="s">
        <v>267</v>
      </c>
      <c r="G223" s="91" t="s">
        <v>258</v>
      </c>
      <c r="H223" s="347"/>
      <c r="I223" s="347"/>
      <c r="J223" s="359"/>
      <c r="K223" s="359"/>
      <c r="L223" s="359"/>
      <c r="M223" s="359"/>
      <c r="N223" s="359"/>
      <c r="O223" s="359"/>
      <c r="P223" s="359"/>
      <c r="Q223" s="359"/>
      <c r="R223" s="359"/>
      <c r="S223" s="359"/>
      <c r="T223" s="359"/>
      <c r="U223" s="359"/>
      <c r="V223" s="359"/>
      <c r="W223" s="359"/>
      <c r="X223" s="359"/>
      <c r="Y223" s="359"/>
      <c r="Z223" s="349"/>
      <c r="AA223" s="349"/>
    </row>
    <row r="224" spans="3:27" x14ac:dyDescent="0.25">
      <c r="D224" s="293"/>
      <c r="F224" s="293" t="s">
        <v>43</v>
      </c>
      <c r="G224" s="293" t="s">
        <v>258</v>
      </c>
      <c r="H224" s="349"/>
      <c r="I224" s="349"/>
      <c r="J224" s="418"/>
      <c r="K224" s="418"/>
      <c r="L224" s="418"/>
      <c r="M224" s="418"/>
      <c r="N224" s="418"/>
      <c r="O224" s="418"/>
      <c r="P224" s="418"/>
      <c r="Q224" s="418"/>
      <c r="R224" s="418"/>
      <c r="S224" s="418"/>
      <c r="T224" s="418"/>
      <c r="U224" s="418"/>
      <c r="V224" s="418"/>
      <c r="W224" s="418"/>
      <c r="X224" s="418"/>
      <c r="Y224" s="418"/>
      <c r="Z224" s="349"/>
      <c r="AA224" s="349"/>
    </row>
    <row r="225" spans="5:27" s="293" customFormat="1" x14ac:dyDescent="0.25">
      <c r="E225" s="98"/>
      <c r="F225" s="293" t="s">
        <v>44</v>
      </c>
      <c r="G225" s="293" t="s">
        <v>258</v>
      </c>
      <c r="H225" s="349"/>
      <c r="I225" s="349"/>
      <c r="J225" s="417">
        <f t="shared" ref="J225:Y232" si="198">J$78 * J195</f>
        <v>0</v>
      </c>
      <c r="K225" s="417">
        <f t="shared" si="198"/>
        <v>0</v>
      </c>
      <c r="L225" s="417">
        <f t="shared" si="198"/>
        <v>0</v>
      </c>
      <c r="M225" s="417">
        <f t="shared" si="198"/>
        <v>0</v>
      </c>
      <c r="N225" s="417">
        <f t="shared" si="198"/>
        <v>3.8712763178736266E-2</v>
      </c>
      <c r="O225" s="417">
        <f t="shared" si="198"/>
        <v>2.9916061088584515E-2</v>
      </c>
      <c r="P225" s="417">
        <f t="shared" si="198"/>
        <v>3.0106921281517571E-2</v>
      </c>
      <c r="Q225" s="417">
        <f t="shared" si="198"/>
        <v>0</v>
      </c>
      <c r="R225" s="417">
        <f t="shared" si="198"/>
        <v>0</v>
      </c>
      <c r="S225" s="417">
        <f t="shared" si="198"/>
        <v>0</v>
      </c>
      <c r="T225" s="417">
        <f t="shared" si="198"/>
        <v>2.9300910635349394E-2</v>
      </c>
      <c r="U225" s="417">
        <f t="shared" si="198"/>
        <v>0</v>
      </c>
      <c r="V225" s="417">
        <f t="shared" si="198"/>
        <v>2.811594733759629E-2</v>
      </c>
      <c r="W225" s="417">
        <f t="shared" si="198"/>
        <v>0</v>
      </c>
      <c r="X225" s="417">
        <f t="shared" si="198"/>
        <v>2.7711982576998639E-2</v>
      </c>
      <c r="Y225" s="417">
        <f t="shared" si="198"/>
        <v>0</v>
      </c>
      <c r="Z225" s="349"/>
      <c r="AA225" s="349"/>
    </row>
    <row r="226" spans="5:27" s="293" customFormat="1" x14ac:dyDescent="0.25">
      <c r="E226" s="98"/>
      <c r="F226" s="293" t="s">
        <v>45</v>
      </c>
      <c r="G226" s="293" t="s">
        <v>258</v>
      </c>
      <c r="H226" s="349"/>
      <c r="I226" s="349"/>
      <c r="J226" s="417">
        <f t="shared" si="198"/>
        <v>0</v>
      </c>
      <c r="K226" s="417">
        <f t="shared" si="198"/>
        <v>0</v>
      </c>
      <c r="L226" s="417">
        <f t="shared" si="198"/>
        <v>0</v>
      </c>
      <c r="M226" s="417">
        <f t="shared" si="198"/>
        <v>0</v>
      </c>
      <c r="N226" s="417">
        <f t="shared" si="198"/>
        <v>1.0016844798668632E-2</v>
      </c>
      <c r="O226" s="417">
        <f t="shared" si="198"/>
        <v>7.7407169188180658E-3</v>
      </c>
      <c r="P226" s="417">
        <f t="shared" si="198"/>
        <v>7.7901015861441218E-3</v>
      </c>
      <c r="Q226" s="417">
        <f t="shared" si="198"/>
        <v>0</v>
      </c>
      <c r="R226" s="417">
        <f t="shared" si="198"/>
        <v>0</v>
      </c>
      <c r="S226" s="417">
        <f t="shared" si="198"/>
        <v>0</v>
      </c>
      <c r="T226" s="417">
        <f t="shared" si="198"/>
        <v>7.5815480527405476E-3</v>
      </c>
      <c r="U226" s="417">
        <f t="shared" si="198"/>
        <v>0</v>
      </c>
      <c r="V226" s="417">
        <f t="shared" si="198"/>
        <v>7.2749413300194224E-3</v>
      </c>
      <c r="W226" s="417">
        <f t="shared" si="198"/>
        <v>0</v>
      </c>
      <c r="X226" s="417">
        <f t="shared" si="198"/>
        <v>7.170416310909946E-3</v>
      </c>
      <c r="Y226" s="417">
        <f t="shared" si="198"/>
        <v>0</v>
      </c>
      <c r="Z226" s="349"/>
      <c r="AA226" s="349"/>
    </row>
    <row r="227" spans="5:27" s="293" customFormat="1" x14ac:dyDescent="0.25">
      <c r="E227" s="98"/>
      <c r="F227" s="293" t="s">
        <v>46</v>
      </c>
      <c r="G227" s="293" t="s">
        <v>258</v>
      </c>
      <c r="H227" s="349"/>
      <c r="I227" s="349"/>
      <c r="J227" s="417">
        <f t="shared" si="198"/>
        <v>0</v>
      </c>
      <c r="K227" s="417">
        <f t="shared" si="198"/>
        <v>0</v>
      </c>
      <c r="L227" s="417">
        <f t="shared" si="198"/>
        <v>0</v>
      </c>
      <c r="M227" s="417">
        <f t="shared" si="198"/>
        <v>0</v>
      </c>
      <c r="N227" s="417">
        <f t="shared" si="198"/>
        <v>2.7254845294027708E-2</v>
      </c>
      <c r="O227" s="417">
        <f t="shared" si="198"/>
        <v>2.1061726155055346E-2</v>
      </c>
      <c r="P227" s="417">
        <f t="shared" si="198"/>
        <v>1.6576400881985573E-2</v>
      </c>
      <c r="Q227" s="417">
        <f t="shared" si="198"/>
        <v>0</v>
      </c>
      <c r="R227" s="417">
        <f t="shared" si="198"/>
        <v>0</v>
      </c>
      <c r="S227" s="417">
        <f t="shared" si="198"/>
        <v>0</v>
      </c>
      <c r="T227" s="417">
        <f t="shared" si="198"/>
        <v>2.0628643392193214E-2</v>
      </c>
      <c r="U227" s="417">
        <f t="shared" si="198"/>
        <v>0</v>
      </c>
      <c r="V227" s="417">
        <f t="shared" si="198"/>
        <v>1.9794396784420694E-2</v>
      </c>
      <c r="W227" s="417">
        <f t="shared" si="198"/>
        <v>0</v>
      </c>
      <c r="X227" s="417">
        <f t="shared" si="198"/>
        <v>1.9072231270992248E-2</v>
      </c>
      <c r="Y227" s="417">
        <f t="shared" si="198"/>
        <v>0</v>
      </c>
      <c r="Z227" s="349"/>
      <c r="AA227" s="349"/>
    </row>
    <row r="228" spans="5:27" s="293" customFormat="1" x14ac:dyDescent="0.25">
      <c r="E228" s="98"/>
      <c r="F228" s="293" t="s">
        <v>47</v>
      </c>
      <c r="G228" s="293" t="s">
        <v>258</v>
      </c>
      <c r="H228" s="349"/>
      <c r="I228" s="349"/>
      <c r="J228" s="417">
        <f t="shared" si="198"/>
        <v>0</v>
      </c>
      <c r="K228" s="417">
        <f t="shared" si="198"/>
        <v>0</v>
      </c>
      <c r="L228" s="417">
        <f t="shared" si="198"/>
        <v>0</v>
      </c>
      <c r="M228" s="417">
        <f t="shared" si="198"/>
        <v>0</v>
      </c>
      <c r="N228" s="417">
        <f t="shared" si="198"/>
        <v>1.9047704209583873E-2</v>
      </c>
      <c r="O228" s="417">
        <f t="shared" si="198"/>
        <v>1.4719493932796585E-2</v>
      </c>
      <c r="P228" s="417">
        <f t="shared" si="198"/>
        <v>0</v>
      </c>
      <c r="Q228" s="417">
        <f t="shared" si="198"/>
        <v>0</v>
      </c>
      <c r="R228" s="417">
        <f t="shared" si="198"/>
        <v>0</v>
      </c>
      <c r="S228" s="417">
        <f t="shared" si="198"/>
        <v>0</v>
      </c>
      <c r="T228" s="417">
        <f t="shared" si="198"/>
        <v>1.4416823626791407E-2</v>
      </c>
      <c r="U228" s="417">
        <f t="shared" si="198"/>
        <v>0</v>
      </c>
      <c r="V228" s="417">
        <f t="shared" si="198"/>
        <v>1.3833790318354992E-2</v>
      </c>
      <c r="W228" s="417">
        <f t="shared" si="198"/>
        <v>0</v>
      </c>
      <c r="X228" s="417">
        <f t="shared" si="198"/>
        <v>1.3048312834515938E-2</v>
      </c>
      <c r="Y228" s="417">
        <f t="shared" si="198"/>
        <v>0</v>
      </c>
      <c r="Z228" s="349"/>
      <c r="AA228" s="349"/>
    </row>
    <row r="229" spans="5:27" s="293" customFormat="1" x14ac:dyDescent="0.25">
      <c r="E229" s="98"/>
      <c r="F229" s="293" t="s">
        <v>51</v>
      </c>
      <c r="G229" s="293" t="s">
        <v>258</v>
      </c>
      <c r="H229" s="349"/>
      <c r="I229" s="349"/>
      <c r="J229" s="417">
        <f t="shared" si="198"/>
        <v>0</v>
      </c>
      <c r="K229" s="417">
        <f t="shared" si="198"/>
        <v>0</v>
      </c>
      <c r="L229" s="417">
        <f t="shared" si="198"/>
        <v>0</v>
      </c>
      <c r="M229" s="417">
        <f t="shared" si="198"/>
        <v>0</v>
      </c>
      <c r="N229" s="417">
        <f t="shared" si="198"/>
        <v>0</v>
      </c>
      <c r="O229" s="417">
        <f t="shared" si="198"/>
        <v>0</v>
      </c>
      <c r="P229" s="417">
        <f t="shared" si="198"/>
        <v>0</v>
      </c>
      <c r="Q229" s="417">
        <f t="shared" si="198"/>
        <v>0</v>
      </c>
      <c r="R229" s="417">
        <f t="shared" si="198"/>
        <v>0</v>
      </c>
      <c r="S229" s="417">
        <f t="shared" si="198"/>
        <v>0</v>
      </c>
      <c r="T229" s="417">
        <f t="shared" si="198"/>
        <v>0</v>
      </c>
      <c r="U229" s="417">
        <f t="shared" si="198"/>
        <v>0</v>
      </c>
      <c r="V229" s="417">
        <f t="shared" si="198"/>
        <v>0</v>
      </c>
      <c r="W229" s="417">
        <f t="shared" si="198"/>
        <v>0</v>
      </c>
      <c r="X229" s="417">
        <f t="shared" si="198"/>
        <v>0</v>
      </c>
      <c r="Y229" s="417">
        <f t="shared" si="198"/>
        <v>0</v>
      </c>
      <c r="Z229" s="349"/>
      <c r="AA229" s="349"/>
    </row>
    <row r="230" spans="5:27" s="293" customFormat="1" x14ac:dyDescent="0.25">
      <c r="E230" s="98"/>
      <c r="F230" s="293" t="s">
        <v>48</v>
      </c>
      <c r="G230" s="293" t="s">
        <v>258</v>
      </c>
      <c r="H230" s="349"/>
      <c r="I230" s="349"/>
      <c r="J230" s="417">
        <f t="shared" si="198"/>
        <v>0</v>
      </c>
      <c r="K230" s="417">
        <f t="shared" si="198"/>
        <v>0</v>
      </c>
      <c r="L230" s="417">
        <f t="shared" si="198"/>
        <v>0</v>
      </c>
      <c r="M230" s="417">
        <f t="shared" si="198"/>
        <v>0</v>
      </c>
      <c r="N230" s="417">
        <f t="shared" si="198"/>
        <v>3.3170564671102416E-2</v>
      </c>
      <c r="O230" s="417">
        <f t="shared" si="198"/>
        <v>0</v>
      </c>
      <c r="P230" s="417">
        <f t="shared" si="198"/>
        <v>0</v>
      </c>
      <c r="Q230" s="417">
        <f t="shared" si="198"/>
        <v>0</v>
      </c>
      <c r="R230" s="417">
        <f t="shared" si="198"/>
        <v>0</v>
      </c>
      <c r="S230" s="417">
        <f t="shared" si="198"/>
        <v>0</v>
      </c>
      <c r="T230" s="417">
        <f t="shared" si="198"/>
        <v>3.1382665280978307E-2</v>
      </c>
      <c r="U230" s="417">
        <f t="shared" si="198"/>
        <v>0</v>
      </c>
      <c r="V230" s="417">
        <f t="shared" si="198"/>
        <v>3.0113513376232862E-2</v>
      </c>
      <c r="W230" s="417">
        <f t="shared" si="198"/>
        <v>0</v>
      </c>
      <c r="X230" s="417">
        <f t="shared" si="198"/>
        <v>2.7897223577126144E-2</v>
      </c>
      <c r="Y230" s="417">
        <f t="shared" si="198"/>
        <v>0</v>
      </c>
      <c r="Z230" s="349"/>
      <c r="AA230" s="349"/>
    </row>
    <row r="231" spans="5:27" s="293" customFormat="1" x14ac:dyDescent="0.25">
      <c r="E231" s="98"/>
      <c r="F231" s="293" t="s">
        <v>49</v>
      </c>
      <c r="G231" s="293" t="s">
        <v>258</v>
      </c>
      <c r="H231" s="349"/>
      <c r="I231" s="349"/>
      <c r="J231" s="417">
        <f t="shared" si="198"/>
        <v>0</v>
      </c>
      <c r="K231" s="417">
        <f t="shared" si="198"/>
        <v>0</v>
      </c>
      <c r="L231" s="417">
        <f t="shared" si="198"/>
        <v>0</v>
      </c>
      <c r="M231" s="417">
        <f t="shared" si="198"/>
        <v>0</v>
      </c>
      <c r="N231" s="417">
        <f t="shared" si="198"/>
        <v>0</v>
      </c>
      <c r="O231" s="417">
        <f t="shared" si="198"/>
        <v>0</v>
      </c>
      <c r="P231" s="417">
        <f t="shared" si="198"/>
        <v>0</v>
      </c>
      <c r="Q231" s="417">
        <f t="shared" si="198"/>
        <v>0</v>
      </c>
      <c r="R231" s="417">
        <f t="shared" si="198"/>
        <v>0</v>
      </c>
      <c r="S231" s="417">
        <f t="shared" si="198"/>
        <v>0</v>
      </c>
      <c r="T231" s="417">
        <f t="shared" si="198"/>
        <v>1.0393352160531801E-2</v>
      </c>
      <c r="U231" s="417">
        <f t="shared" si="198"/>
        <v>0</v>
      </c>
      <c r="V231" s="417">
        <f t="shared" si="198"/>
        <v>9.9730327716867646E-3</v>
      </c>
      <c r="W231" s="417">
        <f t="shared" si="198"/>
        <v>0</v>
      </c>
      <c r="X231" s="417">
        <f t="shared" si="198"/>
        <v>0</v>
      </c>
      <c r="Y231" s="417">
        <f t="shared" si="198"/>
        <v>0</v>
      </c>
      <c r="Z231" s="349"/>
      <c r="AA231" s="349"/>
    </row>
    <row r="232" spans="5:27" s="293" customFormat="1" x14ac:dyDescent="0.25">
      <c r="E232" s="98"/>
      <c r="F232" s="293" t="s">
        <v>50</v>
      </c>
      <c r="G232" s="293" t="s">
        <v>258</v>
      </c>
      <c r="H232" s="349"/>
      <c r="I232" s="349"/>
      <c r="J232" s="417">
        <f t="shared" si="198"/>
        <v>0</v>
      </c>
      <c r="K232" s="417">
        <f t="shared" si="198"/>
        <v>0</v>
      </c>
      <c r="L232" s="417">
        <f t="shared" si="198"/>
        <v>0</v>
      </c>
      <c r="M232" s="417">
        <f t="shared" si="198"/>
        <v>0</v>
      </c>
      <c r="N232" s="417">
        <f t="shared" si="198"/>
        <v>0</v>
      </c>
      <c r="O232" s="417">
        <f t="shared" si="198"/>
        <v>0</v>
      </c>
      <c r="P232" s="417">
        <f t="shared" si="198"/>
        <v>0</v>
      </c>
      <c r="Q232" s="417">
        <f t="shared" si="198"/>
        <v>0</v>
      </c>
      <c r="R232" s="417">
        <f t="shared" si="198"/>
        <v>0</v>
      </c>
      <c r="S232" s="417">
        <f t="shared" si="198"/>
        <v>0</v>
      </c>
      <c r="T232" s="417">
        <f t="shared" si="198"/>
        <v>2.0901578357799045E-3</v>
      </c>
      <c r="U232" s="417">
        <f t="shared" si="198"/>
        <v>0</v>
      </c>
      <c r="V232" s="417">
        <f t="shared" si="198"/>
        <v>0</v>
      </c>
      <c r="W232" s="417">
        <f t="shared" si="198"/>
        <v>0</v>
      </c>
      <c r="X232" s="417">
        <f t="shared" si="198"/>
        <v>0</v>
      </c>
      <c r="Y232" s="417">
        <f t="shared" si="198"/>
        <v>0</v>
      </c>
      <c r="Z232" s="349"/>
      <c r="AA232" s="349"/>
    </row>
    <row r="233" spans="5:27" s="293" customFormat="1" x14ac:dyDescent="0.25">
      <c r="E233" s="98"/>
      <c r="F233" s="293" t="s">
        <v>124</v>
      </c>
      <c r="G233" s="293" t="s">
        <v>258</v>
      </c>
      <c r="H233" s="349"/>
      <c r="I233" s="349"/>
      <c r="J233" s="418"/>
      <c r="K233" s="418"/>
      <c r="L233" s="418"/>
      <c r="M233" s="418"/>
      <c r="N233" s="418"/>
      <c r="O233" s="418"/>
      <c r="P233" s="418"/>
      <c r="Q233" s="418"/>
      <c r="R233" s="418"/>
      <c r="S233" s="418"/>
      <c r="T233" s="418"/>
      <c r="U233" s="418"/>
      <c r="V233" s="418"/>
      <c r="W233" s="418"/>
      <c r="X233" s="418"/>
      <c r="Y233" s="418"/>
      <c r="Z233" s="349"/>
      <c r="AA233" s="349"/>
    </row>
    <row r="234" spans="5:27" s="293" customFormat="1" x14ac:dyDescent="0.25">
      <c r="E234" s="98"/>
      <c r="F234" s="93" t="s">
        <v>123</v>
      </c>
      <c r="G234" s="93" t="s">
        <v>258</v>
      </c>
      <c r="H234" s="351"/>
      <c r="I234" s="351"/>
      <c r="J234" s="356"/>
      <c r="K234" s="356"/>
      <c r="L234" s="356"/>
      <c r="M234" s="356"/>
      <c r="N234" s="356"/>
      <c r="O234" s="356"/>
      <c r="P234" s="356"/>
      <c r="Q234" s="356"/>
      <c r="R234" s="356"/>
      <c r="S234" s="356"/>
      <c r="T234" s="356"/>
      <c r="U234" s="356"/>
      <c r="V234" s="356"/>
      <c r="W234" s="356"/>
      <c r="X234" s="356"/>
      <c r="Y234" s="356"/>
      <c r="Z234" s="349"/>
      <c r="AA234" s="349"/>
    </row>
    <row r="235" spans="5:27" s="293" customFormat="1" x14ac:dyDescent="0.25">
      <c r="E235" s="98"/>
      <c r="J235" s="252"/>
      <c r="K235" s="252"/>
      <c r="L235" s="252"/>
      <c r="M235" s="252"/>
      <c r="N235" s="252"/>
      <c r="O235" s="252"/>
      <c r="P235" s="252"/>
      <c r="Q235" s="252"/>
      <c r="R235" s="252"/>
      <c r="S235" s="252"/>
      <c r="T235" s="252"/>
      <c r="U235" s="252"/>
      <c r="V235" s="252"/>
      <c r="W235" s="252"/>
      <c r="X235" s="252"/>
      <c r="Y235" s="252"/>
    </row>
    <row r="236" spans="5:27" s="293" customFormat="1" x14ac:dyDescent="0.25">
      <c r="E236" s="96" t="s">
        <v>116</v>
      </c>
      <c r="J236" s="252"/>
      <c r="K236" s="252"/>
      <c r="L236" s="252"/>
      <c r="M236" s="252"/>
      <c r="N236" s="252"/>
      <c r="O236" s="252"/>
      <c r="P236" s="252"/>
      <c r="Q236" s="252"/>
      <c r="R236" s="252"/>
      <c r="S236" s="252"/>
      <c r="T236" s="252"/>
      <c r="U236" s="252"/>
      <c r="V236" s="252"/>
      <c r="W236" s="252"/>
      <c r="X236" s="252"/>
      <c r="Y236" s="252"/>
    </row>
    <row r="237" spans="5:27" s="293" customFormat="1" x14ac:dyDescent="0.25">
      <c r="E237" s="98"/>
      <c r="F237" s="91" t="s">
        <v>267</v>
      </c>
      <c r="G237" s="91" t="s">
        <v>258</v>
      </c>
      <c r="H237" s="347"/>
      <c r="I237" s="347"/>
      <c r="J237" s="360">
        <f t="shared" ref="J237:Y246" si="199">J$78 * J207</f>
        <v>0</v>
      </c>
      <c r="K237" s="360">
        <f t="shared" si="199"/>
        <v>0</v>
      </c>
      <c r="L237" s="360">
        <f t="shared" si="199"/>
        <v>0</v>
      </c>
      <c r="M237" s="360">
        <f t="shared" si="199"/>
        <v>0</v>
      </c>
      <c r="N237" s="360">
        <f t="shared" si="199"/>
        <v>9.838119217920601E-3</v>
      </c>
      <c r="O237" s="360">
        <f t="shared" si="199"/>
        <v>7.6026031559986856E-3</v>
      </c>
      <c r="P237" s="360">
        <f t="shared" si="199"/>
        <v>7.6511066772627576E-3</v>
      </c>
      <c r="Q237" s="360">
        <f t="shared" si="199"/>
        <v>0</v>
      </c>
      <c r="R237" s="360">
        <f t="shared" si="199"/>
        <v>0</v>
      </c>
      <c r="S237" s="360">
        <f t="shared" si="199"/>
        <v>0</v>
      </c>
      <c r="T237" s="360">
        <f t="shared" si="199"/>
        <v>7.4462742608499876E-3</v>
      </c>
      <c r="U237" s="360">
        <f t="shared" si="199"/>
        <v>0</v>
      </c>
      <c r="V237" s="360">
        <f t="shared" si="199"/>
        <v>7.1451381694185544E-3</v>
      </c>
      <c r="W237" s="360">
        <f t="shared" si="199"/>
        <v>0</v>
      </c>
      <c r="X237" s="360">
        <f t="shared" si="199"/>
        <v>7.0424781382487471E-3</v>
      </c>
      <c r="Y237" s="360">
        <f t="shared" si="199"/>
        <v>0</v>
      </c>
      <c r="Z237" s="349"/>
      <c r="AA237" s="349"/>
    </row>
    <row r="238" spans="5:27" s="293" customFormat="1" x14ac:dyDescent="0.25">
      <c r="E238" s="98"/>
      <c r="F238" s="293" t="s">
        <v>43</v>
      </c>
      <c r="G238" s="293" t="s">
        <v>258</v>
      </c>
      <c r="H238" s="349"/>
      <c r="I238" s="349"/>
      <c r="J238" s="417">
        <f t="shared" si="199"/>
        <v>0</v>
      </c>
      <c r="K238" s="417">
        <f t="shared" si="199"/>
        <v>0</v>
      </c>
      <c r="L238" s="417">
        <f t="shared" si="199"/>
        <v>0</v>
      </c>
      <c r="M238" s="417">
        <f t="shared" si="199"/>
        <v>0</v>
      </c>
      <c r="N238" s="417">
        <f t="shared" si="199"/>
        <v>0</v>
      </c>
      <c r="O238" s="417">
        <f t="shared" si="199"/>
        <v>0</v>
      </c>
      <c r="P238" s="417">
        <f t="shared" si="199"/>
        <v>0</v>
      </c>
      <c r="Q238" s="417">
        <f t="shared" si="199"/>
        <v>0</v>
      </c>
      <c r="R238" s="417">
        <f t="shared" si="199"/>
        <v>0</v>
      </c>
      <c r="S238" s="417">
        <f t="shared" si="199"/>
        <v>0</v>
      </c>
      <c r="T238" s="417">
        <f t="shared" si="199"/>
        <v>0</v>
      </c>
      <c r="U238" s="417">
        <f t="shared" si="199"/>
        <v>0</v>
      </c>
      <c r="V238" s="417">
        <f t="shared" si="199"/>
        <v>0</v>
      </c>
      <c r="W238" s="417">
        <f t="shared" si="199"/>
        <v>0</v>
      </c>
      <c r="X238" s="417">
        <f t="shared" si="199"/>
        <v>0</v>
      </c>
      <c r="Y238" s="417">
        <f t="shared" si="199"/>
        <v>0</v>
      </c>
      <c r="Z238" s="349"/>
      <c r="AA238" s="349"/>
    </row>
    <row r="239" spans="5:27" s="293" customFormat="1" x14ac:dyDescent="0.25">
      <c r="E239" s="98"/>
      <c r="F239" s="293" t="s">
        <v>44</v>
      </c>
      <c r="G239" s="293" t="s">
        <v>258</v>
      </c>
      <c r="H239" s="349"/>
      <c r="I239" s="349"/>
      <c r="J239" s="417">
        <f t="shared" si="199"/>
        <v>0</v>
      </c>
      <c r="K239" s="417">
        <f t="shared" si="199"/>
        <v>0</v>
      </c>
      <c r="L239" s="417">
        <f t="shared" si="199"/>
        <v>0</v>
      </c>
      <c r="M239" s="417">
        <f t="shared" si="199"/>
        <v>0</v>
      </c>
      <c r="N239" s="417">
        <f t="shared" si="199"/>
        <v>2.176980239068791E-2</v>
      </c>
      <c r="O239" s="417">
        <f t="shared" si="199"/>
        <v>1.6823049680007179E-2</v>
      </c>
      <c r="P239" s="417">
        <f t="shared" si="199"/>
        <v>1.693037833193568E-2</v>
      </c>
      <c r="Q239" s="417">
        <f t="shared" si="199"/>
        <v>0</v>
      </c>
      <c r="R239" s="417">
        <f t="shared" si="199"/>
        <v>0</v>
      </c>
      <c r="S239" s="417">
        <f t="shared" si="199"/>
        <v>0</v>
      </c>
      <c r="T239" s="417">
        <f t="shared" si="199"/>
        <v>1.6477124907196685E-2</v>
      </c>
      <c r="U239" s="417">
        <f t="shared" si="199"/>
        <v>0</v>
      </c>
      <c r="V239" s="417">
        <f t="shared" si="199"/>
        <v>1.5810770591096819E-2</v>
      </c>
      <c r="W239" s="417">
        <f t="shared" si="199"/>
        <v>0</v>
      </c>
      <c r="X239" s="417">
        <f t="shared" si="199"/>
        <v>1.5583604346971862E-2</v>
      </c>
      <c r="Y239" s="417">
        <f t="shared" si="199"/>
        <v>0</v>
      </c>
      <c r="Z239" s="349"/>
      <c r="AA239" s="349"/>
    </row>
    <row r="240" spans="5:27" s="293" customFormat="1" x14ac:dyDescent="0.25">
      <c r="E240" s="98"/>
      <c r="F240" s="293" t="s">
        <v>45</v>
      </c>
      <c r="G240" s="293" t="s">
        <v>258</v>
      </c>
      <c r="H240" s="349"/>
      <c r="I240" s="349"/>
      <c r="J240" s="417">
        <f t="shared" si="199"/>
        <v>0</v>
      </c>
      <c r="K240" s="417">
        <f t="shared" si="199"/>
        <v>0</v>
      </c>
      <c r="L240" s="417">
        <f t="shared" si="199"/>
        <v>0</v>
      </c>
      <c r="M240" s="417">
        <f t="shared" si="199"/>
        <v>0</v>
      </c>
      <c r="N240" s="417">
        <f t="shared" si="199"/>
        <v>5.6328898776458946E-3</v>
      </c>
      <c r="O240" s="417">
        <f t="shared" si="199"/>
        <v>4.3529281778956945E-3</v>
      </c>
      <c r="P240" s="417">
        <f t="shared" si="199"/>
        <v>4.3806992373743069E-3</v>
      </c>
      <c r="Q240" s="417">
        <f t="shared" si="199"/>
        <v>0</v>
      </c>
      <c r="R240" s="417">
        <f t="shared" si="199"/>
        <v>0</v>
      </c>
      <c r="S240" s="417">
        <f t="shared" si="199"/>
        <v>0</v>
      </c>
      <c r="T240" s="417">
        <f t="shared" si="199"/>
        <v>4.263420881677667E-3</v>
      </c>
      <c r="U240" s="417">
        <f t="shared" si="199"/>
        <v>0</v>
      </c>
      <c r="V240" s="417">
        <f t="shared" si="199"/>
        <v>4.0910031254333505E-3</v>
      </c>
      <c r="W240" s="417">
        <f t="shared" si="199"/>
        <v>0</v>
      </c>
      <c r="X240" s="417">
        <f t="shared" si="199"/>
        <v>4.0322243448955141E-3</v>
      </c>
      <c r="Y240" s="417">
        <f t="shared" si="199"/>
        <v>0</v>
      </c>
      <c r="Z240" s="349"/>
      <c r="AA240" s="349"/>
    </row>
    <row r="241" spans="2:27" x14ac:dyDescent="0.25">
      <c r="D241" s="293"/>
      <c r="F241" s="293" t="s">
        <v>46</v>
      </c>
      <c r="G241" s="293" t="s">
        <v>258</v>
      </c>
      <c r="H241" s="349"/>
      <c r="I241" s="349"/>
      <c r="J241" s="417">
        <f t="shared" si="199"/>
        <v>0</v>
      </c>
      <c r="K241" s="417">
        <f t="shared" si="199"/>
        <v>0</v>
      </c>
      <c r="L241" s="417">
        <f t="shared" si="199"/>
        <v>0</v>
      </c>
      <c r="M241" s="417">
        <f t="shared" si="199"/>
        <v>0</v>
      </c>
      <c r="N241" s="417">
        <f t="shared" si="199"/>
        <v>1.5518507322193731E-2</v>
      </c>
      <c r="O241" s="417">
        <f t="shared" si="199"/>
        <v>1.1992236537364856E-2</v>
      </c>
      <c r="P241" s="417">
        <f t="shared" si="199"/>
        <v>9.6549962336466306E-3</v>
      </c>
      <c r="Q241" s="417">
        <f t="shared" si="199"/>
        <v>0</v>
      </c>
      <c r="R241" s="417">
        <f t="shared" si="199"/>
        <v>0</v>
      </c>
      <c r="S241" s="417">
        <f t="shared" si="199"/>
        <v>0</v>
      </c>
      <c r="T241" s="417">
        <f t="shared" si="199"/>
        <v>1.1745645593476264E-2</v>
      </c>
      <c r="U241" s="417">
        <f t="shared" si="199"/>
        <v>0</v>
      </c>
      <c r="V241" s="417">
        <f t="shared" si="199"/>
        <v>1.1270637867269503E-2</v>
      </c>
      <c r="W241" s="417">
        <f t="shared" si="199"/>
        <v>0</v>
      </c>
      <c r="X241" s="417">
        <f t="shared" si="199"/>
        <v>1.1108703415153558E-2</v>
      </c>
      <c r="Y241" s="417">
        <f t="shared" si="199"/>
        <v>0</v>
      </c>
      <c r="Z241" s="349"/>
      <c r="AA241" s="349"/>
    </row>
    <row r="242" spans="2:27" x14ac:dyDescent="0.25">
      <c r="D242" s="293"/>
      <c r="F242" s="293" t="s">
        <v>47</v>
      </c>
      <c r="G242" s="293" t="s">
        <v>258</v>
      </c>
      <c r="H242" s="349"/>
      <c r="I242" s="349"/>
      <c r="J242" s="417">
        <f t="shared" si="199"/>
        <v>0</v>
      </c>
      <c r="K242" s="417">
        <f t="shared" si="199"/>
        <v>0</v>
      </c>
      <c r="L242" s="417">
        <f t="shared" si="199"/>
        <v>0</v>
      </c>
      <c r="M242" s="417">
        <f t="shared" si="199"/>
        <v>0</v>
      </c>
      <c r="N242" s="417">
        <f t="shared" si="199"/>
        <v>1.0979222210739924E-2</v>
      </c>
      <c r="O242" s="417">
        <f t="shared" si="199"/>
        <v>8.4844132888465557E-3</v>
      </c>
      <c r="P242" s="417">
        <f t="shared" si="199"/>
        <v>0</v>
      </c>
      <c r="Q242" s="417">
        <f t="shared" si="199"/>
        <v>0</v>
      </c>
      <c r="R242" s="417">
        <f t="shared" si="199"/>
        <v>0</v>
      </c>
      <c r="S242" s="417">
        <f t="shared" si="199"/>
        <v>0</v>
      </c>
      <c r="T242" s="417">
        <f t="shared" si="199"/>
        <v>8.3099521301862114E-3</v>
      </c>
      <c r="U242" s="417">
        <f t="shared" si="199"/>
        <v>0</v>
      </c>
      <c r="V242" s="417">
        <f t="shared" si="199"/>
        <v>7.9738878896272111E-3</v>
      </c>
      <c r="W242" s="417">
        <f t="shared" si="199"/>
        <v>0</v>
      </c>
      <c r="X242" s="417">
        <f t="shared" si="199"/>
        <v>7.8593205348911847E-3</v>
      </c>
      <c r="Y242" s="417">
        <f t="shared" si="199"/>
        <v>0</v>
      </c>
      <c r="Z242" s="349"/>
      <c r="AA242" s="349"/>
    </row>
    <row r="243" spans="2:27" x14ac:dyDescent="0.25">
      <c r="D243" s="293"/>
      <c r="F243" s="293" t="s">
        <v>51</v>
      </c>
      <c r="G243" s="293" t="s">
        <v>258</v>
      </c>
      <c r="H243" s="349"/>
      <c r="I243" s="349"/>
      <c r="J243" s="417">
        <f t="shared" si="199"/>
        <v>0</v>
      </c>
      <c r="K243" s="417">
        <f t="shared" si="199"/>
        <v>0</v>
      </c>
      <c r="L243" s="417">
        <f t="shared" si="199"/>
        <v>0</v>
      </c>
      <c r="M243" s="417">
        <f t="shared" si="199"/>
        <v>0</v>
      </c>
      <c r="N243" s="417">
        <f t="shared" si="199"/>
        <v>0</v>
      </c>
      <c r="O243" s="417">
        <f t="shared" si="199"/>
        <v>0</v>
      </c>
      <c r="P243" s="417">
        <f t="shared" si="199"/>
        <v>0</v>
      </c>
      <c r="Q243" s="417">
        <f t="shared" si="199"/>
        <v>0</v>
      </c>
      <c r="R243" s="417">
        <f t="shared" si="199"/>
        <v>0</v>
      </c>
      <c r="S243" s="417">
        <f t="shared" si="199"/>
        <v>0</v>
      </c>
      <c r="T243" s="417">
        <f t="shared" si="199"/>
        <v>0</v>
      </c>
      <c r="U243" s="417">
        <f t="shared" si="199"/>
        <v>0</v>
      </c>
      <c r="V243" s="417">
        <f t="shared" si="199"/>
        <v>0</v>
      </c>
      <c r="W243" s="417">
        <f t="shared" si="199"/>
        <v>0</v>
      </c>
      <c r="X243" s="417">
        <f t="shared" si="199"/>
        <v>0</v>
      </c>
      <c r="Y243" s="417">
        <f t="shared" si="199"/>
        <v>0</v>
      </c>
      <c r="Z243" s="349"/>
      <c r="AA243" s="349"/>
    </row>
    <row r="244" spans="2:27" x14ac:dyDescent="0.25">
      <c r="D244" s="293"/>
      <c r="F244" s="293" t="s">
        <v>48</v>
      </c>
      <c r="G244" s="293" t="s">
        <v>258</v>
      </c>
      <c r="H244" s="349"/>
      <c r="I244" s="349"/>
      <c r="J244" s="417">
        <f t="shared" si="199"/>
        <v>0</v>
      </c>
      <c r="K244" s="417">
        <f t="shared" si="199"/>
        <v>0</v>
      </c>
      <c r="L244" s="417">
        <f t="shared" si="199"/>
        <v>0</v>
      </c>
      <c r="M244" s="417">
        <f t="shared" si="199"/>
        <v>0</v>
      </c>
      <c r="N244" s="417">
        <f t="shared" si="199"/>
        <v>2.8426049186700664E-2</v>
      </c>
      <c r="O244" s="417">
        <f t="shared" si="199"/>
        <v>0</v>
      </c>
      <c r="P244" s="417">
        <f t="shared" si="199"/>
        <v>0</v>
      </c>
      <c r="Q244" s="417">
        <f t="shared" si="199"/>
        <v>0</v>
      </c>
      <c r="R244" s="417">
        <f t="shared" si="199"/>
        <v>0</v>
      </c>
      <c r="S244" s="417">
        <f t="shared" si="199"/>
        <v>0</v>
      </c>
      <c r="T244" s="417">
        <f t="shared" si="199"/>
        <v>2.6893880032859994E-2</v>
      </c>
      <c r="U244" s="417">
        <f t="shared" si="199"/>
        <v>0</v>
      </c>
      <c r="V244" s="417">
        <f t="shared" si="199"/>
        <v>2.5806259884472271E-2</v>
      </c>
      <c r="W244" s="417">
        <f t="shared" si="199"/>
        <v>0</v>
      </c>
      <c r="X244" s="417">
        <f t="shared" si="199"/>
        <v>2.5435480288431008E-2</v>
      </c>
      <c r="Y244" s="417">
        <f t="shared" si="199"/>
        <v>0</v>
      </c>
      <c r="Z244" s="349"/>
      <c r="AA244" s="349"/>
    </row>
    <row r="245" spans="2:27" x14ac:dyDescent="0.25">
      <c r="D245" s="293"/>
      <c r="F245" s="293" t="s">
        <v>49</v>
      </c>
      <c r="G245" s="293" t="s">
        <v>258</v>
      </c>
      <c r="H245" s="349"/>
      <c r="I245" s="349"/>
      <c r="J245" s="417">
        <f t="shared" si="199"/>
        <v>0</v>
      </c>
      <c r="K245" s="417">
        <f t="shared" si="199"/>
        <v>0</v>
      </c>
      <c r="L245" s="417">
        <f t="shared" si="199"/>
        <v>0</v>
      </c>
      <c r="M245" s="417">
        <f t="shared" si="199"/>
        <v>0</v>
      </c>
      <c r="N245" s="417">
        <f t="shared" si="199"/>
        <v>0</v>
      </c>
      <c r="O245" s="417">
        <f t="shared" si="199"/>
        <v>0</v>
      </c>
      <c r="P245" s="417">
        <f t="shared" si="199"/>
        <v>0</v>
      </c>
      <c r="Q245" s="417">
        <f t="shared" si="199"/>
        <v>0</v>
      </c>
      <c r="R245" s="417">
        <f t="shared" si="199"/>
        <v>0</v>
      </c>
      <c r="S245" s="417">
        <f t="shared" si="199"/>
        <v>0</v>
      </c>
      <c r="T245" s="417">
        <f t="shared" si="199"/>
        <v>1.0138448883795748E-2</v>
      </c>
      <c r="U245" s="417">
        <f t="shared" si="199"/>
        <v>0</v>
      </c>
      <c r="V245" s="417">
        <f t="shared" si="199"/>
        <v>9.7284380833481243E-3</v>
      </c>
      <c r="W245" s="417">
        <f t="shared" si="199"/>
        <v>0</v>
      </c>
      <c r="X245" s="417">
        <f t="shared" si="199"/>
        <v>0</v>
      </c>
      <c r="Y245" s="417">
        <f t="shared" si="199"/>
        <v>0</v>
      </c>
      <c r="Z245" s="349"/>
      <c r="AA245" s="349"/>
    </row>
    <row r="246" spans="2:27" x14ac:dyDescent="0.25">
      <c r="D246" s="293"/>
      <c r="F246" s="293" t="s">
        <v>50</v>
      </c>
      <c r="G246" s="293" t="s">
        <v>258</v>
      </c>
      <c r="H246" s="349"/>
      <c r="I246" s="349"/>
      <c r="J246" s="417">
        <f t="shared" si="199"/>
        <v>0</v>
      </c>
      <c r="K246" s="417">
        <f t="shared" si="199"/>
        <v>0</v>
      </c>
      <c r="L246" s="417">
        <f t="shared" si="199"/>
        <v>0</v>
      </c>
      <c r="M246" s="417">
        <f t="shared" si="199"/>
        <v>0</v>
      </c>
      <c r="N246" s="417">
        <f t="shared" si="199"/>
        <v>0</v>
      </c>
      <c r="O246" s="417">
        <f t="shared" si="199"/>
        <v>0</v>
      </c>
      <c r="P246" s="417">
        <f t="shared" si="199"/>
        <v>0</v>
      </c>
      <c r="Q246" s="417">
        <f t="shared" si="199"/>
        <v>0</v>
      </c>
      <c r="R246" s="417">
        <f t="shared" si="199"/>
        <v>0</v>
      </c>
      <c r="S246" s="417">
        <f t="shared" si="199"/>
        <v>0</v>
      </c>
      <c r="T246" s="417">
        <f t="shared" si="199"/>
        <v>2.6686974277397534E-2</v>
      </c>
      <c r="U246" s="417">
        <f t="shared" si="199"/>
        <v>0</v>
      </c>
      <c r="V246" s="417">
        <f t="shared" si="199"/>
        <v>0</v>
      </c>
      <c r="W246" s="417">
        <f t="shared" si="199"/>
        <v>0</v>
      </c>
      <c r="X246" s="417">
        <f t="shared" si="199"/>
        <v>0</v>
      </c>
      <c r="Y246" s="417">
        <f t="shared" si="199"/>
        <v>0</v>
      </c>
      <c r="Z246" s="349"/>
      <c r="AA246" s="349"/>
    </row>
    <row r="247" spans="2:27" x14ac:dyDescent="0.25">
      <c r="D247" s="293"/>
      <c r="F247" s="293" t="s">
        <v>124</v>
      </c>
      <c r="G247" s="293" t="s">
        <v>258</v>
      </c>
      <c r="H247" s="349"/>
      <c r="I247" s="349"/>
      <c r="J247" s="418"/>
      <c r="K247" s="418"/>
      <c r="L247" s="418"/>
      <c r="M247" s="418"/>
      <c r="N247" s="418"/>
      <c r="O247" s="418"/>
      <c r="P247" s="418"/>
      <c r="Q247" s="418"/>
      <c r="R247" s="418"/>
      <c r="S247" s="418"/>
      <c r="T247" s="418"/>
      <c r="U247" s="418"/>
      <c r="V247" s="418"/>
      <c r="W247" s="418"/>
      <c r="X247" s="418"/>
      <c r="Y247" s="418"/>
      <c r="Z247" s="349"/>
      <c r="AA247" s="349"/>
    </row>
    <row r="248" spans="2:27" x14ac:dyDescent="0.25">
      <c r="D248" s="293"/>
      <c r="F248" s="93" t="s">
        <v>123</v>
      </c>
      <c r="G248" s="93" t="s">
        <v>258</v>
      </c>
      <c r="H248" s="351"/>
      <c r="I248" s="351"/>
      <c r="J248" s="356"/>
      <c r="K248" s="356"/>
      <c r="L248" s="356"/>
      <c r="M248" s="356"/>
      <c r="N248" s="356"/>
      <c r="O248" s="356"/>
      <c r="P248" s="356"/>
      <c r="Q248" s="356"/>
      <c r="R248" s="356"/>
      <c r="S248" s="356"/>
      <c r="T248" s="356"/>
      <c r="U248" s="356"/>
      <c r="V248" s="356"/>
      <c r="W248" s="356"/>
      <c r="X248" s="356"/>
      <c r="Y248" s="356"/>
      <c r="Z248" s="349"/>
      <c r="AA248" s="349"/>
    </row>
    <row r="249" spans="2:27" x14ac:dyDescent="0.25">
      <c r="C249" s="86"/>
      <c r="J249" s="252"/>
      <c r="K249" s="252"/>
      <c r="L249" s="252"/>
      <c r="M249" s="252"/>
      <c r="N249" s="252"/>
      <c r="O249" s="252"/>
      <c r="P249" s="252"/>
      <c r="Q249" s="252"/>
      <c r="R249" s="252"/>
      <c r="S249" s="252"/>
      <c r="T249" s="252"/>
      <c r="U249" s="252"/>
      <c r="V249" s="252"/>
      <c r="W249" s="252"/>
      <c r="X249" s="252"/>
      <c r="Y249" s="252"/>
    </row>
    <row r="250" spans="2:27" x14ac:dyDescent="0.25">
      <c r="E250" s="293" t="s">
        <v>421</v>
      </c>
      <c r="G250" s="293" t="s">
        <v>258</v>
      </c>
      <c r="H250" s="349"/>
      <c r="I250" s="349" t="s">
        <v>359</v>
      </c>
      <c r="J250" s="350">
        <f t="shared" ref="J250:Y250" si="200">SUM(J223:J234,J237:J248)</f>
        <v>0</v>
      </c>
      <c r="K250" s="350">
        <f t="shared" si="200"/>
        <v>0</v>
      </c>
      <c r="L250" s="350">
        <f t="shared" si="200"/>
        <v>0</v>
      </c>
      <c r="M250" s="350">
        <f t="shared" si="200"/>
        <v>0</v>
      </c>
      <c r="N250" s="350">
        <f t="shared" si="200"/>
        <v>0.22036731235800763</v>
      </c>
      <c r="O250" s="350">
        <f t="shared" si="200"/>
        <v>0.12269322893536748</v>
      </c>
      <c r="P250" s="350">
        <f t="shared" si="200"/>
        <v>9.3090604229866633E-2</v>
      </c>
      <c r="Q250" s="350">
        <f t="shared" si="200"/>
        <v>0</v>
      </c>
      <c r="R250" s="350">
        <f t="shared" si="200"/>
        <v>0</v>
      </c>
      <c r="S250" s="350">
        <f t="shared" si="200"/>
        <v>0</v>
      </c>
      <c r="T250" s="350">
        <f t="shared" si="200"/>
        <v>0.22775582195180466</v>
      </c>
      <c r="U250" s="350">
        <f t="shared" si="200"/>
        <v>0</v>
      </c>
      <c r="V250" s="350">
        <f t="shared" si="200"/>
        <v>0.19093175752897684</v>
      </c>
      <c r="W250" s="350">
        <f t="shared" si="200"/>
        <v>0</v>
      </c>
      <c r="X250" s="350">
        <f t="shared" si="200"/>
        <v>0.16596197763913481</v>
      </c>
      <c r="Y250" s="350">
        <f t="shared" si="200"/>
        <v>0</v>
      </c>
      <c r="Z250" s="349"/>
      <c r="AA250" s="349" t="s">
        <v>805</v>
      </c>
    </row>
    <row r="251" spans="2:27" x14ac:dyDescent="0.25">
      <c r="C251" s="86"/>
    </row>
    <row r="252" spans="2:27" x14ac:dyDescent="0.25">
      <c r="B252" s="95" t="s">
        <v>109</v>
      </c>
      <c r="C252" s="95"/>
      <c r="D252" s="95"/>
      <c r="E252" s="95"/>
      <c r="F252" s="95"/>
      <c r="G252" s="95"/>
      <c r="H252" s="95"/>
      <c r="I252" s="95"/>
      <c r="J252" s="95"/>
      <c r="K252" s="95"/>
      <c r="L252" s="95"/>
      <c r="M252" s="95"/>
      <c r="N252" s="95"/>
      <c r="O252" s="95"/>
      <c r="P252" s="95"/>
      <c r="Q252" s="95"/>
      <c r="R252" s="95"/>
      <c r="S252" s="95"/>
      <c r="T252" s="95"/>
      <c r="U252" s="95"/>
      <c r="V252" s="95"/>
      <c r="W252" s="95"/>
      <c r="X252" s="95"/>
      <c r="Y252" s="95"/>
      <c r="Z252" s="95"/>
      <c r="AA252" s="95"/>
    </row>
    <row r="254" spans="2:27" x14ac:dyDescent="0.25">
      <c r="E254" s="293" t="s">
        <v>415</v>
      </c>
      <c r="G254" s="122" t="s">
        <v>588</v>
      </c>
      <c r="H254" s="310">
        <f t="array" ref="H254">SUM(IF(ISERROR(H21:Y250), 1))</f>
        <v>0</v>
      </c>
    </row>
    <row r="256" spans="2:27" x14ac:dyDescent="0.25">
      <c r="B256" s="95" t="s">
        <v>110</v>
      </c>
      <c r="C256" s="95"/>
      <c r="D256" s="95"/>
      <c r="E256" s="95"/>
      <c r="F256" s="95"/>
      <c r="G256" s="95"/>
      <c r="H256" s="95"/>
      <c r="I256" s="95"/>
      <c r="J256" s="95"/>
      <c r="K256" s="95"/>
      <c r="L256" s="95"/>
      <c r="M256" s="95"/>
      <c r="N256" s="95"/>
      <c r="O256" s="95"/>
      <c r="P256" s="95"/>
      <c r="Q256" s="95"/>
      <c r="R256" s="95"/>
      <c r="S256" s="95"/>
      <c r="T256" s="95"/>
      <c r="U256" s="95"/>
      <c r="V256" s="95"/>
      <c r="W256" s="95"/>
      <c r="X256" s="95"/>
      <c r="Y256" s="95"/>
      <c r="Z256" s="95"/>
      <c r="AA256" s="95"/>
    </row>
  </sheetData>
  <sheetProtection sheet="1" objects="1" formatCells="0" formatColumns="0" formatRows="0" sort="0" autoFilter="0"/>
  <conditionalFormatting sqref="A4:I4 Z4:XFD4">
    <cfRule type="expression" dxfId="59" priority="10">
      <formula>LEFT($A$4,1) &lt;&gt; "0"</formula>
    </cfRule>
  </conditionalFormatting>
  <conditionalFormatting sqref="N4:P4">
    <cfRule type="expression" dxfId="58" priority="9">
      <formula>LEFT($A$4,1) &lt;&gt; "0"</formula>
    </cfRule>
  </conditionalFormatting>
  <conditionalFormatting sqref="L4:M4">
    <cfRule type="expression" dxfId="57" priority="8">
      <formula>LEFT($A$4,1) &lt;&gt; "0"</formula>
    </cfRule>
  </conditionalFormatting>
  <conditionalFormatting sqref="J4:K4">
    <cfRule type="expression" dxfId="56" priority="7">
      <formula>LEFT($A$4,1) &lt;&gt; "0"</formula>
    </cfRule>
  </conditionalFormatting>
  <conditionalFormatting sqref="Q4">
    <cfRule type="expression" dxfId="55" priority="6">
      <formula>LEFT($A$4,1) &lt;&gt; "0"</formula>
    </cfRule>
  </conditionalFormatting>
  <conditionalFormatting sqref="R4:S4">
    <cfRule type="expression" dxfId="54" priority="5">
      <formula>LEFT($A$4,1) &lt;&gt; "0"</formula>
    </cfRule>
  </conditionalFormatting>
  <conditionalFormatting sqref="T4:U4">
    <cfRule type="expression" dxfId="53" priority="4">
      <formula>LEFT($A$4,1) &lt;&gt; "0"</formula>
    </cfRule>
  </conditionalFormatting>
  <conditionalFormatting sqref="V4:W4">
    <cfRule type="expression" dxfId="52" priority="3">
      <formula>LEFT($A$4,1) &lt;&gt; "0"</formula>
    </cfRule>
  </conditionalFormatting>
  <conditionalFormatting sqref="X4:Y4">
    <cfRule type="expression" dxfId="51" priority="2">
      <formula>LEFT($A$4,1) &lt;&gt; "0"</formula>
    </cfRule>
  </conditionalFormatting>
  <conditionalFormatting sqref="H254">
    <cfRule type="cellIs" dxfId="50" priority="1" operator="greaterThan">
      <formula>0</formula>
    </cfRule>
  </conditionalFormatting>
  <hyperlinks>
    <hyperlink ref="B5:F5" location="'Model map'!A1" display="Click here to return to model map" xr:uid="{C3607FCA-9537-483F-A7B6-878D8C2ED13A}"/>
  </hyperlinks>
  <pageMargins left="0.7" right="0.7" top="0.75" bottom="0.75" header="0.3" footer="0.3"/>
  <pageSetup paperSize="9" scale="32" fitToHeight="0" orientation="portrait" r:id="rId1"/>
  <headerFooter>
    <oddHeader>&amp;L&amp;A&amp;C&amp;R&amp;P of &amp;N</oddHeader>
    <oddFooter>&amp;F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01CA23-7775-44F6-9BE9-527E3121C5D4}">
  <sheetPr codeName="Sheet54">
    <tabColor theme="4" tint="0.59999389629810485"/>
    <pageSetUpPr fitToPage="1"/>
  </sheetPr>
  <dimension ref="A1:LC167"/>
  <sheetViews>
    <sheetView showGridLines="0" zoomScale="80" zoomScaleNormal="80" workbookViewId="0">
      <pane xSplit="9" ySplit="5" topLeftCell="J6" activePane="bottomRight" state="frozen"/>
      <selection pane="topRight"/>
      <selection pane="bottomLeft"/>
      <selection pane="bottomRight"/>
    </sheetView>
  </sheetViews>
  <sheetFormatPr defaultColWidth="0" defaultRowHeight="15" x14ac:dyDescent="0.25"/>
  <cols>
    <col min="1" max="3" width="2.5703125" style="293" customWidth="1"/>
    <col min="4" max="5" width="2.5703125" style="98" customWidth="1"/>
    <col min="6" max="6" width="59.5703125" style="293" customWidth="1"/>
    <col min="7" max="8" width="20.5703125" style="293" customWidth="1"/>
    <col min="9" max="9" width="2.42578125" style="293" customWidth="1"/>
    <col min="10" max="25" width="17" style="293" customWidth="1"/>
    <col min="26" max="26" width="2.42578125" style="293" customWidth="1"/>
    <col min="27" max="27" width="50.5703125" style="293" customWidth="1"/>
    <col min="28" max="28" width="2.42578125" style="293" customWidth="1"/>
    <col min="29" max="29" width="24.5703125" style="293" hidden="1" customWidth="1"/>
    <col min="30" max="30" width="3.5703125" style="293" hidden="1" customWidth="1"/>
    <col min="31" max="31" width="15.42578125" style="293" hidden="1" customWidth="1"/>
    <col min="32" max="315" width="24.5703125" style="293" hidden="1" customWidth="1"/>
    <col min="316" max="16384" width="8.5703125" style="293" hidden="1"/>
  </cols>
  <sheetData>
    <row r="1" spans="1:27" s="10" customFormat="1" x14ac:dyDescent="0.25">
      <c r="A1" s="10" t="str">
        <f ca="1">MID(CELL("filename",A1),FIND("]",CELL("filename",A1))+1,255)</f>
        <v>Fixed charges</v>
      </c>
    </row>
    <row r="2" spans="1:27" s="10" customFormat="1" x14ac:dyDescent="0.25">
      <c r="A2" s="10" t="str">
        <f>Cover!D21&amp;" - "&amp;Cover!D23</f>
        <v>Southern Electric Power Distribution plc - Final</v>
      </c>
    </row>
    <row r="3" spans="1:27" s="46" customFormat="1" x14ac:dyDescent="0.25">
      <c r="A3" s="46" t="str">
        <f>Cover!D2&amp;" - "&amp;Cover!D8&amp;" v"&amp;Cover!D10&amp;" - "&amp;Cover!D19</f>
        <v>ARP model - Release for charge setting v7 - 2023/24</v>
      </c>
    </row>
    <row r="4" spans="1:27" x14ac:dyDescent="0.25">
      <c r="A4" s="366" t="str">
        <f>H165 &amp; IF(H165 = 1, " issue", " issues") &amp;" identified in checks on this sheet"</f>
        <v>0 issues identified in checks on this sheet</v>
      </c>
      <c r="B4" s="108"/>
      <c r="C4" s="108"/>
      <c r="D4" s="108"/>
      <c r="E4" s="108"/>
      <c r="F4" s="108"/>
      <c r="G4" s="108"/>
      <c r="H4" s="111"/>
      <c r="I4" s="111"/>
    </row>
    <row r="5" spans="1:27" ht="60" x14ac:dyDescent="0.25">
      <c r="B5" s="367" t="s">
        <v>451</v>
      </c>
      <c r="C5" s="368"/>
      <c r="D5" s="368"/>
      <c r="E5" s="368"/>
      <c r="F5" s="368"/>
      <c r="G5" s="1" t="s">
        <v>91</v>
      </c>
      <c r="H5" s="2" t="s">
        <v>92</v>
      </c>
      <c r="J5" s="2" t="s">
        <v>926</v>
      </c>
      <c r="K5" s="2" t="s">
        <v>927</v>
      </c>
      <c r="L5" s="2" t="s">
        <v>928</v>
      </c>
      <c r="M5" s="2" t="s">
        <v>929</v>
      </c>
      <c r="N5" s="2" t="s">
        <v>930</v>
      </c>
      <c r="O5" s="2" t="s">
        <v>931</v>
      </c>
      <c r="P5" s="2" t="s">
        <v>932</v>
      </c>
      <c r="Q5" s="2" t="s">
        <v>933</v>
      </c>
      <c r="R5" s="2" t="s">
        <v>934</v>
      </c>
      <c r="S5" s="2" t="s">
        <v>935</v>
      </c>
      <c r="T5" s="2" t="s">
        <v>936</v>
      </c>
      <c r="U5" s="2" t="s">
        <v>937</v>
      </c>
      <c r="V5" s="2" t="s">
        <v>938</v>
      </c>
      <c r="W5" s="2" t="s">
        <v>939</v>
      </c>
      <c r="X5" s="2" t="s">
        <v>940</v>
      </c>
      <c r="Y5" s="2" t="s">
        <v>941</v>
      </c>
      <c r="AA5" s="1" t="s">
        <v>93</v>
      </c>
    </row>
    <row r="7" spans="1:27" x14ac:dyDescent="0.25">
      <c r="B7" s="95" t="s">
        <v>90</v>
      </c>
      <c r="C7" s="95"/>
      <c r="D7" s="95"/>
      <c r="E7" s="95"/>
      <c r="F7" s="95"/>
      <c r="G7" s="95"/>
      <c r="H7" s="95"/>
      <c r="I7" s="95"/>
      <c r="J7" s="95"/>
      <c r="K7" s="95"/>
      <c r="L7" s="95"/>
      <c r="M7" s="95"/>
      <c r="N7" s="95"/>
      <c r="O7" s="95"/>
      <c r="P7" s="95"/>
      <c r="Q7" s="95"/>
      <c r="R7" s="95"/>
      <c r="S7" s="95"/>
      <c r="T7" s="95"/>
      <c r="U7" s="95"/>
      <c r="V7" s="95"/>
      <c r="W7" s="95"/>
      <c r="X7" s="95"/>
      <c r="Y7" s="95"/>
      <c r="Z7" s="95"/>
      <c r="AA7" s="95"/>
    </row>
    <row r="9" spans="1:27" x14ac:dyDescent="0.25">
      <c r="D9" s="82" t="s">
        <v>404</v>
      </c>
      <c r="E9" s="293"/>
    </row>
    <row r="10" spans="1:27" x14ac:dyDescent="0.25">
      <c r="D10" s="299" t="s">
        <v>824</v>
      </c>
      <c r="E10" s="293"/>
    </row>
    <row r="11" spans="1:27" x14ac:dyDescent="0.25">
      <c r="D11" s="82" t="s">
        <v>405</v>
      </c>
      <c r="E11" s="293"/>
    </row>
    <row r="12" spans="1:27" x14ac:dyDescent="0.25">
      <c r="D12" s="299" t="s">
        <v>825</v>
      </c>
      <c r="E12" s="293"/>
    </row>
    <row r="14" spans="1:27" x14ac:dyDescent="0.25">
      <c r="B14" s="95" t="s">
        <v>660</v>
      </c>
      <c r="C14" s="95"/>
      <c r="D14" s="95"/>
      <c r="E14" s="95"/>
      <c r="F14" s="95"/>
      <c r="G14" s="95"/>
      <c r="H14" s="95"/>
      <c r="I14" s="95"/>
      <c r="J14" s="95"/>
      <c r="K14" s="95"/>
      <c r="L14" s="95"/>
      <c r="M14" s="95"/>
      <c r="N14" s="95"/>
      <c r="O14" s="95"/>
      <c r="P14" s="95"/>
      <c r="Q14" s="95"/>
      <c r="R14" s="95"/>
      <c r="S14" s="95"/>
      <c r="T14" s="95"/>
      <c r="U14" s="95"/>
      <c r="V14" s="95"/>
      <c r="W14" s="95"/>
      <c r="X14" s="95"/>
      <c r="Y14" s="95"/>
      <c r="Z14" s="95"/>
      <c r="AA14" s="95"/>
    </row>
    <row r="16" spans="1:27" x14ac:dyDescent="0.25">
      <c r="C16" s="7" t="str">
        <f ca="1">INDEX('Version control'!$H$35:$H$61,MATCH($A$1,'Version control'!$F$35:$F$61,0),1)&amp;"-A: Volumes (discounted MPANs &amp; maximum load)"</f>
        <v>Section 517-A: Volumes (discounted MPANs &amp; maximum load)</v>
      </c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</row>
    <row r="17" spans="3:27" x14ac:dyDescent="0.25">
      <c r="D17" s="293"/>
      <c r="E17" s="96"/>
      <c r="I17" s="293" t="s">
        <v>359</v>
      </c>
      <c r="AA17" s="293" t="s">
        <v>826</v>
      </c>
    </row>
    <row r="18" spans="3:27" x14ac:dyDescent="0.25">
      <c r="C18" s="86"/>
      <c r="E18" s="293" t="s">
        <v>402</v>
      </c>
      <c r="G18" s="293" t="s">
        <v>74</v>
      </c>
      <c r="J18" s="273">
        <f>'Volume adjustments'!J275</f>
        <v>2974344.8025927823</v>
      </c>
      <c r="K18" s="273">
        <f>'Volume adjustments'!K275</f>
        <v>34009.139902491879</v>
      </c>
      <c r="L18" s="273">
        <f>'Volume adjustments'!L275</f>
        <v>233814.03222493452</v>
      </c>
      <c r="M18" s="273">
        <f>'Volume adjustments'!M275</f>
        <v>4763.1029684859122</v>
      </c>
      <c r="N18" s="273">
        <f>'Volume adjustments'!N275</f>
        <v>23003.187012441267</v>
      </c>
      <c r="O18" s="273">
        <f>'Volume adjustments'!O275</f>
        <v>296.66634753688652</v>
      </c>
      <c r="P18" s="273">
        <f>'Volume adjustments'!P275</f>
        <v>1845.5473650417343</v>
      </c>
      <c r="Q18" s="273">
        <f>'Volume adjustments'!Q275</f>
        <v>4315.823371813919</v>
      </c>
      <c r="R18" s="273">
        <f>'Volume adjustments'!R275</f>
        <v>1884.9999999999998</v>
      </c>
      <c r="S18" s="273">
        <f>'Volume adjustments'!S275</f>
        <v>38.935483870967744</v>
      </c>
      <c r="T18" s="273">
        <f>'Volume adjustments'!T275</f>
        <v>836.76967715751107</v>
      </c>
      <c r="U18" s="273">
        <f>'Volume adjustments'!U275</f>
        <v>0</v>
      </c>
      <c r="V18" s="273">
        <f>'Volume adjustments'!V275</f>
        <v>1</v>
      </c>
      <c r="W18" s="273">
        <f>'Volume adjustments'!W275</f>
        <v>0</v>
      </c>
      <c r="X18" s="273">
        <f>'Volume adjustments'!X275</f>
        <v>232.35483870967744</v>
      </c>
      <c r="Y18" s="273">
        <f>'Volume adjustments'!Y275</f>
        <v>0</v>
      </c>
    </row>
    <row r="19" spans="3:27" x14ac:dyDescent="0.25">
      <c r="C19" s="86"/>
      <c r="E19" s="293"/>
      <c r="J19" s="273"/>
      <c r="K19" s="273"/>
      <c r="L19" s="273"/>
      <c r="M19" s="273"/>
      <c r="N19" s="273"/>
      <c r="O19" s="273"/>
      <c r="P19" s="273"/>
      <c r="Q19" s="273"/>
      <c r="R19" s="273"/>
      <c r="S19" s="273"/>
      <c r="T19" s="273"/>
      <c r="U19" s="273"/>
      <c r="V19" s="273"/>
      <c r="W19" s="273"/>
      <c r="X19" s="273"/>
      <c r="Y19" s="273"/>
    </row>
    <row r="20" spans="3:27" x14ac:dyDescent="0.25">
      <c r="C20" s="86"/>
      <c r="E20" s="293" t="s">
        <v>247</v>
      </c>
      <c r="G20" s="293" t="s">
        <v>102</v>
      </c>
      <c r="H20" s="90"/>
      <c r="J20" s="273">
        <f>'System peak demand'!J200</f>
        <v>3227.4951635828756</v>
      </c>
      <c r="K20" s="273">
        <f>'System peak demand'!K200</f>
        <v>250.16486209301897</v>
      </c>
      <c r="L20" s="273">
        <f>'System peak demand'!L200</f>
        <v>853.15253255325274</v>
      </c>
      <c r="M20" s="273">
        <f>'System peak demand'!M200</f>
        <v>19.395608996465267</v>
      </c>
      <c r="N20" s="273">
        <f>'System peak demand'!N200</f>
        <v>1020.436934920041</v>
      </c>
      <c r="O20" s="273">
        <f>'System peak demand'!O200</f>
        <v>56.791959651664349</v>
      </c>
      <c r="P20" s="273">
        <f>'System peak demand'!P200</f>
        <v>720.84261708673978</v>
      </c>
      <c r="Q20" s="273">
        <f>'System peak demand'!Q200</f>
        <v>46.935372348953571</v>
      </c>
      <c r="R20" s="273">
        <f>'System peak demand'!R200</f>
        <v>0</v>
      </c>
      <c r="S20" s="273">
        <f>'System peak demand'!S200</f>
        <v>0</v>
      </c>
      <c r="T20" s="273">
        <f>'System peak demand'!T200</f>
        <v>0</v>
      </c>
      <c r="U20" s="273">
        <f>'System peak demand'!U200</f>
        <v>0</v>
      </c>
      <c r="V20" s="273">
        <f>'System peak demand'!V200</f>
        <v>0</v>
      </c>
      <c r="W20" s="273">
        <f>'System peak demand'!W200</f>
        <v>0</v>
      </c>
      <c r="X20" s="273">
        <f>'System peak demand'!X200</f>
        <v>0</v>
      </c>
      <c r="Y20" s="273">
        <f>'System peak demand'!Y200</f>
        <v>0</v>
      </c>
    </row>
    <row r="21" spans="3:27" x14ac:dyDescent="0.25">
      <c r="J21" s="252"/>
      <c r="K21" s="252"/>
      <c r="L21" s="252"/>
      <c r="M21" s="252"/>
      <c r="N21" s="252"/>
      <c r="O21" s="252"/>
      <c r="P21" s="252"/>
      <c r="Q21" s="252"/>
      <c r="R21" s="252"/>
      <c r="S21" s="252"/>
      <c r="T21" s="252"/>
      <c r="U21" s="252"/>
      <c r="V21" s="252"/>
      <c r="W21" s="252"/>
      <c r="X21" s="252"/>
      <c r="Y21" s="252"/>
    </row>
    <row r="22" spans="3:27" x14ac:dyDescent="0.25">
      <c r="C22" s="7" t="str">
        <f ca="1">INDEX('Version control'!$H$35:$H$61,MATCH($A$1,'Version control'!$F$35:$F$61,0),1)&amp;"-B: Capacity elements allocated to fixed charges"</f>
        <v>Section 517-B: Capacity elements allocated to fixed charges</v>
      </c>
      <c r="D22" s="7"/>
      <c r="E22" s="7"/>
      <c r="F22" s="7"/>
      <c r="G22" s="7"/>
      <c r="H22" s="7"/>
      <c r="I22" s="7"/>
      <c r="J22" s="242"/>
      <c r="K22" s="242"/>
      <c r="L22" s="242"/>
      <c r="M22" s="242"/>
      <c r="N22" s="242"/>
      <c r="O22" s="242"/>
      <c r="P22" s="242"/>
      <c r="Q22" s="242"/>
      <c r="R22" s="242"/>
      <c r="S22" s="242"/>
      <c r="T22" s="242"/>
      <c r="U22" s="242"/>
      <c r="V22" s="242"/>
      <c r="W22" s="242"/>
      <c r="X22" s="242"/>
      <c r="Y22" s="242"/>
      <c r="Z22" s="7"/>
      <c r="AA22" s="7"/>
    </row>
    <row r="23" spans="3:27" x14ac:dyDescent="0.25">
      <c r="D23" s="293"/>
      <c r="E23" s="96"/>
      <c r="I23" s="293" t="s">
        <v>359</v>
      </c>
      <c r="J23" s="252"/>
      <c r="K23" s="252"/>
      <c r="L23" s="252"/>
      <c r="M23" s="252"/>
      <c r="N23" s="252"/>
      <c r="O23" s="252"/>
      <c r="P23" s="252"/>
      <c r="Q23" s="252"/>
      <c r="R23" s="252"/>
      <c r="S23" s="252"/>
      <c r="T23" s="252"/>
      <c r="U23" s="252"/>
      <c r="V23" s="252"/>
      <c r="W23" s="252"/>
      <c r="X23" s="252"/>
      <c r="Y23" s="252"/>
      <c r="AA23" s="293" t="s">
        <v>826</v>
      </c>
    </row>
    <row r="24" spans="3:27" x14ac:dyDescent="0.25">
      <c r="C24" s="86"/>
      <c r="E24" s="96" t="s">
        <v>139</v>
      </c>
      <c r="J24" s="252"/>
      <c r="K24" s="252"/>
      <c r="L24" s="252"/>
      <c r="M24" s="252"/>
      <c r="N24" s="252"/>
      <c r="O24" s="252"/>
      <c r="P24" s="252"/>
      <c r="Q24" s="252"/>
      <c r="R24" s="252"/>
      <c r="S24" s="252"/>
      <c r="T24" s="252"/>
      <c r="U24" s="252"/>
      <c r="V24" s="252"/>
      <c r="W24" s="252"/>
      <c r="X24" s="252"/>
      <c r="Y24" s="252"/>
    </row>
    <row r="25" spans="3:27" x14ac:dyDescent="0.25">
      <c r="C25" s="86"/>
      <c r="E25" s="82"/>
      <c r="F25" s="91" t="s">
        <v>267</v>
      </c>
      <c r="G25" s="91" t="s">
        <v>251</v>
      </c>
      <c r="H25" s="91"/>
      <c r="I25" s="91"/>
      <c r="J25" s="238"/>
      <c r="K25" s="238"/>
      <c r="L25" s="238"/>
      <c r="M25" s="238"/>
      <c r="N25" s="238"/>
      <c r="O25" s="238"/>
      <c r="P25" s="238"/>
      <c r="Q25" s="238"/>
      <c r="R25" s="238"/>
      <c r="S25" s="238"/>
      <c r="T25" s="238"/>
      <c r="U25" s="238"/>
      <c r="V25" s="238"/>
      <c r="W25" s="238"/>
      <c r="X25" s="238"/>
      <c r="Y25" s="238"/>
    </row>
    <row r="26" spans="3:27" x14ac:dyDescent="0.25">
      <c r="C26" s="86"/>
      <c r="E26" s="82"/>
      <c r="F26" s="293" t="s">
        <v>43</v>
      </c>
      <c r="G26" s="293" t="s">
        <v>251</v>
      </c>
      <c r="J26" s="279"/>
      <c r="K26" s="279"/>
      <c r="L26" s="279"/>
      <c r="M26" s="279"/>
      <c r="N26" s="279"/>
      <c r="O26" s="279"/>
      <c r="P26" s="279"/>
      <c r="Q26" s="279"/>
      <c r="R26" s="279"/>
      <c r="S26" s="279"/>
      <c r="T26" s="279"/>
      <c r="U26" s="279"/>
      <c r="V26" s="279"/>
      <c r="W26" s="279"/>
      <c r="X26" s="279"/>
      <c r="Y26" s="279"/>
    </row>
    <row r="27" spans="3:27" x14ac:dyDescent="0.25">
      <c r="C27" s="86"/>
      <c r="E27" s="82"/>
      <c r="F27" s="293" t="s">
        <v>44</v>
      </c>
      <c r="G27" s="293" t="s">
        <v>251</v>
      </c>
      <c r="J27" s="273">
        <f>'Capacity charges'!J264</f>
        <v>0</v>
      </c>
      <c r="K27" s="273">
        <f>'Capacity charges'!K264</f>
        <v>0</v>
      </c>
      <c r="L27" s="273">
        <f>'Capacity charges'!L264</f>
        <v>0</v>
      </c>
      <c r="M27" s="273">
        <f>'Capacity charges'!M264</f>
        <v>0</v>
      </c>
      <c r="N27" s="273">
        <f>'Capacity charges'!N264</f>
        <v>0</v>
      </c>
      <c r="O27" s="273">
        <f>'Capacity charges'!O264</f>
        <v>0</v>
      </c>
      <c r="P27" s="273">
        <f>'Capacity charges'!P264</f>
        <v>0</v>
      </c>
      <c r="Q27" s="273">
        <f>'Capacity charges'!Q264</f>
        <v>0</v>
      </c>
      <c r="R27" s="273">
        <f>'Capacity charges'!R264</f>
        <v>0</v>
      </c>
      <c r="S27" s="273">
        <f>'Capacity charges'!S264</f>
        <v>0</v>
      </c>
      <c r="T27" s="273">
        <f>'Capacity charges'!T264</f>
        <v>0</v>
      </c>
      <c r="U27" s="273">
        <f>'Capacity charges'!U264</f>
        <v>0</v>
      </c>
      <c r="V27" s="273">
        <f>'Capacity charges'!V264</f>
        <v>0</v>
      </c>
      <c r="W27" s="273">
        <f>'Capacity charges'!W264</f>
        <v>0</v>
      </c>
      <c r="X27" s="273">
        <f>'Capacity charges'!X264</f>
        <v>0</v>
      </c>
      <c r="Y27" s="273">
        <f>'Capacity charges'!Y264</f>
        <v>0</v>
      </c>
    </row>
    <row r="28" spans="3:27" x14ac:dyDescent="0.25">
      <c r="C28" s="86"/>
      <c r="E28" s="82"/>
      <c r="F28" s="293" t="s">
        <v>45</v>
      </c>
      <c r="G28" s="293" t="s">
        <v>251</v>
      </c>
      <c r="J28" s="273">
        <f>'Capacity charges'!J265</f>
        <v>0</v>
      </c>
      <c r="K28" s="273">
        <f>'Capacity charges'!K265</f>
        <v>0</v>
      </c>
      <c r="L28" s="273">
        <f>'Capacity charges'!L265</f>
        <v>0</v>
      </c>
      <c r="M28" s="273">
        <f>'Capacity charges'!M265</f>
        <v>0</v>
      </c>
      <c r="N28" s="273">
        <f>'Capacity charges'!N265</f>
        <v>0</v>
      </c>
      <c r="O28" s="273">
        <f>'Capacity charges'!O265</f>
        <v>0</v>
      </c>
      <c r="P28" s="273">
        <f>'Capacity charges'!P265</f>
        <v>0</v>
      </c>
      <c r="Q28" s="273">
        <f>'Capacity charges'!Q265</f>
        <v>0</v>
      </c>
      <c r="R28" s="273">
        <f>'Capacity charges'!R265</f>
        <v>0</v>
      </c>
      <c r="S28" s="273">
        <f>'Capacity charges'!S265</f>
        <v>0</v>
      </c>
      <c r="T28" s="273">
        <f>'Capacity charges'!T265</f>
        <v>0</v>
      </c>
      <c r="U28" s="273">
        <f>'Capacity charges'!U265</f>
        <v>0</v>
      </c>
      <c r="V28" s="273">
        <f>'Capacity charges'!V265</f>
        <v>0</v>
      </c>
      <c r="W28" s="273">
        <f>'Capacity charges'!W265</f>
        <v>0</v>
      </c>
      <c r="X28" s="273">
        <f>'Capacity charges'!X265</f>
        <v>0</v>
      </c>
      <c r="Y28" s="273">
        <f>'Capacity charges'!Y265</f>
        <v>0</v>
      </c>
    </row>
    <row r="29" spans="3:27" x14ac:dyDescent="0.25">
      <c r="C29" s="86"/>
      <c r="E29" s="82"/>
      <c r="F29" s="293" t="s">
        <v>46</v>
      </c>
      <c r="G29" s="293" t="s">
        <v>251</v>
      </c>
      <c r="J29" s="273">
        <f>'Capacity charges'!J266</f>
        <v>0</v>
      </c>
      <c r="K29" s="273">
        <f>'Capacity charges'!K266</f>
        <v>0</v>
      </c>
      <c r="L29" s="273">
        <f>'Capacity charges'!L266</f>
        <v>0</v>
      </c>
      <c r="M29" s="273">
        <f>'Capacity charges'!M266</f>
        <v>0</v>
      </c>
      <c r="N29" s="273">
        <f>'Capacity charges'!N266</f>
        <v>0</v>
      </c>
      <c r="O29" s="273">
        <f>'Capacity charges'!O266</f>
        <v>0</v>
      </c>
      <c r="P29" s="273">
        <f>'Capacity charges'!P266</f>
        <v>0</v>
      </c>
      <c r="Q29" s="273">
        <f>'Capacity charges'!Q266</f>
        <v>0</v>
      </c>
      <c r="R29" s="273">
        <f>'Capacity charges'!R266</f>
        <v>0</v>
      </c>
      <c r="S29" s="273">
        <f>'Capacity charges'!S266</f>
        <v>0</v>
      </c>
      <c r="T29" s="273">
        <f>'Capacity charges'!T266</f>
        <v>0</v>
      </c>
      <c r="U29" s="273">
        <f>'Capacity charges'!U266</f>
        <v>0</v>
      </c>
      <c r="V29" s="273">
        <f>'Capacity charges'!V266</f>
        <v>0</v>
      </c>
      <c r="W29" s="273">
        <f>'Capacity charges'!W266</f>
        <v>0</v>
      </c>
      <c r="X29" s="273">
        <f>'Capacity charges'!X266</f>
        <v>0</v>
      </c>
      <c r="Y29" s="273">
        <f>'Capacity charges'!Y266</f>
        <v>0</v>
      </c>
    </row>
    <row r="30" spans="3:27" x14ac:dyDescent="0.25">
      <c r="C30" s="86"/>
      <c r="E30" s="82"/>
      <c r="F30" s="293" t="s">
        <v>47</v>
      </c>
      <c r="G30" s="293" t="s">
        <v>251</v>
      </c>
      <c r="J30" s="273">
        <f>'Capacity charges'!J267</f>
        <v>0</v>
      </c>
      <c r="K30" s="273">
        <f>'Capacity charges'!K267</f>
        <v>0</v>
      </c>
      <c r="L30" s="273">
        <f>'Capacity charges'!L267</f>
        <v>0</v>
      </c>
      <c r="M30" s="273">
        <f>'Capacity charges'!M267</f>
        <v>0</v>
      </c>
      <c r="N30" s="273">
        <f>'Capacity charges'!N267</f>
        <v>0</v>
      </c>
      <c r="O30" s="273">
        <f>'Capacity charges'!O267</f>
        <v>0</v>
      </c>
      <c r="P30" s="273">
        <f>'Capacity charges'!P267</f>
        <v>0</v>
      </c>
      <c r="Q30" s="273">
        <f>'Capacity charges'!Q267</f>
        <v>0</v>
      </c>
      <c r="R30" s="273">
        <f>'Capacity charges'!R267</f>
        <v>0</v>
      </c>
      <c r="S30" s="273">
        <f>'Capacity charges'!S267</f>
        <v>0</v>
      </c>
      <c r="T30" s="273">
        <f>'Capacity charges'!T267</f>
        <v>0</v>
      </c>
      <c r="U30" s="273">
        <f>'Capacity charges'!U267</f>
        <v>0</v>
      </c>
      <c r="V30" s="273">
        <f>'Capacity charges'!V267</f>
        <v>0</v>
      </c>
      <c r="W30" s="273">
        <f>'Capacity charges'!W267</f>
        <v>0</v>
      </c>
      <c r="X30" s="273">
        <f>'Capacity charges'!X267</f>
        <v>0</v>
      </c>
      <c r="Y30" s="273">
        <f>'Capacity charges'!Y267</f>
        <v>0</v>
      </c>
    </row>
    <row r="31" spans="3:27" x14ac:dyDescent="0.25">
      <c r="C31" s="86"/>
      <c r="E31" s="82"/>
      <c r="F31" s="293" t="s">
        <v>51</v>
      </c>
      <c r="G31" s="293" t="s">
        <v>251</v>
      </c>
      <c r="J31" s="273">
        <f>'Capacity charges'!J268</f>
        <v>0</v>
      </c>
      <c r="K31" s="273">
        <f>'Capacity charges'!K268</f>
        <v>0</v>
      </c>
      <c r="L31" s="273">
        <f>'Capacity charges'!L268</f>
        <v>0</v>
      </c>
      <c r="M31" s="273">
        <f>'Capacity charges'!M268</f>
        <v>0</v>
      </c>
      <c r="N31" s="273">
        <f>'Capacity charges'!N268</f>
        <v>0</v>
      </c>
      <c r="O31" s="273">
        <f>'Capacity charges'!O268</f>
        <v>0</v>
      </c>
      <c r="P31" s="273">
        <f>'Capacity charges'!P268</f>
        <v>0</v>
      </c>
      <c r="Q31" s="273">
        <f>'Capacity charges'!Q268</f>
        <v>0</v>
      </c>
      <c r="R31" s="273">
        <f>'Capacity charges'!R268</f>
        <v>0</v>
      </c>
      <c r="S31" s="273">
        <f>'Capacity charges'!S268</f>
        <v>0</v>
      </c>
      <c r="T31" s="273">
        <f>'Capacity charges'!T268</f>
        <v>0</v>
      </c>
      <c r="U31" s="273">
        <f>'Capacity charges'!U268</f>
        <v>0</v>
      </c>
      <c r="V31" s="273">
        <f>'Capacity charges'!V268</f>
        <v>0</v>
      </c>
      <c r="W31" s="273">
        <f>'Capacity charges'!W268</f>
        <v>0</v>
      </c>
      <c r="X31" s="273">
        <f>'Capacity charges'!X268</f>
        <v>0</v>
      </c>
      <c r="Y31" s="273">
        <f>'Capacity charges'!Y268</f>
        <v>0</v>
      </c>
    </row>
    <row r="32" spans="3:27" x14ac:dyDescent="0.25">
      <c r="C32" s="86"/>
      <c r="E32" s="82"/>
      <c r="F32" s="293" t="s">
        <v>48</v>
      </c>
      <c r="G32" s="293" t="s">
        <v>251</v>
      </c>
      <c r="J32" s="273">
        <f>'Capacity charges'!J269</f>
        <v>0</v>
      </c>
      <c r="K32" s="273">
        <f>'Capacity charges'!K269</f>
        <v>0</v>
      </c>
      <c r="L32" s="273">
        <f>'Capacity charges'!L269</f>
        <v>0</v>
      </c>
      <c r="M32" s="273">
        <f>'Capacity charges'!M269</f>
        <v>0</v>
      </c>
      <c r="N32" s="273">
        <f>'Capacity charges'!N269</f>
        <v>0</v>
      </c>
      <c r="O32" s="273">
        <f>'Capacity charges'!O269</f>
        <v>0</v>
      </c>
      <c r="P32" s="273">
        <f>'Capacity charges'!P269</f>
        <v>0</v>
      </c>
      <c r="Q32" s="273">
        <f>'Capacity charges'!Q269</f>
        <v>0</v>
      </c>
      <c r="R32" s="273">
        <f>'Capacity charges'!R269</f>
        <v>0</v>
      </c>
      <c r="S32" s="273">
        <f>'Capacity charges'!S269</f>
        <v>0</v>
      </c>
      <c r="T32" s="273">
        <f>'Capacity charges'!T269</f>
        <v>0</v>
      </c>
      <c r="U32" s="273">
        <f>'Capacity charges'!U269</f>
        <v>0</v>
      </c>
      <c r="V32" s="273">
        <f>'Capacity charges'!V269</f>
        <v>0</v>
      </c>
      <c r="W32" s="273">
        <f>'Capacity charges'!W269</f>
        <v>0</v>
      </c>
      <c r="X32" s="273">
        <f>'Capacity charges'!X269</f>
        <v>0</v>
      </c>
      <c r="Y32" s="273">
        <f>'Capacity charges'!Y269</f>
        <v>0</v>
      </c>
    </row>
    <row r="33" spans="3:25" x14ac:dyDescent="0.25">
      <c r="C33" s="86"/>
      <c r="E33" s="82"/>
      <c r="F33" s="293" t="s">
        <v>49</v>
      </c>
      <c r="G33" s="293" t="s">
        <v>251</v>
      </c>
      <c r="J33" s="273">
        <f>'Capacity charges'!J270</f>
        <v>0</v>
      </c>
      <c r="K33" s="273">
        <f>'Capacity charges'!K270</f>
        <v>0</v>
      </c>
      <c r="L33" s="273">
        <f>'Capacity charges'!L270</f>
        <v>0</v>
      </c>
      <c r="M33" s="273">
        <f>'Capacity charges'!M270</f>
        <v>0</v>
      </c>
      <c r="N33" s="273">
        <f>'Capacity charges'!N270</f>
        <v>0</v>
      </c>
      <c r="O33" s="273">
        <f>'Capacity charges'!O270</f>
        <v>0</v>
      </c>
      <c r="P33" s="273">
        <f>'Capacity charges'!P270</f>
        <v>0</v>
      </c>
      <c r="Q33" s="273">
        <f>'Capacity charges'!Q270</f>
        <v>0</v>
      </c>
      <c r="R33" s="273">
        <f>'Capacity charges'!R270</f>
        <v>0</v>
      </c>
      <c r="S33" s="273">
        <f>'Capacity charges'!S270</f>
        <v>0</v>
      </c>
      <c r="T33" s="273">
        <f>'Capacity charges'!T270</f>
        <v>0</v>
      </c>
      <c r="U33" s="273">
        <f>'Capacity charges'!U270</f>
        <v>0</v>
      </c>
      <c r="V33" s="273">
        <f>'Capacity charges'!V270</f>
        <v>0</v>
      </c>
      <c r="W33" s="273">
        <f>'Capacity charges'!W270</f>
        <v>0</v>
      </c>
      <c r="X33" s="273">
        <f>'Capacity charges'!X270</f>
        <v>0</v>
      </c>
      <c r="Y33" s="273">
        <f>'Capacity charges'!Y270</f>
        <v>0</v>
      </c>
    </row>
    <row r="34" spans="3:25" x14ac:dyDescent="0.25">
      <c r="C34" s="86"/>
      <c r="E34" s="82"/>
      <c r="F34" s="293" t="s">
        <v>50</v>
      </c>
      <c r="G34" s="293" t="s">
        <v>251</v>
      </c>
      <c r="J34" s="273">
        <f>'Capacity charges'!J271</f>
        <v>0.11366651620964532</v>
      </c>
      <c r="K34" s="273">
        <f>'Capacity charges'!K271</f>
        <v>0</v>
      </c>
      <c r="L34" s="273">
        <f>'Capacity charges'!L271</f>
        <v>0.11366651620964532</v>
      </c>
      <c r="M34" s="273">
        <f>'Capacity charges'!M271</f>
        <v>0</v>
      </c>
      <c r="N34" s="273">
        <f>'Capacity charges'!N271</f>
        <v>0</v>
      </c>
      <c r="O34" s="273">
        <f>'Capacity charges'!O271</f>
        <v>0</v>
      </c>
      <c r="P34" s="273">
        <f>'Capacity charges'!P271</f>
        <v>0</v>
      </c>
      <c r="Q34" s="273">
        <f>'Capacity charges'!Q271</f>
        <v>0</v>
      </c>
      <c r="R34" s="273">
        <f>'Capacity charges'!R271</f>
        <v>0</v>
      </c>
      <c r="S34" s="273">
        <f>'Capacity charges'!S271</f>
        <v>0</v>
      </c>
      <c r="T34" s="273">
        <f>'Capacity charges'!T271</f>
        <v>0</v>
      </c>
      <c r="U34" s="273">
        <f>'Capacity charges'!U271</f>
        <v>0</v>
      </c>
      <c r="V34" s="273">
        <f>'Capacity charges'!V271</f>
        <v>0</v>
      </c>
      <c r="W34" s="273">
        <f>'Capacity charges'!W271</f>
        <v>0</v>
      </c>
      <c r="X34" s="273">
        <f>'Capacity charges'!X271</f>
        <v>0</v>
      </c>
      <c r="Y34" s="273">
        <f>'Capacity charges'!Y271</f>
        <v>0</v>
      </c>
    </row>
    <row r="35" spans="3:25" x14ac:dyDescent="0.25">
      <c r="C35" s="86"/>
      <c r="E35" s="82"/>
      <c r="F35" s="293" t="s">
        <v>124</v>
      </c>
      <c r="G35" s="293" t="s">
        <v>251</v>
      </c>
      <c r="J35" s="279"/>
      <c r="K35" s="279"/>
      <c r="L35" s="279"/>
      <c r="M35" s="279"/>
      <c r="N35" s="279"/>
      <c r="O35" s="279"/>
      <c r="P35" s="279"/>
      <c r="Q35" s="279"/>
      <c r="R35" s="279"/>
      <c r="S35" s="279"/>
      <c r="T35" s="279"/>
      <c r="U35" s="279"/>
      <c r="V35" s="279"/>
      <c r="W35" s="279"/>
      <c r="X35" s="279"/>
      <c r="Y35" s="279"/>
    </row>
    <row r="36" spans="3:25" x14ac:dyDescent="0.25">
      <c r="C36" s="86"/>
      <c r="E36" s="82"/>
      <c r="F36" s="93" t="s">
        <v>123</v>
      </c>
      <c r="G36" s="93" t="s">
        <v>251</v>
      </c>
      <c r="H36" s="93"/>
      <c r="I36" s="93"/>
      <c r="J36" s="240"/>
      <c r="K36" s="240"/>
      <c r="L36" s="240"/>
      <c r="M36" s="240"/>
      <c r="N36" s="240"/>
      <c r="O36" s="240"/>
      <c r="P36" s="240"/>
      <c r="Q36" s="240"/>
      <c r="R36" s="240"/>
      <c r="S36" s="240"/>
      <c r="T36" s="240"/>
      <c r="U36" s="240"/>
      <c r="V36" s="240"/>
      <c r="W36" s="240"/>
      <c r="X36" s="240"/>
      <c r="Y36" s="240"/>
    </row>
    <row r="37" spans="3:25" x14ac:dyDescent="0.25">
      <c r="C37" s="86"/>
      <c r="D37" s="293"/>
      <c r="E37" s="82"/>
      <c r="J37" s="252"/>
      <c r="K37" s="252"/>
      <c r="L37" s="252"/>
      <c r="M37" s="252"/>
      <c r="N37" s="252"/>
      <c r="O37" s="252"/>
      <c r="P37" s="252"/>
      <c r="Q37" s="252"/>
      <c r="R37" s="252"/>
      <c r="S37" s="252"/>
      <c r="T37" s="252"/>
      <c r="U37" s="252"/>
      <c r="V37" s="252"/>
      <c r="W37" s="252"/>
      <c r="X37" s="252"/>
      <c r="Y37" s="252"/>
    </row>
    <row r="38" spans="3:25" x14ac:dyDescent="0.25">
      <c r="C38" s="86"/>
      <c r="E38" s="96" t="s">
        <v>116</v>
      </c>
      <c r="J38" s="252"/>
      <c r="K38" s="252"/>
      <c r="L38" s="252"/>
      <c r="M38" s="252"/>
      <c r="N38" s="252"/>
      <c r="O38" s="252"/>
      <c r="P38" s="252"/>
      <c r="Q38" s="252"/>
      <c r="R38" s="252"/>
      <c r="S38" s="252"/>
      <c r="T38" s="252"/>
      <c r="U38" s="252"/>
      <c r="V38" s="252"/>
      <c r="W38" s="252"/>
      <c r="X38" s="252"/>
      <c r="Y38" s="252"/>
    </row>
    <row r="39" spans="3:25" x14ac:dyDescent="0.25">
      <c r="C39" s="86"/>
      <c r="F39" s="91" t="s">
        <v>267</v>
      </c>
      <c r="G39" s="91" t="s">
        <v>251</v>
      </c>
      <c r="H39" s="91"/>
      <c r="I39" s="91"/>
      <c r="J39" s="272">
        <f>'Capacity charges'!J276</f>
        <v>0</v>
      </c>
      <c r="K39" s="272">
        <f>'Capacity charges'!K276</f>
        <v>0</v>
      </c>
      <c r="L39" s="272">
        <f>'Capacity charges'!L276</f>
        <v>0</v>
      </c>
      <c r="M39" s="272">
        <f>'Capacity charges'!M276</f>
        <v>0</v>
      </c>
      <c r="N39" s="272">
        <f>'Capacity charges'!N276</f>
        <v>0</v>
      </c>
      <c r="O39" s="272">
        <f>'Capacity charges'!O276</f>
        <v>0</v>
      </c>
      <c r="P39" s="272">
        <f>'Capacity charges'!P276</f>
        <v>0</v>
      </c>
      <c r="Q39" s="272">
        <f>'Capacity charges'!Q276</f>
        <v>0</v>
      </c>
      <c r="R39" s="272">
        <f>'Capacity charges'!R276</f>
        <v>0</v>
      </c>
      <c r="S39" s="272">
        <f>'Capacity charges'!S276</f>
        <v>0</v>
      </c>
      <c r="T39" s="272">
        <f>'Capacity charges'!T276</f>
        <v>0</v>
      </c>
      <c r="U39" s="272">
        <f>'Capacity charges'!U276</f>
        <v>0</v>
      </c>
      <c r="V39" s="272">
        <f>'Capacity charges'!V276</f>
        <v>0</v>
      </c>
      <c r="W39" s="272">
        <f>'Capacity charges'!W276</f>
        <v>0</v>
      </c>
      <c r="X39" s="272">
        <f>'Capacity charges'!X276</f>
        <v>0</v>
      </c>
      <c r="Y39" s="272">
        <f>'Capacity charges'!Y276</f>
        <v>0</v>
      </c>
    </row>
    <row r="40" spans="3:25" x14ac:dyDescent="0.25">
      <c r="C40" s="86"/>
      <c r="F40" s="293" t="s">
        <v>43</v>
      </c>
      <c r="G40" s="293" t="s">
        <v>251</v>
      </c>
      <c r="J40" s="273">
        <f>'Capacity charges'!J277</f>
        <v>0</v>
      </c>
      <c r="K40" s="273">
        <f>'Capacity charges'!K277</f>
        <v>0</v>
      </c>
      <c r="L40" s="273">
        <f>'Capacity charges'!L277</f>
        <v>0</v>
      </c>
      <c r="M40" s="273">
        <f>'Capacity charges'!M277</f>
        <v>0</v>
      </c>
      <c r="N40" s="273">
        <f>'Capacity charges'!N277</f>
        <v>0</v>
      </c>
      <c r="O40" s="273">
        <f>'Capacity charges'!O277</f>
        <v>0</v>
      </c>
      <c r="P40" s="273">
        <f>'Capacity charges'!P277</f>
        <v>0</v>
      </c>
      <c r="Q40" s="273">
        <f>'Capacity charges'!Q277</f>
        <v>0</v>
      </c>
      <c r="R40" s="273">
        <f>'Capacity charges'!R277</f>
        <v>0</v>
      </c>
      <c r="S40" s="273">
        <f>'Capacity charges'!S277</f>
        <v>0</v>
      </c>
      <c r="T40" s="273">
        <f>'Capacity charges'!T277</f>
        <v>0</v>
      </c>
      <c r="U40" s="273">
        <f>'Capacity charges'!U277</f>
        <v>0</v>
      </c>
      <c r="V40" s="273">
        <f>'Capacity charges'!V277</f>
        <v>0</v>
      </c>
      <c r="W40" s="273">
        <f>'Capacity charges'!W277</f>
        <v>0</v>
      </c>
      <c r="X40" s="273">
        <f>'Capacity charges'!X277</f>
        <v>0</v>
      </c>
      <c r="Y40" s="273">
        <f>'Capacity charges'!Y277</f>
        <v>0</v>
      </c>
    </row>
    <row r="41" spans="3:25" x14ac:dyDescent="0.25">
      <c r="C41" s="86"/>
      <c r="F41" s="293" t="s">
        <v>44</v>
      </c>
      <c r="G41" s="293" t="s">
        <v>251</v>
      </c>
      <c r="J41" s="273">
        <f>'Capacity charges'!J278</f>
        <v>0</v>
      </c>
      <c r="K41" s="273">
        <f>'Capacity charges'!K278</f>
        <v>0</v>
      </c>
      <c r="L41" s="273">
        <f>'Capacity charges'!L278</f>
        <v>0</v>
      </c>
      <c r="M41" s="273">
        <f>'Capacity charges'!M278</f>
        <v>0</v>
      </c>
      <c r="N41" s="273">
        <f>'Capacity charges'!N278</f>
        <v>0</v>
      </c>
      <c r="O41" s="273">
        <f>'Capacity charges'!O278</f>
        <v>0</v>
      </c>
      <c r="P41" s="273">
        <f>'Capacity charges'!P278</f>
        <v>0</v>
      </c>
      <c r="Q41" s="273">
        <f>'Capacity charges'!Q278</f>
        <v>0</v>
      </c>
      <c r="R41" s="273">
        <f>'Capacity charges'!R278</f>
        <v>0</v>
      </c>
      <c r="S41" s="273">
        <f>'Capacity charges'!S278</f>
        <v>0</v>
      </c>
      <c r="T41" s="273">
        <f>'Capacity charges'!T278</f>
        <v>0</v>
      </c>
      <c r="U41" s="273">
        <f>'Capacity charges'!U278</f>
        <v>0</v>
      </c>
      <c r="V41" s="273">
        <f>'Capacity charges'!V278</f>
        <v>0</v>
      </c>
      <c r="W41" s="273">
        <f>'Capacity charges'!W278</f>
        <v>0</v>
      </c>
      <c r="X41" s="273">
        <f>'Capacity charges'!X278</f>
        <v>0</v>
      </c>
      <c r="Y41" s="273">
        <f>'Capacity charges'!Y278</f>
        <v>0</v>
      </c>
    </row>
    <row r="42" spans="3:25" x14ac:dyDescent="0.25">
      <c r="C42" s="86"/>
      <c r="F42" s="293" t="s">
        <v>45</v>
      </c>
      <c r="G42" s="293" t="s">
        <v>251</v>
      </c>
      <c r="J42" s="273">
        <f>'Capacity charges'!J279</f>
        <v>0</v>
      </c>
      <c r="K42" s="273">
        <f>'Capacity charges'!K279</f>
        <v>0</v>
      </c>
      <c r="L42" s="273">
        <f>'Capacity charges'!L279</f>
        <v>0</v>
      </c>
      <c r="M42" s="273">
        <f>'Capacity charges'!M279</f>
        <v>0</v>
      </c>
      <c r="N42" s="273">
        <f>'Capacity charges'!N279</f>
        <v>0</v>
      </c>
      <c r="O42" s="273">
        <f>'Capacity charges'!O279</f>
        <v>0</v>
      </c>
      <c r="P42" s="273">
        <f>'Capacity charges'!P279</f>
        <v>0</v>
      </c>
      <c r="Q42" s="273">
        <f>'Capacity charges'!Q279</f>
        <v>0</v>
      </c>
      <c r="R42" s="273">
        <f>'Capacity charges'!R279</f>
        <v>0</v>
      </c>
      <c r="S42" s="273">
        <f>'Capacity charges'!S279</f>
        <v>0</v>
      </c>
      <c r="T42" s="273">
        <f>'Capacity charges'!T279</f>
        <v>0</v>
      </c>
      <c r="U42" s="273">
        <f>'Capacity charges'!U279</f>
        <v>0</v>
      </c>
      <c r="V42" s="273">
        <f>'Capacity charges'!V279</f>
        <v>0</v>
      </c>
      <c r="W42" s="273">
        <f>'Capacity charges'!W279</f>
        <v>0</v>
      </c>
      <c r="X42" s="273">
        <f>'Capacity charges'!X279</f>
        <v>0</v>
      </c>
      <c r="Y42" s="273">
        <f>'Capacity charges'!Y279</f>
        <v>0</v>
      </c>
    </row>
    <row r="43" spans="3:25" x14ac:dyDescent="0.25">
      <c r="C43" s="86"/>
      <c r="F43" s="293" t="s">
        <v>46</v>
      </c>
      <c r="G43" s="293" t="s">
        <v>251</v>
      </c>
      <c r="J43" s="273">
        <f>'Capacity charges'!J280</f>
        <v>0</v>
      </c>
      <c r="K43" s="273">
        <f>'Capacity charges'!K280</f>
        <v>0</v>
      </c>
      <c r="L43" s="273">
        <f>'Capacity charges'!L280</f>
        <v>0</v>
      </c>
      <c r="M43" s="273">
        <f>'Capacity charges'!M280</f>
        <v>0</v>
      </c>
      <c r="N43" s="273">
        <f>'Capacity charges'!N280</f>
        <v>0</v>
      </c>
      <c r="O43" s="273">
        <f>'Capacity charges'!O280</f>
        <v>0</v>
      </c>
      <c r="P43" s="273">
        <f>'Capacity charges'!P280</f>
        <v>0</v>
      </c>
      <c r="Q43" s="273">
        <f>'Capacity charges'!Q280</f>
        <v>0</v>
      </c>
      <c r="R43" s="273">
        <f>'Capacity charges'!R280</f>
        <v>0</v>
      </c>
      <c r="S43" s="273">
        <f>'Capacity charges'!S280</f>
        <v>0</v>
      </c>
      <c r="T43" s="273">
        <f>'Capacity charges'!T280</f>
        <v>0</v>
      </c>
      <c r="U43" s="273">
        <f>'Capacity charges'!U280</f>
        <v>0</v>
      </c>
      <c r="V43" s="273">
        <f>'Capacity charges'!V280</f>
        <v>0</v>
      </c>
      <c r="W43" s="273">
        <f>'Capacity charges'!W280</f>
        <v>0</v>
      </c>
      <c r="X43" s="273">
        <f>'Capacity charges'!X280</f>
        <v>0</v>
      </c>
      <c r="Y43" s="273">
        <f>'Capacity charges'!Y280</f>
        <v>0</v>
      </c>
    </row>
    <row r="44" spans="3:25" x14ac:dyDescent="0.25">
      <c r="C44" s="86"/>
      <c r="F44" s="293" t="s">
        <v>47</v>
      </c>
      <c r="G44" s="293" t="s">
        <v>251</v>
      </c>
      <c r="J44" s="273">
        <f>'Capacity charges'!J281</f>
        <v>0</v>
      </c>
      <c r="K44" s="273">
        <f>'Capacity charges'!K281</f>
        <v>0</v>
      </c>
      <c r="L44" s="273">
        <f>'Capacity charges'!L281</f>
        <v>0</v>
      </c>
      <c r="M44" s="273">
        <f>'Capacity charges'!M281</f>
        <v>0</v>
      </c>
      <c r="N44" s="273">
        <f>'Capacity charges'!N281</f>
        <v>0</v>
      </c>
      <c r="O44" s="273">
        <f>'Capacity charges'!O281</f>
        <v>0</v>
      </c>
      <c r="P44" s="273">
        <f>'Capacity charges'!P281</f>
        <v>0</v>
      </c>
      <c r="Q44" s="273">
        <f>'Capacity charges'!Q281</f>
        <v>0</v>
      </c>
      <c r="R44" s="273">
        <f>'Capacity charges'!R281</f>
        <v>0</v>
      </c>
      <c r="S44" s="273">
        <f>'Capacity charges'!S281</f>
        <v>0</v>
      </c>
      <c r="T44" s="273">
        <f>'Capacity charges'!T281</f>
        <v>0</v>
      </c>
      <c r="U44" s="273">
        <f>'Capacity charges'!U281</f>
        <v>0</v>
      </c>
      <c r="V44" s="273">
        <f>'Capacity charges'!V281</f>
        <v>0</v>
      </c>
      <c r="W44" s="273">
        <f>'Capacity charges'!W281</f>
        <v>0</v>
      </c>
      <c r="X44" s="273">
        <f>'Capacity charges'!X281</f>
        <v>0</v>
      </c>
      <c r="Y44" s="273">
        <f>'Capacity charges'!Y281</f>
        <v>0</v>
      </c>
    </row>
    <row r="45" spans="3:25" x14ac:dyDescent="0.25">
      <c r="C45" s="86"/>
      <c r="F45" s="293" t="s">
        <v>51</v>
      </c>
      <c r="G45" s="293" t="s">
        <v>251</v>
      </c>
      <c r="J45" s="273">
        <f>'Capacity charges'!J282</f>
        <v>0</v>
      </c>
      <c r="K45" s="273">
        <f>'Capacity charges'!K282</f>
        <v>0</v>
      </c>
      <c r="L45" s="273">
        <f>'Capacity charges'!L282</f>
        <v>0</v>
      </c>
      <c r="M45" s="273">
        <f>'Capacity charges'!M282</f>
        <v>0</v>
      </c>
      <c r="N45" s="273">
        <f>'Capacity charges'!N282</f>
        <v>0</v>
      </c>
      <c r="O45" s="273">
        <f>'Capacity charges'!O282</f>
        <v>0</v>
      </c>
      <c r="P45" s="273">
        <f>'Capacity charges'!P282</f>
        <v>0</v>
      </c>
      <c r="Q45" s="273">
        <f>'Capacity charges'!Q282</f>
        <v>0</v>
      </c>
      <c r="R45" s="273">
        <f>'Capacity charges'!R282</f>
        <v>0</v>
      </c>
      <c r="S45" s="273">
        <f>'Capacity charges'!S282</f>
        <v>0</v>
      </c>
      <c r="T45" s="273">
        <f>'Capacity charges'!T282</f>
        <v>0</v>
      </c>
      <c r="U45" s="273">
        <f>'Capacity charges'!U282</f>
        <v>0</v>
      </c>
      <c r="V45" s="273">
        <f>'Capacity charges'!V282</f>
        <v>0</v>
      </c>
      <c r="W45" s="273">
        <f>'Capacity charges'!W282</f>
        <v>0</v>
      </c>
      <c r="X45" s="273">
        <f>'Capacity charges'!X282</f>
        <v>0</v>
      </c>
      <c r="Y45" s="273">
        <f>'Capacity charges'!Y282</f>
        <v>0</v>
      </c>
    </row>
    <row r="46" spans="3:25" x14ac:dyDescent="0.25">
      <c r="C46" s="86"/>
      <c r="F46" s="293" t="s">
        <v>48</v>
      </c>
      <c r="G46" s="293" t="s">
        <v>251</v>
      </c>
      <c r="J46" s="273">
        <f>'Capacity charges'!J283</f>
        <v>0</v>
      </c>
      <c r="K46" s="273">
        <f>'Capacity charges'!K283</f>
        <v>0</v>
      </c>
      <c r="L46" s="273">
        <f>'Capacity charges'!L283</f>
        <v>0</v>
      </c>
      <c r="M46" s="273">
        <f>'Capacity charges'!M283</f>
        <v>0</v>
      </c>
      <c r="N46" s="273">
        <f>'Capacity charges'!N283</f>
        <v>0</v>
      </c>
      <c r="O46" s="273">
        <f>'Capacity charges'!O283</f>
        <v>0</v>
      </c>
      <c r="P46" s="273">
        <f>'Capacity charges'!P283</f>
        <v>0</v>
      </c>
      <c r="Q46" s="273">
        <f>'Capacity charges'!Q283</f>
        <v>0</v>
      </c>
      <c r="R46" s="273">
        <f>'Capacity charges'!R283</f>
        <v>0</v>
      </c>
      <c r="S46" s="273">
        <f>'Capacity charges'!S283</f>
        <v>0</v>
      </c>
      <c r="T46" s="273">
        <f>'Capacity charges'!T283</f>
        <v>0</v>
      </c>
      <c r="U46" s="273">
        <f>'Capacity charges'!U283</f>
        <v>0</v>
      </c>
      <c r="V46" s="273">
        <f>'Capacity charges'!V283</f>
        <v>0</v>
      </c>
      <c r="W46" s="273">
        <f>'Capacity charges'!W283</f>
        <v>0</v>
      </c>
      <c r="X46" s="273">
        <f>'Capacity charges'!X283</f>
        <v>0</v>
      </c>
      <c r="Y46" s="273">
        <f>'Capacity charges'!Y283</f>
        <v>0</v>
      </c>
    </row>
    <row r="47" spans="3:25" x14ac:dyDescent="0.25">
      <c r="C47" s="86"/>
      <c r="F47" s="293" t="s">
        <v>49</v>
      </c>
      <c r="G47" s="293" t="s">
        <v>251</v>
      </c>
      <c r="J47" s="273">
        <f>'Capacity charges'!J284</f>
        <v>0</v>
      </c>
      <c r="K47" s="273">
        <f>'Capacity charges'!K284</f>
        <v>0</v>
      </c>
      <c r="L47" s="273">
        <f>'Capacity charges'!L284</f>
        <v>0</v>
      </c>
      <c r="M47" s="273">
        <f>'Capacity charges'!M284</f>
        <v>0</v>
      </c>
      <c r="N47" s="273">
        <f>'Capacity charges'!N284</f>
        <v>0</v>
      </c>
      <c r="O47" s="273">
        <f>'Capacity charges'!O284</f>
        <v>0</v>
      </c>
      <c r="P47" s="273">
        <f>'Capacity charges'!P284</f>
        <v>0</v>
      </c>
      <c r="Q47" s="273">
        <f>'Capacity charges'!Q284</f>
        <v>0</v>
      </c>
      <c r="R47" s="273">
        <f>'Capacity charges'!R284</f>
        <v>0</v>
      </c>
      <c r="S47" s="273">
        <f>'Capacity charges'!S284</f>
        <v>0</v>
      </c>
      <c r="T47" s="273">
        <f>'Capacity charges'!T284</f>
        <v>0</v>
      </c>
      <c r="U47" s="273">
        <f>'Capacity charges'!U284</f>
        <v>0</v>
      </c>
      <c r="V47" s="273">
        <f>'Capacity charges'!V284</f>
        <v>0</v>
      </c>
      <c r="W47" s="273">
        <f>'Capacity charges'!W284</f>
        <v>0</v>
      </c>
      <c r="X47" s="273">
        <f>'Capacity charges'!X284</f>
        <v>0</v>
      </c>
      <c r="Y47" s="273">
        <f>'Capacity charges'!Y284</f>
        <v>0</v>
      </c>
    </row>
    <row r="48" spans="3:25" x14ac:dyDescent="0.25">
      <c r="C48" s="86"/>
      <c r="F48" s="293" t="s">
        <v>50</v>
      </c>
      <c r="G48" s="293" t="s">
        <v>251</v>
      </c>
      <c r="J48" s="273">
        <f>'Capacity charges'!J285</f>
        <v>1.4512853251373385</v>
      </c>
      <c r="K48" s="273">
        <f>'Capacity charges'!K285</f>
        <v>0</v>
      </c>
      <c r="L48" s="273">
        <f>'Capacity charges'!L285</f>
        <v>1.4512853251373385</v>
      </c>
      <c r="M48" s="273">
        <f>'Capacity charges'!M285</f>
        <v>0</v>
      </c>
      <c r="N48" s="273">
        <f>'Capacity charges'!N285</f>
        <v>0</v>
      </c>
      <c r="O48" s="273">
        <f>'Capacity charges'!O285</f>
        <v>0</v>
      </c>
      <c r="P48" s="273">
        <f>'Capacity charges'!P285</f>
        <v>0</v>
      </c>
      <c r="Q48" s="273">
        <f>'Capacity charges'!Q285</f>
        <v>0</v>
      </c>
      <c r="R48" s="273">
        <f>'Capacity charges'!R285</f>
        <v>0</v>
      </c>
      <c r="S48" s="273">
        <f>'Capacity charges'!S285</f>
        <v>0</v>
      </c>
      <c r="T48" s="273">
        <f>'Capacity charges'!T285</f>
        <v>0</v>
      </c>
      <c r="U48" s="273">
        <f>'Capacity charges'!U285</f>
        <v>0</v>
      </c>
      <c r="V48" s="273">
        <f>'Capacity charges'!V285</f>
        <v>0</v>
      </c>
      <c r="W48" s="273">
        <f>'Capacity charges'!W285</f>
        <v>0</v>
      </c>
      <c r="X48" s="273">
        <f>'Capacity charges'!X285</f>
        <v>0</v>
      </c>
      <c r="Y48" s="273">
        <f>'Capacity charges'!Y285</f>
        <v>0</v>
      </c>
    </row>
    <row r="49" spans="3:27" x14ac:dyDescent="0.25">
      <c r="C49" s="86"/>
      <c r="F49" s="293" t="s">
        <v>124</v>
      </c>
      <c r="G49" s="293" t="s">
        <v>251</v>
      </c>
      <c r="J49" s="279"/>
      <c r="K49" s="279"/>
      <c r="L49" s="279"/>
      <c r="M49" s="279"/>
      <c r="N49" s="279"/>
      <c r="O49" s="279"/>
      <c r="P49" s="279"/>
      <c r="Q49" s="279"/>
      <c r="R49" s="279"/>
      <c r="S49" s="279"/>
      <c r="T49" s="279"/>
      <c r="U49" s="279"/>
      <c r="V49" s="279"/>
      <c r="W49" s="279"/>
      <c r="X49" s="279"/>
      <c r="Y49" s="279"/>
    </row>
    <row r="50" spans="3:27" x14ac:dyDescent="0.25">
      <c r="C50" s="86"/>
      <c r="F50" s="93" t="s">
        <v>123</v>
      </c>
      <c r="G50" s="93" t="s">
        <v>251</v>
      </c>
      <c r="H50" s="93"/>
      <c r="I50" s="93"/>
      <c r="J50" s="240"/>
      <c r="K50" s="240"/>
      <c r="L50" s="240"/>
      <c r="M50" s="240"/>
      <c r="N50" s="240"/>
      <c r="O50" s="240"/>
      <c r="P50" s="240"/>
      <c r="Q50" s="240"/>
      <c r="R50" s="240"/>
      <c r="S50" s="240"/>
      <c r="T50" s="240"/>
      <c r="U50" s="240"/>
      <c r="V50" s="240"/>
      <c r="W50" s="240"/>
      <c r="X50" s="240"/>
      <c r="Y50" s="240"/>
    </row>
    <row r="51" spans="3:27" x14ac:dyDescent="0.25">
      <c r="C51" s="86"/>
      <c r="J51" s="252"/>
      <c r="K51" s="252"/>
      <c r="L51" s="252"/>
      <c r="M51" s="252"/>
      <c r="N51" s="252"/>
      <c r="O51" s="252"/>
      <c r="P51" s="252"/>
      <c r="Q51" s="252"/>
      <c r="R51" s="252"/>
      <c r="S51" s="252"/>
      <c r="T51" s="252"/>
      <c r="U51" s="252"/>
      <c r="V51" s="252"/>
      <c r="W51" s="252"/>
      <c r="X51" s="252"/>
      <c r="Y51" s="252"/>
    </row>
    <row r="52" spans="3:27" x14ac:dyDescent="0.25">
      <c r="C52" s="7" t="str">
        <f ca="1">INDEX('Version control'!$H$35:$H$61,MATCH($A$1,'Version control'!$F$35:$F$61,0),1)&amp;"-C: Service model costs allocated to fixed charges"</f>
        <v>Section 517-C: Service model costs allocated to fixed charges</v>
      </c>
      <c r="D52" s="7"/>
      <c r="E52" s="7"/>
      <c r="F52" s="7"/>
      <c r="G52" s="7"/>
      <c r="H52" s="7"/>
      <c r="I52" s="7"/>
      <c r="J52" s="242"/>
      <c r="K52" s="242"/>
      <c r="L52" s="242"/>
      <c r="M52" s="242"/>
      <c r="N52" s="242"/>
      <c r="O52" s="242"/>
      <c r="P52" s="242"/>
      <c r="Q52" s="242"/>
      <c r="R52" s="242"/>
      <c r="S52" s="242"/>
      <c r="T52" s="242"/>
      <c r="U52" s="242"/>
      <c r="V52" s="242"/>
      <c r="W52" s="242"/>
      <c r="X52" s="242"/>
      <c r="Y52" s="242"/>
      <c r="Z52" s="7"/>
      <c r="AA52" s="7"/>
    </row>
    <row r="53" spans="3:27" x14ac:dyDescent="0.25">
      <c r="D53" s="293"/>
    </row>
    <row r="54" spans="3:27" x14ac:dyDescent="0.25">
      <c r="C54" s="96"/>
      <c r="D54" s="293"/>
      <c r="E54" s="96" t="s">
        <v>116</v>
      </c>
      <c r="I54" s="293" t="s">
        <v>359</v>
      </c>
      <c r="J54" s="252"/>
      <c r="K54" s="252"/>
      <c r="L54" s="252"/>
      <c r="M54" s="252"/>
      <c r="N54" s="252"/>
      <c r="O54" s="252"/>
      <c r="P54" s="252"/>
      <c r="Q54" s="252"/>
      <c r="R54" s="252"/>
      <c r="S54" s="252"/>
      <c r="T54" s="252"/>
      <c r="U54" s="252"/>
      <c r="V54" s="252"/>
      <c r="W54" s="252"/>
      <c r="X54" s="252"/>
      <c r="Y54" s="252"/>
      <c r="AA54" s="293" t="s">
        <v>827</v>
      </c>
    </row>
    <row r="55" spans="3:27" x14ac:dyDescent="0.25">
      <c r="C55" s="86"/>
      <c r="D55" s="293"/>
      <c r="F55" s="91" t="s">
        <v>124</v>
      </c>
      <c r="G55" s="91" t="s">
        <v>252</v>
      </c>
      <c r="H55" s="91"/>
      <c r="I55" s="91"/>
      <c r="J55" s="272">
        <f>'Service model charges'!J42</f>
        <v>2.8326095762614849</v>
      </c>
      <c r="K55" s="272">
        <f>'Service model charges'!K42</f>
        <v>0</v>
      </c>
      <c r="L55" s="272">
        <f>'Service model charges'!L42</f>
        <v>5.8943237864307658</v>
      </c>
      <c r="M55" s="272">
        <f>'Service model charges'!M42</f>
        <v>0</v>
      </c>
      <c r="N55" s="272">
        <f>'Service model charges'!N42</f>
        <v>17.100837763983357</v>
      </c>
      <c r="O55" s="272">
        <f>'Service model charges'!O42</f>
        <v>40.100013861515436</v>
      </c>
      <c r="P55" s="272">
        <f>'Service model charges'!P42</f>
        <v>0</v>
      </c>
      <c r="Q55" s="238"/>
      <c r="R55" s="272">
        <f>'Service model charges'!R42</f>
        <v>0</v>
      </c>
      <c r="S55" s="272">
        <f>'Service model charges'!S42</f>
        <v>0</v>
      </c>
      <c r="T55" s="272">
        <f>'Service model charges'!T42</f>
        <v>0</v>
      </c>
      <c r="U55" s="272">
        <f>'Service model charges'!U42</f>
        <v>0</v>
      </c>
      <c r="V55" s="272">
        <f>'Service model charges'!V42</f>
        <v>0</v>
      </c>
      <c r="W55" s="272">
        <f>'Service model charges'!W42</f>
        <v>0</v>
      </c>
      <c r="X55" s="272">
        <f>'Service model charges'!X42</f>
        <v>0</v>
      </c>
      <c r="Y55" s="272">
        <f>'Service model charges'!Y42</f>
        <v>0</v>
      </c>
    </row>
    <row r="56" spans="3:27" x14ac:dyDescent="0.25">
      <c r="C56" s="86"/>
      <c r="D56" s="293"/>
      <c r="F56" s="93" t="s">
        <v>123</v>
      </c>
      <c r="G56" s="93" t="s">
        <v>252</v>
      </c>
      <c r="H56" s="93"/>
      <c r="I56" s="93"/>
      <c r="J56" s="274">
        <f>'Service model charges'!J43</f>
        <v>0</v>
      </c>
      <c r="K56" s="274">
        <f>'Service model charges'!K43</f>
        <v>0</v>
      </c>
      <c r="L56" s="274">
        <f>'Service model charges'!L43</f>
        <v>0</v>
      </c>
      <c r="M56" s="274">
        <f>'Service model charges'!M43</f>
        <v>0</v>
      </c>
      <c r="N56" s="274">
        <f>'Service model charges'!N43</f>
        <v>0</v>
      </c>
      <c r="O56" s="274">
        <f>'Service model charges'!O43</f>
        <v>0</v>
      </c>
      <c r="P56" s="274">
        <f>'Service model charges'!P43</f>
        <v>174.18069137616291</v>
      </c>
      <c r="Q56" s="240"/>
      <c r="R56" s="274">
        <f>'Service model charges'!R43</f>
        <v>0</v>
      </c>
      <c r="S56" s="274">
        <f>'Service model charges'!S43</f>
        <v>0</v>
      </c>
      <c r="T56" s="274">
        <f>'Service model charges'!T43</f>
        <v>0</v>
      </c>
      <c r="U56" s="274">
        <f>'Service model charges'!U43</f>
        <v>0</v>
      </c>
      <c r="V56" s="274">
        <f>'Service model charges'!V43</f>
        <v>0</v>
      </c>
      <c r="W56" s="274">
        <f>'Service model charges'!W43</f>
        <v>0</v>
      </c>
      <c r="X56" s="274">
        <f>'Service model charges'!X43</f>
        <v>348.54955153486407</v>
      </c>
      <c r="Y56" s="274">
        <f>'Service model charges'!Y43</f>
        <v>348.54955153486407</v>
      </c>
    </row>
    <row r="57" spans="3:27" x14ac:dyDescent="0.25">
      <c r="C57" s="86"/>
      <c r="D57" s="293"/>
      <c r="F57" s="98"/>
    </row>
    <row r="58" spans="3:27" x14ac:dyDescent="0.25">
      <c r="C58" s="7" t="str">
        <f ca="1">INDEX('Version control'!$H$35:$H$61,MATCH($A$1,'Version control'!$F$35:$F$61,0),1)&amp;"-D: Flags"</f>
        <v>Section 517-D: Flags</v>
      </c>
      <c r="D58" s="7"/>
      <c r="E58" s="7"/>
      <c r="F58" s="7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  <c r="AA58" s="7"/>
    </row>
    <row r="59" spans="3:27" x14ac:dyDescent="0.25">
      <c r="C59" s="96"/>
      <c r="D59" s="293"/>
      <c r="E59" s="293"/>
    </row>
    <row r="60" spans="3:27" x14ac:dyDescent="0.25">
      <c r="D60" s="82" t="s">
        <v>403</v>
      </c>
      <c r="E60" s="293"/>
    </row>
    <row r="61" spans="3:27" x14ac:dyDescent="0.25">
      <c r="D61" s="82" t="s">
        <v>742</v>
      </c>
      <c r="E61" s="293"/>
    </row>
    <row r="62" spans="3:27" x14ac:dyDescent="0.25">
      <c r="D62" s="82"/>
      <c r="E62" s="293"/>
    </row>
    <row r="63" spans="3:27" x14ac:dyDescent="0.25">
      <c r="E63" s="293" t="s">
        <v>310</v>
      </c>
      <c r="G63" s="293" t="s">
        <v>426</v>
      </c>
      <c r="I63" s="293" t="s">
        <v>359</v>
      </c>
      <c r="J63" s="380">
        <f>'Fixed inputs'!J145</f>
        <v>1</v>
      </c>
      <c r="K63" s="380">
        <f>'Fixed inputs'!K145</f>
        <v>0</v>
      </c>
      <c r="L63" s="380">
        <f>'Fixed inputs'!L145</f>
        <v>1</v>
      </c>
      <c r="M63" s="380">
        <f>'Fixed inputs'!M145</f>
        <v>0</v>
      </c>
      <c r="N63" s="380">
        <f>'Fixed inputs'!N145</f>
        <v>0</v>
      </c>
      <c r="O63" s="380">
        <f>'Fixed inputs'!O145</f>
        <v>0</v>
      </c>
      <c r="P63" s="380">
        <f>'Fixed inputs'!P145</f>
        <v>0</v>
      </c>
      <c r="Q63" s="380">
        <f>'Fixed inputs'!Q145</f>
        <v>0</v>
      </c>
      <c r="R63" s="380">
        <f>'Fixed inputs'!R145</f>
        <v>0</v>
      </c>
      <c r="S63" s="380">
        <f>'Fixed inputs'!S145</f>
        <v>0</v>
      </c>
      <c r="T63" s="380">
        <f>'Fixed inputs'!T145</f>
        <v>0</v>
      </c>
      <c r="U63" s="380">
        <f>'Fixed inputs'!U145</f>
        <v>0</v>
      </c>
      <c r="V63" s="380">
        <f>'Fixed inputs'!V145</f>
        <v>0</v>
      </c>
      <c r="W63" s="380">
        <f>'Fixed inputs'!W145</f>
        <v>0</v>
      </c>
      <c r="X63" s="380">
        <f>'Fixed inputs'!X145</f>
        <v>0</v>
      </c>
      <c r="Y63" s="380">
        <f>'Fixed inputs'!Y145</f>
        <v>0</v>
      </c>
      <c r="AA63" s="293" t="s">
        <v>828</v>
      </c>
    </row>
    <row r="65" spans="2:27" x14ac:dyDescent="0.25">
      <c r="B65" s="95" t="s">
        <v>406</v>
      </c>
      <c r="C65" s="95"/>
      <c r="D65" s="95"/>
      <c r="E65" s="95"/>
      <c r="F65" s="95"/>
      <c r="G65" s="95"/>
      <c r="H65" s="95"/>
      <c r="I65" s="95"/>
      <c r="J65" s="95"/>
      <c r="K65" s="95"/>
      <c r="L65" s="95"/>
      <c r="M65" s="95"/>
      <c r="N65" s="95"/>
      <c r="O65" s="95"/>
      <c r="P65" s="95"/>
      <c r="Q65" s="95"/>
      <c r="R65" s="95"/>
      <c r="S65" s="95"/>
      <c r="T65" s="95"/>
      <c r="U65" s="95"/>
      <c r="V65" s="95"/>
      <c r="W65" s="95"/>
      <c r="X65" s="95"/>
      <c r="Y65" s="95"/>
      <c r="Z65" s="95"/>
      <c r="AA65" s="95"/>
    </row>
    <row r="66" spans="2:27" x14ac:dyDescent="0.25">
      <c r="J66" s="252"/>
      <c r="K66" s="252"/>
      <c r="L66" s="252"/>
      <c r="M66" s="252"/>
      <c r="N66" s="252"/>
      <c r="O66" s="252"/>
      <c r="P66" s="252"/>
      <c r="Q66" s="252"/>
      <c r="R66" s="252"/>
      <c r="S66" s="252"/>
      <c r="T66" s="252"/>
      <c r="U66" s="252"/>
      <c r="V66" s="252"/>
      <c r="W66" s="252"/>
      <c r="X66" s="252"/>
      <c r="Y66" s="252"/>
    </row>
    <row r="67" spans="2:27" x14ac:dyDescent="0.25">
      <c r="C67" s="7" t="str">
        <f ca="1">INDEX('Version control'!$H$35:$H$61,MATCH($A$1,'Version control'!$F$35:$F$61,0),1)&amp;"-E: Revenue allocated to fixed charges"</f>
        <v>Section 517-E: Revenue allocated to fixed charges</v>
      </c>
      <c r="D67" s="7"/>
      <c r="E67" s="7"/>
      <c r="F67" s="7"/>
      <c r="G67" s="7"/>
      <c r="H67" s="7"/>
      <c r="I67" s="7"/>
      <c r="J67" s="242"/>
      <c r="K67" s="242"/>
      <c r="L67" s="242"/>
      <c r="M67" s="242"/>
      <c r="N67" s="242"/>
      <c r="O67" s="242"/>
      <c r="P67" s="242"/>
      <c r="Q67" s="242"/>
      <c r="R67" s="242"/>
      <c r="S67" s="242"/>
      <c r="T67" s="242"/>
      <c r="U67" s="242"/>
      <c r="V67" s="242"/>
      <c r="W67" s="242"/>
      <c r="X67" s="242"/>
      <c r="Y67" s="242"/>
      <c r="Z67" s="7"/>
      <c r="AA67" s="7"/>
    </row>
    <row r="68" spans="2:27" x14ac:dyDescent="0.25">
      <c r="D68" s="293"/>
      <c r="E68" s="96"/>
      <c r="I68" s="293" t="s">
        <v>359</v>
      </c>
      <c r="J68" s="252"/>
      <c r="K68" s="252"/>
      <c r="L68" s="252"/>
      <c r="M68" s="252"/>
      <c r="N68" s="252"/>
      <c r="O68" s="252"/>
      <c r="P68" s="252"/>
      <c r="Q68" s="252"/>
      <c r="R68" s="252"/>
      <c r="S68" s="252"/>
      <c r="T68" s="252"/>
      <c r="U68" s="252"/>
      <c r="V68" s="252"/>
      <c r="W68" s="252"/>
      <c r="X68" s="252"/>
      <c r="Y68" s="252"/>
      <c r="AA68" s="293" t="s">
        <v>828</v>
      </c>
    </row>
    <row r="69" spans="2:27" x14ac:dyDescent="0.25">
      <c r="C69" s="86"/>
      <c r="D69" s="293"/>
      <c r="E69" s="96" t="s">
        <v>139</v>
      </c>
      <c r="J69" s="252"/>
      <c r="K69" s="252"/>
      <c r="L69" s="252"/>
      <c r="M69" s="252"/>
      <c r="N69" s="252"/>
      <c r="O69" s="252"/>
      <c r="P69" s="252"/>
      <c r="Q69" s="252"/>
      <c r="R69" s="252"/>
      <c r="S69" s="252"/>
      <c r="T69" s="252"/>
      <c r="U69" s="252"/>
      <c r="V69" s="252"/>
      <c r="W69" s="252"/>
      <c r="X69" s="252"/>
      <c r="Y69" s="252"/>
    </row>
    <row r="70" spans="2:27" x14ac:dyDescent="0.25">
      <c r="C70" s="86"/>
      <c r="D70" s="293"/>
      <c r="E70" s="82"/>
      <c r="F70" s="91" t="s">
        <v>267</v>
      </c>
      <c r="G70" s="91" t="s">
        <v>510</v>
      </c>
      <c r="H70" s="91"/>
      <c r="I70" s="91"/>
      <c r="J70" s="238"/>
      <c r="K70" s="238"/>
      <c r="L70" s="238"/>
      <c r="M70" s="238"/>
      <c r="N70" s="238"/>
      <c r="O70" s="238"/>
      <c r="P70" s="238"/>
      <c r="Q70" s="238"/>
      <c r="R70" s="238"/>
      <c r="S70" s="238"/>
      <c r="T70" s="238"/>
      <c r="U70" s="238"/>
      <c r="V70" s="238"/>
      <c r="W70" s="238"/>
      <c r="X70" s="238"/>
      <c r="Y70" s="238"/>
    </row>
    <row r="71" spans="2:27" x14ac:dyDescent="0.25">
      <c r="C71" s="86"/>
      <c r="D71" s="293"/>
      <c r="E71" s="82"/>
      <c r="F71" s="293" t="s">
        <v>43</v>
      </c>
      <c r="G71" s="293" t="s">
        <v>510</v>
      </c>
      <c r="J71" s="279"/>
      <c r="K71" s="279"/>
      <c r="L71" s="279"/>
      <c r="M71" s="279"/>
      <c r="N71" s="279"/>
      <c r="O71" s="279"/>
      <c r="P71" s="279"/>
      <c r="Q71" s="279"/>
      <c r="R71" s="279"/>
      <c r="S71" s="279"/>
      <c r="T71" s="279"/>
      <c r="U71" s="279"/>
      <c r="V71" s="279"/>
      <c r="W71" s="279"/>
      <c r="X71" s="279"/>
      <c r="Y71" s="279"/>
    </row>
    <row r="72" spans="2:27" x14ac:dyDescent="0.25">
      <c r="C72" s="86"/>
      <c r="D72" s="293"/>
      <c r="E72" s="82"/>
      <c r="F72" s="293" t="s">
        <v>44</v>
      </c>
      <c r="G72" s="293" t="s">
        <v>510</v>
      </c>
      <c r="J72" s="275">
        <f t="shared" ref="J72:K72" si="0">J$20 * J27 * thousand / PowerFactor</f>
        <v>0</v>
      </c>
      <c r="K72" s="275">
        <f t="shared" si="0"/>
        <v>0</v>
      </c>
      <c r="L72" s="275">
        <f t="shared" ref="L72:M72" si="1">L$20 * L27 * thousand / PowerFactor</f>
        <v>0</v>
      </c>
      <c r="M72" s="275">
        <f t="shared" si="1"/>
        <v>0</v>
      </c>
      <c r="N72" s="275">
        <f t="shared" ref="N72:P72" si="2">N$20 * N27 * thousand / PowerFactor</f>
        <v>0</v>
      </c>
      <c r="O72" s="275">
        <f t="shared" si="2"/>
        <v>0</v>
      </c>
      <c r="P72" s="275">
        <f t="shared" si="2"/>
        <v>0</v>
      </c>
      <c r="Q72" s="275">
        <f t="shared" ref="Q72:S72" si="3">Q$20 * Q27 * thousand / PowerFactor</f>
        <v>0</v>
      </c>
      <c r="R72" s="275">
        <f t="shared" si="3"/>
        <v>0</v>
      </c>
      <c r="S72" s="275">
        <f t="shared" si="3"/>
        <v>0</v>
      </c>
      <c r="T72" s="275">
        <f t="shared" ref="T72:U72" si="4">T$20 * T27 * thousand / PowerFactor</f>
        <v>0</v>
      </c>
      <c r="U72" s="275">
        <f t="shared" si="4"/>
        <v>0</v>
      </c>
      <c r="V72" s="275">
        <f t="shared" ref="V72:W72" si="5">V$20 * V27 * thousand / PowerFactor</f>
        <v>0</v>
      </c>
      <c r="W72" s="275">
        <f t="shared" si="5"/>
        <v>0</v>
      </c>
      <c r="X72" s="275">
        <f t="shared" ref="X72:Y72" si="6">X$20 * X27 * thousand / PowerFactor</f>
        <v>0</v>
      </c>
      <c r="Y72" s="275">
        <f t="shared" si="6"/>
        <v>0</v>
      </c>
    </row>
    <row r="73" spans="2:27" x14ac:dyDescent="0.25">
      <c r="C73" s="86"/>
      <c r="D73" s="293"/>
      <c r="E73" s="82"/>
      <c r="F73" s="293" t="s">
        <v>45</v>
      </c>
      <c r="G73" s="293" t="s">
        <v>510</v>
      </c>
      <c r="J73" s="275">
        <f t="shared" ref="J73:K73" si="7">J$20 * J28 * thousand / PowerFactor</f>
        <v>0</v>
      </c>
      <c r="K73" s="275">
        <f t="shared" si="7"/>
        <v>0</v>
      </c>
      <c r="L73" s="275">
        <f t="shared" ref="L73:M73" si="8">L$20 * L28 * thousand / PowerFactor</f>
        <v>0</v>
      </c>
      <c r="M73" s="275">
        <f t="shared" si="8"/>
        <v>0</v>
      </c>
      <c r="N73" s="275">
        <f t="shared" ref="N73:P73" si="9">N$20 * N28 * thousand / PowerFactor</f>
        <v>0</v>
      </c>
      <c r="O73" s="275">
        <f t="shared" si="9"/>
        <v>0</v>
      </c>
      <c r="P73" s="275">
        <f t="shared" si="9"/>
        <v>0</v>
      </c>
      <c r="Q73" s="275">
        <f t="shared" ref="Q73:S73" si="10">Q$20 * Q28 * thousand / PowerFactor</f>
        <v>0</v>
      </c>
      <c r="R73" s="275">
        <f t="shared" si="10"/>
        <v>0</v>
      </c>
      <c r="S73" s="275">
        <f t="shared" si="10"/>
        <v>0</v>
      </c>
      <c r="T73" s="275">
        <f t="shared" ref="T73:U73" si="11">T$20 * T28 * thousand / PowerFactor</f>
        <v>0</v>
      </c>
      <c r="U73" s="275">
        <f t="shared" si="11"/>
        <v>0</v>
      </c>
      <c r="V73" s="275">
        <f t="shared" ref="V73:W73" si="12">V$20 * V28 * thousand / PowerFactor</f>
        <v>0</v>
      </c>
      <c r="W73" s="275">
        <f t="shared" si="12"/>
        <v>0</v>
      </c>
      <c r="X73" s="275">
        <f t="shared" ref="X73:Y73" si="13">X$20 * X28 * thousand / PowerFactor</f>
        <v>0</v>
      </c>
      <c r="Y73" s="275">
        <f t="shared" si="13"/>
        <v>0</v>
      </c>
    </row>
    <row r="74" spans="2:27" x14ac:dyDescent="0.25">
      <c r="C74" s="86"/>
      <c r="D74" s="293"/>
      <c r="E74" s="82"/>
      <c r="F74" s="293" t="s">
        <v>46</v>
      </c>
      <c r="G74" s="293" t="s">
        <v>510</v>
      </c>
      <c r="J74" s="275">
        <f t="shared" ref="J74:K74" si="14">J$20 * J29 * thousand / PowerFactor</f>
        <v>0</v>
      </c>
      <c r="K74" s="275">
        <f t="shared" si="14"/>
        <v>0</v>
      </c>
      <c r="L74" s="275">
        <f t="shared" ref="L74:M74" si="15">L$20 * L29 * thousand / PowerFactor</f>
        <v>0</v>
      </c>
      <c r="M74" s="275">
        <f t="shared" si="15"/>
        <v>0</v>
      </c>
      <c r="N74" s="275">
        <f t="shared" ref="N74:P74" si="16">N$20 * N29 * thousand / PowerFactor</f>
        <v>0</v>
      </c>
      <c r="O74" s="275">
        <f t="shared" si="16"/>
        <v>0</v>
      </c>
      <c r="P74" s="275">
        <f t="shared" si="16"/>
        <v>0</v>
      </c>
      <c r="Q74" s="275">
        <f t="shared" ref="Q74:S74" si="17">Q$20 * Q29 * thousand / PowerFactor</f>
        <v>0</v>
      </c>
      <c r="R74" s="275">
        <f t="shared" si="17"/>
        <v>0</v>
      </c>
      <c r="S74" s="275">
        <f t="shared" si="17"/>
        <v>0</v>
      </c>
      <c r="T74" s="275">
        <f t="shared" ref="T74:U74" si="18">T$20 * T29 * thousand / PowerFactor</f>
        <v>0</v>
      </c>
      <c r="U74" s="275">
        <f t="shared" si="18"/>
        <v>0</v>
      </c>
      <c r="V74" s="275">
        <f t="shared" ref="V74:W74" si="19">V$20 * V29 * thousand / PowerFactor</f>
        <v>0</v>
      </c>
      <c r="W74" s="275">
        <f t="shared" si="19"/>
        <v>0</v>
      </c>
      <c r="X74" s="275">
        <f t="shared" ref="X74:Y74" si="20">X$20 * X29 * thousand / PowerFactor</f>
        <v>0</v>
      </c>
      <c r="Y74" s="275">
        <f t="shared" si="20"/>
        <v>0</v>
      </c>
    </row>
    <row r="75" spans="2:27" x14ac:dyDescent="0.25">
      <c r="C75" s="86"/>
      <c r="D75" s="293"/>
      <c r="E75" s="82"/>
      <c r="F75" s="293" t="s">
        <v>47</v>
      </c>
      <c r="G75" s="293" t="s">
        <v>510</v>
      </c>
      <c r="J75" s="275">
        <f t="shared" ref="J75:K75" si="21">J$20 * J30 * thousand / PowerFactor</f>
        <v>0</v>
      </c>
      <c r="K75" s="275">
        <f t="shared" si="21"/>
        <v>0</v>
      </c>
      <c r="L75" s="275">
        <f t="shared" ref="L75:M75" si="22">L$20 * L30 * thousand / PowerFactor</f>
        <v>0</v>
      </c>
      <c r="M75" s="275">
        <f t="shared" si="22"/>
        <v>0</v>
      </c>
      <c r="N75" s="275">
        <f t="shared" ref="N75:P75" si="23">N$20 * N30 * thousand / PowerFactor</f>
        <v>0</v>
      </c>
      <c r="O75" s="275">
        <f t="shared" si="23"/>
        <v>0</v>
      </c>
      <c r="P75" s="275">
        <f t="shared" si="23"/>
        <v>0</v>
      </c>
      <c r="Q75" s="275">
        <f t="shared" ref="Q75:S75" si="24">Q$20 * Q30 * thousand / PowerFactor</f>
        <v>0</v>
      </c>
      <c r="R75" s="275">
        <f t="shared" si="24"/>
        <v>0</v>
      </c>
      <c r="S75" s="275">
        <f t="shared" si="24"/>
        <v>0</v>
      </c>
      <c r="T75" s="275">
        <f t="shared" ref="T75:U75" si="25">T$20 * T30 * thousand / PowerFactor</f>
        <v>0</v>
      </c>
      <c r="U75" s="275">
        <f t="shared" si="25"/>
        <v>0</v>
      </c>
      <c r="V75" s="275">
        <f t="shared" ref="V75:W75" si="26">V$20 * V30 * thousand / PowerFactor</f>
        <v>0</v>
      </c>
      <c r="W75" s="275">
        <f t="shared" si="26"/>
        <v>0</v>
      </c>
      <c r="X75" s="275">
        <f t="shared" ref="X75:Y75" si="27">X$20 * X30 * thousand / PowerFactor</f>
        <v>0</v>
      </c>
      <c r="Y75" s="275">
        <f t="shared" si="27"/>
        <v>0</v>
      </c>
    </row>
    <row r="76" spans="2:27" x14ac:dyDescent="0.25">
      <c r="C76" s="86"/>
      <c r="D76" s="293"/>
      <c r="E76" s="82"/>
      <c r="F76" s="293" t="s">
        <v>51</v>
      </c>
      <c r="G76" s="293" t="s">
        <v>510</v>
      </c>
      <c r="J76" s="275">
        <f t="shared" ref="J76:K76" si="28">J$20 * J31 * thousand / PowerFactor</f>
        <v>0</v>
      </c>
      <c r="K76" s="275">
        <f t="shared" si="28"/>
        <v>0</v>
      </c>
      <c r="L76" s="275">
        <f t="shared" ref="L76:M76" si="29">L$20 * L31 * thousand / PowerFactor</f>
        <v>0</v>
      </c>
      <c r="M76" s="275">
        <f t="shared" si="29"/>
        <v>0</v>
      </c>
      <c r="N76" s="275">
        <f t="shared" ref="N76:P76" si="30">N$20 * N31 * thousand / PowerFactor</f>
        <v>0</v>
      </c>
      <c r="O76" s="275">
        <f t="shared" si="30"/>
        <v>0</v>
      </c>
      <c r="P76" s="275">
        <f t="shared" si="30"/>
        <v>0</v>
      </c>
      <c r="Q76" s="275">
        <f t="shared" ref="Q76:S76" si="31">Q$20 * Q31 * thousand / PowerFactor</f>
        <v>0</v>
      </c>
      <c r="R76" s="275">
        <f t="shared" si="31"/>
        <v>0</v>
      </c>
      <c r="S76" s="275">
        <f t="shared" si="31"/>
        <v>0</v>
      </c>
      <c r="T76" s="275">
        <f t="shared" ref="T76:U76" si="32">T$20 * T31 * thousand / PowerFactor</f>
        <v>0</v>
      </c>
      <c r="U76" s="275">
        <f t="shared" si="32"/>
        <v>0</v>
      </c>
      <c r="V76" s="275">
        <f t="shared" ref="V76:W76" si="33">V$20 * V31 * thousand / PowerFactor</f>
        <v>0</v>
      </c>
      <c r="W76" s="275">
        <f t="shared" si="33"/>
        <v>0</v>
      </c>
      <c r="X76" s="275">
        <f t="shared" ref="X76:Y76" si="34">X$20 * X31 * thousand / PowerFactor</f>
        <v>0</v>
      </c>
      <c r="Y76" s="275">
        <f t="shared" si="34"/>
        <v>0</v>
      </c>
    </row>
    <row r="77" spans="2:27" x14ac:dyDescent="0.25">
      <c r="C77" s="86"/>
      <c r="D77" s="293"/>
      <c r="E77" s="82"/>
      <c r="F77" s="293" t="s">
        <v>48</v>
      </c>
      <c r="G77" s="293" t="s">
        <v>510</v>
      </c>
      <c r="J77" s="275">
        <f t="shared" ref="J77:K77" si="35">J$20 * J32 * thousand / PowerFactor</f>
        <v>0</v>
      </c>
      <c r="K77" s="275">
        <f t="shared" si="35"/>
        <v>0</v>
      </c>
      <c r="L77" s="275">
        <f t="shared" ref="L77:M77" si="36">L$20 * L32 * thousand / PowerFactor</f>
        <v>0</v>
      </c>
      <c r="M77" s="275">
        <f t="shared" si="36"/>
        <v>0</v>
      </c>
      <c r="N77" s="275">
        <f t="shared" ref="N77:P77" si="37">N$20 * N32 * thousand / PowerFactor</f>
        <v>0</v>
      </c>
      <c r="O77" s="275">
        <f t="shared" si="37"/>
        <v>0</v>
      </c>
      <c r="P77" s="275">
        <f t="shared" si="37"/>
        <v>0</v>
      </c>
      <c r="Q77" s="275">
        <f t="shared" ref="Q77:S77" si="38">Q$20 * Q32 * thousand / PowerFactor</f>
        <v>0</v>
      </c>
      <c r="R77" s="275">
        <f t="shared" si="38"/>
        <v>0</v>
      </c>
      <c r="S77" s="275">
        <f t="shared" si="38"/>
        <v>0</v>
      </c>
      <c r="T77" s="275">
        <f t="shared" ref="T77:U77" si="39">T$20 * T32 * thousand / PowerFactor</f>
        <v>0</v>
      </c>
      <c r="U77" s="275">
        <f t="shared" si="39"/>
        <v>0</v>
      </c>
      <c r="V77" s="275">
        <f t="shared" ref="V77:W77" si="40">V$20 * V32 * thousand / PowerFactor</f>
        <v>0</v>
      </c>
      <c r="W77" s="275">
        <f t="shared" si="40"/>
        <v>0</v>
      </c>
      <c r="X77" s="275">
        <f t="shared" ref="X77:Y77" si="41">X$20 * X32 * thousand / PowerFactor</f>
        <v>0</v>
      </c>
      <c r="Y77" s="275">
        <f t="shared" si="41"/>
        <v>0</v>
      </c>
    </row>
    <row r="78" spans="2:27" x14ac:dyDescent="0.25">
      <c r="C78" s="86"/>
      <c r="D78" s="293"/>
      <c r="E78" s="82"/>
      <c r="F78" s="293" t="s">
        <v>49</v>
      </c>
      <c r="G78" s="293" t="s">
        <v>510</v>
      </c>
      <c r="J78" s="275">
        <f t="shared" ref="J78:K78" si="42">J$20 * J33 * thousand / PowerFactor</f>
        <v>0</v>
      </c>
      <c r="K78" s="275">
        <f t="shared" si="42"/>
        <v>0</v>
      </c>
      <c r="L78" s="275">
        <f t="shared" ref="L78:M78" si="43">L$20 * L33 * thousand / PowerFactor</f>
        <v>0</v>
      </c>
      <c r="M78" s="275">
        <f t="shared" si="43"/>
        <v>0</v>
      </c>
      <c r="N78" s="275">
        <f t="shared" ref="N78:P78" si="44">N$20 * N33 * thousand / PowerFactor</f>
        <v>0</v>
      </c>
      <c r="O78" s="275">
        <f t="shared" si="44"/>
        <v>0</v>
      </c>
      <c r="P78" s="275">
        <f t="shared" si="44"/>
        <v>0</v>
      </c>
      <c r="Q78" s="275">
        <f t="shared" ref="Q78:S78" si="45">Q$20 * Q33 * thousand / PowerFactor</f>
        <v>0</v>
      </c>
      <c r="R78" s="275">
        <f t="shared" si="45"/>
        <v>0</v>
      </c>
      <c r="S78" s="275">
        <f t="shared" si="45"/>
        <v>0</v>
      </c>
      <c r="T78" s="275">
        <f t="shared" ref="T78:U78" si="46">T$20 * T33 * thousand / PowerFactor</f>
        <v>0</v>
      </c>
      <c r="U78" s="275">
        <f t="shared" si="46"/>
        <v>0</v>
      </c>
      <c r="V78" s="275">
        <f t="shared" ref="V78:W78" si="47">V$20 * V33 * thousand / PowerFactor</f>
        <v>0</v>
      </c>
      <c r="W78" s="275">
        <f t="shared" si="47"/>
        <v>0</v>
      </c>
      <c r="X78" s="275">
        <f t="shared" ref="X78:Y78" si="48">X$20 * X33 * thousand / PowerFactor</f>
        <v>0</v>
      </c>
      <c r="Y78" s="275">
        <f t="shared" si="48"/>
        <v>0</v>
      </c>
    </row>
    <row r="79" spans="2:27" x14ac:dyDescent="0.25">
      <c r="C79" s="86"/>
      <c r="D79" s="293"/>
      <c r="E79" s="82"/>
      <c r="F79" s="293" t="s">
        <v>50</v>
      </c>
      <c r="G79" s="293" t="s">
        <v>510</v>
      </c>
      <c r="J79" s="275">
        <f t="shared" ref="J79:K79" si="49">J$20 * J34 * thousand / PowerFactor</f>
        <v>386166.45402941562</v>
      </c>
      <c r="K79" s="275">
        <f t="shared" si="49"/>
        <v>0</v>
      </c>
      <c r="L79" s="275">
        <f t="shared" ref="L79:M79" si="50">L$20 * L34 * thousand / PowerFactor</f>
        <v>102078.81702185712</v>
      </c>
      <c r="M79" s="275">
        <f t="shared" si="50"/>
        <v>0</v>
      </c>
      <c r="N79" s="275">
        <f t="shared" ref="N79:P79" si="51">N$20 * N34 * thousand / PowerFactor</f>
        <v>0</v>
      </c>
      <c r="O79" s="275">
        <f t="shared" si="51"/>
        <v>0</v>
      </c>
      <c r="P79" s="275">
        <f t="shared" si="51"/>
        <v>0</v>
      </c>
      <c r="Q79" s="275">
        <f t="shared" ref="Q79:S79" si="52">Q$20 * Q34 * thousand / PowerFactor</f>
        <v>0</v>
      </c>
      <c r="R79" s="275">
        <f t="shared" si="52"/>
        <v>0</v>
      </c>
      <c r="S79" s="275">
        <f t="shared" si="52"/>
        <v>0</v>
      </c>
      <c r="T79" s="275">
        <f t="shared" ref="T79:U79" si="53">T$20 * T34 * thousand / PowerFactor</f>
        <v>0</v>
      </c>
      <c r="U79" s="275">
        <f t="shared" si="53"/>
        <v>0</v>
      </c>
      <c r="V79" s="275">
        <f t="shared" ref="V79:W79" si="54">V$20 * V34 * thousand / PowerFactor</f>
        <v>0</v>
      </c>
      <c r="W79" s="275">
        <f t="shared" si="54"/>
        <v>0</v>
      </c>
      <c r="X79" s="275">
        <f t="shared" ref="X79:Y79" si="55">X$20 * X34 * thousand / PowerFactor</f>
        <v>0</v>
      </c>
      <c r="Y79" s="275">
        <f t="shared" si="55"/>
        <v>0</v>
      </c>
    </row>
    <row r="80" spans="2:27" x14ac:dyDescent="0.25">
      <c r="C80" s="86"/>
      <c r="D80" s="293"/>
      <c r="E80" s="82"/>
      <c r="F80" s="293" t="s">
        <v>124</v>
      </c>
      <c r="G80" s="293" t="s">
        <v>510</v>
      </c>
      <c r="J80" s="279"/>
      <c r="K80" s="279"/>
      <c r="L80" s="279"/>
      <c r="M80" s="279"/>
      <c r="N80" s="279"/>
      <c r="O80" s="279"/>
      <c r="P80" s="279"/>
      <c r="Q80" s="279"/>
      <c r="R80" s="279"/>
      <c r="S80" s="279"/>
      <c r="T80" s="279"/>
      <c r="U80" s="279"/>
      <c r="V80" s="279"/>
      <c r="W80" s="279"/>
      <c r="X80" s="279"/>
      <c r="Y80" s="279"/>
    </row>
    <row r="81" spans="3:25" x14ac:dyDescent="0.25">
      <c r="C81" s="86"/>
      <c r="D81" s="293"/>
      <c r="E81" s="82"/>
      <c r="F81" s="93" t="s">
        <v>123</v>
      </c>
      <c r="G81" s="93" t="s">
        <v>510</v>
      </c>
      <c r="H81" s="93"/>
      <c r="I81" s="93"/>
      <c r="J81" s="240"/>
      <c r="K81" s="240"/>
      <c r="L81" s="240"/>
      <c r="M81" s="240"/>
      <c r="N81" s="240"/>
      <c r="O81" s="240"/>
      <c r="P81" s="240"/>
      <c r="Q81" s="240"/>
      <c r="R81" s="240"/>
      <c r="S81" s="240"/>
      <c r="T81" s="240"/>
      <c r="U81" s="240"/>
      <c r="V81" s="240"/>
      <c r="W81" s="240"/>
      <c r="X81" s="240"/>
      <c r="Y81" s="240"/>
    </row>
    <row r="82" spans="3:25" x14ac:dyDescent="0.25">
      <c r="C82" s="86"/>
      <c r="D82" s="293"/>
      <c r="E82" s="82"/>
      <c r="J82" s="252"/>
      <c r="K82" s="252"/>
      <c r="L82" s="252"/>
      <c r="M82" s="252"/>
      <c r="N82" s="252"/>
      <c r="O82" s="252"/>
      <c r="P82" s="252"/>
      <c r="Q82" s="252"/>
      <c r="R82" s="252"/>
      <c r="S82" s="252"/>
      <c r="T82" s="252"/>
      <c r="U82" s="252"/>
      <c r="V82" s="252"/>
      <c r="W82" s="252"/>
      <c r="X82" s="252"/>
      <c r="Y82" s="252"/>
    </row>
    <row r="83" spans="3:25" x14ac:dyDescent="0.25">
      <c r="C83" s="86"/>
      <c r="D83" s="293"/>
      <c r="E83" s="96" t="s">
        <v>116</v>
      </c>
      <c r="J83" s="252"/>
      <c r="K83" s="252"/>
      <c r="L83" s="252"/>
      <c r="M83" s="252"/>
      <c r="N83" s="252"/>
      <c r="O83" s="252"/>
      <c r="P83" s="252"/>
      <c r="Q83" s="252"/>
      <c r="R83" s="252"/>
      <c r="S83" s="252"/>
      <c r="T83" s="252"/>
      <c r="U83" s="252"/>
      <c r="V83" s="252"/>
      <c r="W83" s="252"/>
      <c r="X83" s="252"/>
      <c r="Y83" s="252"/>
    </row>
    <row r="84" spans="3:25" x14ac:dyDescent="0.25">
      <c r="C84" s="86"/>
      <c r="D84" s="293"/>
      <c r="F84" s="91" t="s">
        <v>267</v>
      </c>
      <c r="G84" s="91" t="s">
        <v>510</v>
      </c>
      <c r="H84" s="91"/>
      <c r="I84" s="91"/>
      <c r="J84" s="267">
        <f t="shared" ref="J84:K84" si="56">J$20 * J39 * thousand / PowerFactor</f>
        <v>0</v>
      </c>
      <c r="K84" s="267">
        <f t="shared" si="56"/>
        <v>0</v>
      </c>
      <c r="L84" s="267">
        <f t="shared" ref="L84:M84" si="57">L$20 * L39 * thousand / PowerFactor</f>
        <v>0</v>
      </c>
      <c r="M84" s="267">
        <f t="shared" si="57"/>
        <v>0</v>
      </c>
      <c r="N84" s="267">
        <f t="shared" ref="N84:P84" si="58">N$20 * N39 * thousand / PowerFactor</f>
        <v>0</v>
      </c>
      <c r="O84" s="267">
        <f t="shared" si="58"/>
        <v>0</v>
      </c>
      <c r="P84" s="267">
        <f t="shared" si="58"/>
        <v>0</v>
      </c>
      <c r="Q84" s="267">
        <f t="shared" ref="Q84:S84" si="59">Q$20 * Q39 * thousand / PowerFactor</f>
        <v>0</v>
      </c>
      <c r="R84" s="267">
        <f t="shared" si="59"/>
        <v>0</v>
      </c>
      <c r="S84" s="267">
        <f t="shared" si="59"/>
        <v>0</v>
      </c>
      <c r="T84" s="267">
        <f t="shared" ref="T84:U84" si="60">T$20 * T39 * thousand / PowerFactor</f>
        <v>0</v>
      </c>
      <c r="U84" s="267">
        <f t="shared" si="60"/>
        <v>0</v>
      </c>
      <c r="V84" s="267">
        <f t="shared" ref="V84:W84" si="61">V$20 * V39 * thousand / PowerFactor</f>
        <v>0</v>
      </c>
      <c r="W84" s="267">
        <f t="shared" si="61"/>
        <v>0</v>
      </c>
      <c r="X84" s="267">
        <f t="shared" ref="X84:Y84" si="62">X$20 * X39 * thousand / PowerFactor</f>
        <v>0</v>
      </c>
      <c r="Y84" s="267">
        <f t="shared" si="62"/>
        <v>0</v>
      </c>
    </row>
    <row r="85" spans="3:25" x14ac:dyDescent="0.25">
      <c r="C85" s="86"/>
      <c r="D85" s="293"/>
      <c r="F85" s="293" t="s">
        <v>43</v>
      </c>
      <c r="G85" s="293" t="s">
        <v>510</v>
      </c>
      <c r="J85" s="275">
        <f t="shared" ref="J85:K85" si="63">J$20 * J40 * thousand / PowerFactor</f>
        <v>0</v>
      </c>
      <c r="K85" s="275">
        <f t="shared" si="63"/>
        <v>0</v>
      </c>
      <c r="L85" s="275">
        <f t="shared" ref="L85:M85" si="64">L$20 * L40 * thousand / PowerFactor</f>
        <v>0</v>
      </c>
      <c r="M85" s="275">
        <f t="shared" si="64"/>
        <v>0</v>
      </c>
      <c r="N85" s="275">
        <f t="shared" ref="N85:P85" si="65">N$20 * N40 * thousand / PowerFactor</f>
        <v>0</v>
      </c>
      <c r="O85" s="275">
        <f t="shared" si="65"/>
        <v>0</v>
      </c>
      <c r="P85" s="275">
        <f t="shared" si="65"/>
        <v>0</v>
      </c>
      <c r="Q85" s="275">
        <f t="shared" ref="Q85:S85" si="66">Q$20 * Q40 * thousand / PowerFactor</f>
        <v>0</v>
      </c>
      <c r="R85" s="275">
        <f t="shared" si="66"/>
        <v>0</v>
      </c>
      <c r="S85" s="275">
        <f t="shared" si="66"/>
        <v>0</v>
      </c>
      <c r="T85" s="275">
        <f t="shared" ref="T85:U85" si="67">T$20 * T40 * thousand / PowerFactor</f>
        <v>0</v>
      </c>
      <c r="U85" s="275">
        <f t="shared" si="67"/>
        <v>0</v>
      </c>
      <c r="V85" s="275">
        <f t="shared" ref="V85:W85" si="68">V$20 * V40 * thousand / PowerFactor</f>
        <v>0</v>
      </c>
      <c r="W85" s="275">
        <f t="shared" si="68"/>
        <v>0</v>
      </c>
      <c r="X85" s="275">
        <f t="shared" ref="X85:Y85" si="69">X$20 * X40 * thousand / PowerFactor</f>
        <v>0</v>
      </c>
      <c r="Y85" s="275">
        <f t="shared" si="69"/>
        <v>0</v>
      </c>
    </row>
    <row r="86" spans="3:25" x14ac:dyDescent="0.25">
      <c r="C86" s="86"/>
      <c r="D86" s="293"/>
      <c r="F86" s="293" t="s">
        <v>44</v>
      </c>
      <c r="G86" s="293" t="s">
        <v>510</v>
      </c>
      <c r="J86" s="275">
        <f t="shared" ref="J86:K86" si="70">J$20 * J41 * thousand / PowerFactor</f>
        <v>0</v>
      </c>
      <c r="K86" s="275">
        <f t="shared" si="70"/>
        <v>0</v>
      </c>
      <c r="L86" s="275">
        <f t="shared" ref="L86:M86" si="71">L$20 * L41 * thousand / PowerFactor</f>
        <v>0</v>
      </c>
      <c r="M86" s="275">
        <f t="shared" si="71"/>
        <v>0</v>
      </c>
      <c r="N86" s="275">
        <f t="shared" ref="N86:P86" si="72">N$20 * N41 * thousand / PowerFactor</f>
        <v>0</v>
      </c>
      <c r="O86" s="275">
        <f t="shared" si="72"/>
        <v>0</v>
      </c>
      <c r="P86" s="275">
        <f t="shared" si="72"/>
        <v>0</v>
      </c>
      <c r="Q86" s="275">
        <f t="shared" ref="Q86:S86" si="73">Q$20 * Q41 * thousand / PowerFactor</f>
        <v>0</v>
      </c>
      <c r="R86" s="275">
        <f t="shared" si="73"/>
        <v>0</v>
      </c>
      <c r="S86" s="275">
        <f t="shared" si="73"/>
        <v>0</v>
      </c>
      <c r="T86" s="275">
        <f t="shared" ref="T86:U86" si="74">T$20 * T41 * thousand / PowerFactor</f>
        <v>0</v>
      </c>
      <c r="U86" s="275">
        <f t="shared" si="74"/>
        <v>0</v>
      </c>
      <c r="V86" s="275">
        <f t="shared" ref="V86:W86" si="75">V$20 * V41 * thousand / PowerFactor</f>
        <v>0</v>
      </c>
      <c r="W86" s="275">
        <f t="shared" si="75"/>
        <v>0</v>
      </c>
      <c r="X86" s="275">
        <f t="shared" ref="X86:Y86" si="76">X$20 * X41 * thousand / PowerFactor</f>
        <v>0</v>
      </c>
      <c r="Y86" s="275">
        <f t="shared" si="76"/>
        <v>0</v>
      </c>
    </row>
    <row r="87" spans="3:25" x14ac:dyDescent="0.25">
      <c r="C87" s="86"/>
      <c r="D87" s="293"/>
      <c r="F87" s="293" t="s">
        <v>45</v>
      </c>
      <c r="G87" s="293" t="s">
        <v>510</v>
      </c>
      <c r="J87" s="275">
        <f t="shared" ref="J87:K87" si="77">J$20 * J42 * thousand / PowerFactor</f>
        <v>0</v>
      </c>
      <c r="K87" s="275">
        <f t="shared" si="77"/>
        <v>0</v>
      </c>
      <c r="L87" s="275">
        <f t="shared" ref="L87:M87" si="78">L$20 * L42 * thousand / PowerFactor</f>
        <v>0</v>
      </c>
      <c r="M87" s="275">
        <f t="shared" si="78"/>
        <v>0</v>
      </c>
      <c r="N87" s="275">
        <f t="shared" ref="N87:P87" si="79">N$20 * N42 * thousand / PowerFactor</f>
        <v>0</v>
      </c>
      <c r="O87" s="275">
        <f t="shared" si="79"/>
        <v>0</v>
      </c>
      <c r="P87" s="275">
        <f t="shared" si="79"/>
        <v>0</v>
      </c>
      <c r="Q87" s="275">
        <f t="shared" ref="Q87:S87" si="80">Q$20 * Q42 * thousand / PowerFactor</f>
        <v>0</v>
      </c>
      <c r="R87" s="275">
        <f t="shared" si="80"/>
        <v>0</v>
      </c>
      <c r="S87" s="275">
        <f t="shared" si="80"/>
        <v>0</v>
      </c>
      <c r="T87" s="275">
        <f t="shared" ref="T87:U87" si="81">T$20 * T42 * thousand / PowerFactor</f>
        <v>0</v>
      </c>
      <c r="U87" s="275">
        <f t="shared" si="81"/>
        <v>0</v>
      </c>
      <c r="V87" s="275">
        <f t="shared" ref="V87:W87" si="82">V$20 * V42 * thousand / PowerFactor</f>
        <v>0</v>
      </c>
      <c r="W87" s="275">
        <f t="shared" si="82"/>
        <v>0</v>
      </c>
      <c r="X87" s="275">
        <f t="shared" ref="X87:Y87" si="83">X$20 * X42 * thousand / PowerFactor</f>
        <v>0</v>
      </c>
      <c r="Y87" s="275">
        <f t="shared" si="83"/>
        <v>0</v>
      </c>
    </row>
    <row r="88" spans="3:25" x14ac:dyDescent="0.25">
      <c r="C88" s="86"/>
      <c r="D88" s="293"/>
      <c r="F88" s="293" t="s">
        <v>46</v>
      </c>
      <c r="G88" s="293" t="s">
        <v>510</v>
      </c>
      <c r="J88" s="275">
        <f t="shared" ref="J88:K88" si="84">J$20 * J43 * thousand / PowerFactor</f>
        <v>0</v>
      </c>
      <c r="K88" s="275">
        <f t="shared" si="84"/>
        <v>0</v>
      </c>
      <c r="L88" s="275">
        <f t="shared" ref="L88:M88" si="85">L$20 * L43 * thousand / PowerFactor</f>
        <v>0</v>
      </c>
      <c r="M88" s="275">
        <f t="shared" si="85"/>
        <v>0</v>
      </c>
      <c r="N88" s="275">
        <f t="shared" ref="N88:P88" si="86">N$20 * N43 * thousand / PowerFactor</f>
        <v>0</v>
      </c>
      <c r="O88" s="275">
        <f t="shared" si="86"/>
        <v>0</v>
      </c>
      <c r="P88" s="275">
        <f t="shared" si="86"/>
        <v>0</v>
      </c>
      <c r="Q88" s="275">
        <f t="shared" ref="Q88:S88" si="87">Q$20 * Q43 * thousand / PowerFactor</f>
        <v>0</v>
      </c>
      <c r="R88" s="275">
        <f t="shared" si="87"/>
        <v>0</v>
      </c>
      <c r="S88" s="275">
        <f t="shared" si="87"/>
        <v>0</v>
      </c>
      <c r="T88" s="275">
        <f t="shared" ref="T88:U88" si="88">T$20 * T43 * thousand / PowerFactor</f>
        <v>0</v>
      </c>
      <c r="U88" s="275">
        <f t="shared" si="88"/>
        <v>0</v>
      </c>
      <c r="V88" s="275">
        <f t="shared" ref="V88:W88" si="89">V$20 * V43 * thousand / PowerFactor</f>
        <v>0</v>
      </c>
      <c r="W88" s="275">
        <f t="shared" si="89"/>
        <v>0</v>
      </c>
      <c r="X88" s="275">
        <f t="shared" ref="X88:Y88" si="90">X$20 * X43 * thousand / PowerFactor</f>
        <v>0</v>
      </c>
      <c r="Y88" s="275">
        <f t="shared" si="90"/>
        <v>0</v>
      </c>
    </row>
    <row r="89" spans="3:25" x14ac:dyDescent="0.25">
      <c r="C89" s="86"/>
      <c r="D89" s="293"/>
      <c r="F89" s="293" t="s">
        <v>47</v>
      </c>
      <c r="G89" s="293" t="s">
        <v>510</v>
      </c>
      <c r="J89" s="275">
        <f t="shared" ref="J89:K89" si="91">J$20 * J44 * thousand / PowerFactor</f>
        <v>0</v>
      </c>
      <c r="K89" s="275">
        <f t="shared" si="91"/>
        <v>0</v>
      </c>
      <c r="L89" s="275">
        <f t="shared" ref="L89:M89" si="92">L$20 * L44 * thousand / PowerFactor</f>
        <v>0</v>
      </c>
      <c r="M89" s="275">
        <f t="shared" si="92"/>
        <v>0</v>
      </c>
      <c r="N89" s="275">
        <f t="shared" ref="N89:P89" si="93">N$20 * N44 * thousand / PowerFactor</f>
        <v>0</v>
      </c>
      <c r="O89" s="275">
        <f t="shared" si="93"/>
        <v>0</v>
      </c>
      <c r="P89" s="275">
        <f t="shared" si="93"/>
        <v>0</v>
      </c>
      <c r="Q89" s="275">
        <f t="shared" ref="Q89:S89" si="94">Q$20 * Q44 * thousand / PowerFactor</f>
        <v>0</v>
      </c>
      <c r="R89" s="275">
        <f t="shared" si="94"/>
        <v>0</v>
      </c>
      <c r="S89" s="275">
        <f t="shared" si="94"/>
        <v>0</v>
      </c>
      <c r="T89" s="275">
        <f t="shared" ref="T89:U89" si="95">T$20 * T44 * thousand / PowerFactor</f>
        <v>0</v>
      </c>
      <c r="U89" s="275">
        <f t="shared" si="95"/>
        <v>0</v>
      </c>
      <c r="V89" s="275">
        <f t="shared" ref="V89:W89" si="96">V$20 * V44 * thousand / PowerFactor</f>
        <v>0</v>
      </c>
      <c r="W89" s="275">
        <f t="shared" si="96"/>
        <v>0</v>
      </c>
      <c r="X89" s="275">
        <f t="shared" ref="X89:Y89" si="97">X$20 * X44 * thousand / PowerFactor</f>
        <v>0</v>
      </c>
      <c r="Y89" s="275">
        <f t="shared" si="97"/>
        <v>0</v>
      </c>
    </row>
    <row r="90" spans="3:25" x14ac:dyDescent="0.25">
      <c r="C90" s="86"/>
      <c r="D90" s="293"/>
      <c r="F90" s="293" t="s">
        <v>51</v>
      </c>
      <c r="G90" s="293" t="s">
        <v>510</v>
      </c>
      <c r="J90" s="275">
        <f t="shared" ref="J90:K90" si="98">J$20 * J45 * thousand / PowerFactor</f>
        <v>0</v>
      </c>
      <c r="K90" s="275">
        <f t="shared" si="98"/>
        <v>0</v>
      </c>
      <c r="L90" s="275">
        <f t="shared" ref="L90:M90" si="99">L$20 * L45 * thousand / PowerFactor</f>
        <v>0</v>
      </c>
      <c r="M90" s="275">
        <f t="shared" si="99"/>
        <v>0</v>
      </c>
      <c r="N90" s="275">
        <f t="shared" ref="N90:P90" si="100">N$20 * N45 * thousand / PowerFactor</f>
        <v>0</v>
      </c>
      <c r="O90" s="275">
        <f t="shared" si="100"/>
        <v>0</v>
      </c>
      <c r="P90" s="275">
        <f t="shared" si="100"/>
        <v>0</v>
      </c>
      <c r="Q90" s="275">
        <f t="shared" ref="Q90:S90" si="101">Q$20 * Q45 * thousand / PowerFactor</f>
        <v>0</v>
      </c>
      <c r="R90" s="275">
        <f t="shared" si="101"/>
        <v>0</v>
      </c>
      <c r="S90" s="275">
        <f t="shared" si="101"/>
        <v>0</v>
      </c>
      <c r="T90" s="275">
        <f t="shared" ref="T90:U90" si="102">T$20 * T45 * thousand / PowerFactor</f>
        <v>0</v>
      </c>
      <c r="U90" s="275">
        <f t="shared" si="102"/>
        <v>0</v>
      </c>
      <c r="V90" s="275">
        <f t="shared" ref="V90:W90" si="103">V$20 * V45 * thousand / PowerFactor</f>
        <v>0</v>
      </c>
      <c r="W90" s="275">
        <f t="shared" si="103"/>
        <v>0</v>
      </c>
      <c r="X90" s="275">
        <f t="shared" ref="X90:Y90" si="104">X$20 * X45 * thousand / PowerFactor</f>
        <v>0</v>
      </c>
      <c r="Y90" s="275">
        <f t="shared" si="104"/>
        <v>0</v>
      </c>
    </row>
    <row r="91" spans="3:25" x14ac:dyDescent="0.25">
      <c r="C91" s="86"/>
      <c r="D91" s="293"/>
      <c r="F91" s="293" t="s">
        <v>48</v>
      </c>
      <c r="G91" s="293" t="s">
        <v>510</v>
      </c>
      <c r="J91" s="275">
        <f t="shared" ref="J91:K91" si="105">J$20 * J46 * thousand / PowerFactor</f>
        <v>0</v>
      </c>
      <c r="K91" s="275">
        <f t="shared" si="105"/>
        <v>0</v>
      </c>
      <c r="L91" s="275">
        <f t="shared" ref="L91:M91" si="106">L$20 * L46 * thousand / PowerFactor</f>
        <v>0</v>
      </c>
      <c r="M91" s="275">
        <f t="shared" si="106"/>
        <v>0</v>
      </c>
      <c r="N91" s="275">
        <f t="shared" ref="N91:P91" si="107">N$20 * N46 * thousand / PowerFactor</f>
        <v>0</v>
      </c>
      <c r="O91" s="275">
        <f t="shared" si="107"/>
        <v>0</v>
      </c>
      <c r="P91" s="275">
        <f t="shared" si="107"/>
        <v>0</v>
      </c>
      <c r="Q91" s="275">
        <f t="shared" ref="Q91:S91" si="108">Q$20 * Q46 * thousand / PowerFactor</f>
        <v>0</v>
      </c>
      <c r="R91" s="275">
        <f t="shared" si="108"/>
        <v>0</v>
      </c>
      <c r="S91" s="275">
        <f t="shared" si="108"/>
        <v>0</v>
      </c>
      <c r="T91" s="275">
        <f t="shared" ref="T91:U91" si="109">T$20 * T46 * thousand / PowerFactor</f>
        <v>0</v>
      </c>
      <c r="U91" s="275">
        <f t="shared" si="109"/>
        <v>0</v>
      </c>
      <c r="V91" s="275">
        <f t="shared" ref="V91:W91" si="110">V$20 * V46 * thousand / PowerFactor</f>
        <v>0</v>
      </c>
      <c r="W91" s="275">
        <f t="shared" si="110"/>
        <v>0</v>
      </c>
      <c r="X91" s="275">
        <f t="shared" ref="X91:Y91" si="111">X$20 * X46 * thousand / PowerFactor</f>
        <v>0</v>
      </c>
      <c r="Y91" s="275">
        <f t="shared" si="111"/>
        <v>0</v>
      </c>
    </row>
    <row r="92" spans="3:25" x14ac:dyDescent="0.25">
      <c r="C92" s="86"/>
      <c r="D92" s="293"/>
      <c r="F92" s="293" t="s">
        <v>49</v>
      </c>
      <c r="G92" s="293" t="s">
        <v>510</v>
      </c>
      <c r="J92" s="275">
        <f t="shared" ref="J92:K92" si="112">J$20 * J47 * thousand / PowerFactor</f>
        <v>0</v>
      </c>
      <c r="K92" s="275">
        <f t="shared" si="112"/>
        <v>0</v>
      </c>
      <c r="L92" s="275">
        <f t="shared" ref="L92:M92" si="113">L$20 * L47 * thousand / PowerFactor</f>
        <v>0</v>
      </c>
      <c r="M92" s="275">
        <f t="shared" si="113"/>
        <v>0</v>
      </c>
      <c r="N92" s="275">
        <f t="shared" ref="N92:P92" si="114">N$20 * N47 * thousand / PowerFactor</f>
        <v>0</v>
      </c>
      <c r="O92" s="275">
        <f t="shared" si="114"/>
        <v>0</v>
      </c>
      <c r="P92" s="275">
        <f t="shared" si="114"/>
        <v>0</v>
      </c>
      <c r="Q92" s="275">
        <f t="shared" ref="Q92:S92" si="115">Q$20 * Q47 * thousand / PowerFactor</f>
        <v>0</v>
      </c>
      <c r="R92" s="275">
        <f t="shared" si="115"/>
        <v>0</v>
      </c>
      <c r="S92" s="275">
        <f t="shared" si="115"/>
        <v>0</v>
      </c>
      <c r="T92" s="275">
        <f t="shared" ref="T92:U92" si="116">T$20 * T47 * thousand / PowerFactor</f>
        <v>0</v>
      </c>
      <c r="U92" s="275">
        <f t="shared" si="116"/>
        <v>0</v>
      </c>
      <c r="V92" s="275">
        <f t="shared" ref="V92:W92" si="117">V$20 * V47 * thousand / PowerFactor</f>
        <v>0</v>
      </c>
      <c r="W92" s="275">
        <f t="shared" si="117"/>
        <v>0</v>
      </c>
      <c r="X92" s="275">
        <f t="shared" ref="X92:Y92" si="118">X$20 * X47 * thousand / PowerFactor</f>
        <v>0</v>
      </c>
      <c r="Y92" s="275">
        <f t="shared" si="118"/>
        <v>0</v>
      </c>
    </row>
    <row r="93" spans="3:25" x14ac:dyDescent="0.25">
      <c r="C93" s="86"/>
      <c r="D93" s="293"/>
      <c r="F93" s="293" t="s">
        <v>50</v>
      </c>
      <c r="G93" s="293" t="s">
        <v>510</v>
      </c>
      <c r="J93" s="275">
        <f t="shared" ref="J93:K93" si="119">J$20 * J48 * thousand / PowerFactor</f>
        <v>4930543.5451153275</v>
      </c>
      <c r="K93" s="275">
        <f t="shared" si="119"/>
        <v>0</v>
      </c>
      <c r="L93" s="275">
        <f t="shared" ref="L93:M93" si="120">L$20 * L48 * thousand / PowerFactor</f>
        <v>1303334.4743139907</v>
      </c>
      <c r="M93" s="275">
        <f t="shared" si="120"/>
        <v>0</v>
      </c>
      <c r="N93" s="275">
        <f t="shared" ref="N93:P93" si="121">N$20 * N48 * thousand / PowerFactor</f>
        <v>0</v>
      </c>
      <c r="O93" s="275">
        <f t="shared" si="121"/>
        <v>0</v>
      </c>
      <c r="P93" s="275">
        <f t="shared" si="121"/>
        <v>0</v>
      </c>
      <c r="Q93" s="275">
        <f t="shared" ref="Q93:S93" si="122">Q$20 * Q48 * thousand / PowerFactor</f>
        <v>0</v>
      </c>
      <c r="R93" s="275">
        <f t="shared" si="122"/>
        <v>0</v>
      </c>
      <c r="S93" s="275">
        <f t="shared" si="122"/>
        <v>0</v>
      </c>
      <c r="T93" s="275">
        <f t="shared" ref="T93:U93" si="123">T$20 * T48 * thousand / PowerFactor</f>
        <v>0</v>
      </c>
      <c r="U93" s="275">
        <f t="shared" si="123"/>
        <v>0</v>
      </c>
      <c r="V93" s="275">
        <f t="shared" ref="V93:W93" si="124">V$20 * V48 * thousand / PowerFactor</f>
        <v>0</v>
      </c>
      <c r="W93" s="275">
        <f t="shared" si="124"/>
        <v>0</v>
      </c>
      <c r="X93" s="275">
        <f t="shared" ref="X93:Y93" si="125">X$20 * X48 * thousand / PowerFactor</f>
        <v>0</v>
      </c>
      <c r="Y93" s="275">
        <f t="shared" si="125"/>
        <v>0</v>
      </c>
    </row>
    <row r="94" spans="3:25" x14ac:dyDescent="0.25">
      <c r="C94" s="86"/>
      <c r="D94" s="293"/>
      <c r="F94" s="293" t="s">
        <v>124</v>
      </c>
      <c r="G94" s="293" t="s">
        <v>510</v>
      </c>
      <c r="J94" s="279"/>
      <c r="K94" s="279"/>
      <c r="L94" s="279"/>
      <c r="M94" s="279"/>
      <c r="N94" s="279"/>
      <c r="O94" s="279"/>
      <c r="P94" s="279"/>
      <c r="Q94" s="279"/>
      <c r="R94" s="279"/>
      <c r="S94" s="279"/>
      <c r="T94" s="279"/>
      <c r="U94" s="279"/>
      <c r="V94" s="279"/>
      <c r="W94" s="279"/>
      <c r="X94" s="279"/>
      <c r="Y94" s="279"/>
    </row>
    <row r="95" spans="3:25" x14ac:dyDescent="0.25">
      <c r="C95" s="86"/>
      <c r="D95" s="293"/>
      <c r="F95" s="93" t="s">
        <v>123</v>
      </c>
      <c r="G95" s="93" t="s">
        <v>510</v>
      </c>
      <c r="H95" s="93"/>
      <c r="I95" s="93"/>
      <c r="J95" s="240"/>
      <c r="K95" s="240"/>
      <c r="L95" s="240"/>
      <c r="M95" s="240"/>
      <c r="N95" s="240"/>
      <c r="O95" s="240"/>
      <c r="P95" s="240"/>
      <c r="Q95" s="240"/>
      <c r="R95" s="240"/>
      <c r="S95" s="240"/>
      <c r="T95" s="240"/>
      <c r="U95" s="240"/>
      <c r="V95" s="240"/>
      <c r="W95" s="240"/>
      <c r="X95" s="240"/>
      <c r="Y95" s="240"/>
    </row>
    <row r="96" spans="3:25" x14ac:dyDescent="0.25">
      <c r="C96" s="86"/>
      <c r="J96" s="252"/>
      <c r="K96" s="252"/>
      <c r="L96" s="252"/>
      <c r="M96" s="252"/>
      <c r="N96" s="252"/>
      <c r="O96" s="252"/>
      <c r="P96" s="252"/>
      <c r="Q96" s="252"/>
      <c r="R96" s="252"/>
      <c r="S96" s="252"/>
      <c r="T96" s="252"/>
      <c r="U96" s="252"/>
      <c r="V96" s="252"/>
      <c r="W96" s="252"/>
      <c r="X96" s="252"/>
      <c r="Y96" s="252"/>
    </row>
    <row r="97" spans="3:27" x14ac:dyDescent="0.25">
      <c r="C97" s="7" t="str">
        <f ca="1">INDEX('Version control'!$H$35:$H$61,MATCH($A$1,'Version control'!$F$35:$F$61,0),1)&amp;"-F: Revenue allocated to fixed charges, by aggregation group"</f>
        <v>Section 517-F: Revenue allocated to fixed charges, by aggregation group</v>
      </c>
      <c r="D97" s="7"/>
      <c r="E97" s="7"/>
      <c r="F97" s="7"/>
      <c r="G97" s="7"/>
      <c r="H97" s="7"/>
      <c r="I97" s="7"/>
      <c r="J97" s="242"/>
      <c r="K97" s="242"/>
      <c r="L97" s="242"/>
      <c r="M97" s="242"/>
      <c r="N97" s="242"/>
      <c r="O97" s="242"/>
      <c r="P97" s="242"/>
      <c r="Q97" s="242"/>
      <c r="R97" s="242"/>
      <c r="S97" s="242"/>
      <c r="T97" s="242"/>
      <c r="U97" s="242"/>
      <c r="V97" s="242"/>
      <c r="W97" s="242"/>
      <c r="X97" s="242"/>
      <c r="Y97" s="242"/>
      <c r="Z97" s="7"/>
      <c r="AA97" s="7"/>
    </row>
    <row r="98" spans="3:27" x14ac:dyDescent="0.25">
      <c r="D98" s="293"/>
      <c r="E98" s="96"/>
      <c r="I98" s="293" t="s">
        <v>359</v>
      </c>
      <c r="J98" s="252"/>
      <c r="K98" s="252"/>
      <c r="L98" s="252"/>
      <c r="M98" s="252"/>
      <c r="N98" s="252"/>
      <c r="O98" s="252"/>
      <c r="P98" s="252"/>
      <c r="Q98" s="252"/>
      <c r="R98" s="252"/>
      <c r="S98" s="252"/>
      <c r="T98" s="252"/>
      <c r="U98" s="252"/>
      <c r="V98" s="252"/>
      <c r="W98" s="252"/>
      <c r="X98" s="252"/>
      <c r="Y98" s="252"/>
      <c r="AA98" s="293" t="s">
        <v>828</v>
      </c>
    </row>
    <row r="99" spans="3:27" x14ac:dyDescent="0.25">
      <c r="C99" s="86"/>
      <c r="D99" s="293"/>
      <c r="E99" s="96" t="s">
        <v>139</v>
      </c>
      <c r="J99" s="252"/>
      <c r="K99" s="252"/>
      <c r="L99" s="252"/>
      <c r="M99" s="252"/>
      <c r="N99" s="252"/>
      <c r="O99" s="252"/>
      <c r="P99" s="252"/>
      <c r="Q99" s="252"/>
      <c r="R99" s="252"/>
      <c r="S99" s="252"/>
      <c r="T99" s="252"/>
      <c r="U99" s="252"/>
      <c r="V99" s="252"/>
      <c r="W99" s="252"/>
      <c r="X99" s="252"/>
      <c r="Y99" s="252"/>
    </row>
    <row r="100" spans="3:27" x14ac:dyDescent="0.25">
      <c r="C100" s="86"/>
      <c r="D100" s="293"/>
      <c r="E100" s="82"/>
      <c r="F100" s="91" t="s">
        <v>267</v>
      </c>
      <c r="G100" s="91" t="s">
        <v>510</v>
      </c>
      <c r="H100" s="91"/>
      <c r="I100" s="91"/>
      <c r="J100" s="238"/>
      <c r="K100" s="238"/>
      <c r="L100" s="238"/>
      <c r="M100" s="238"/>
      <c r="N100" s="238"/>
      <c r="O100" s="238"/>
      <c r="P100" s="238"/>
      <c r="Q100" s="238"/>
      <c r="R100" s="238"/>
      <c r="S100" s="238"/>
      <c r="T100" s="238"/>
      <c r="U100" s="238"/>
      <c r="V100" s="238"/>
      <c r="W100" s="238"/>
      <c r="X100" s="238"/>
      <c r="Y100" s="238"/>
    </row>
    <row r="101" spans="3:27" x14ac:dyDescent="0.25">
      <c r="C101" s="86"/>
      <c r="D101" s="293"/>
      <c r="E101" s="82"/>
      <c r="F101" s="293" t="s">
        <v>43</v>
      </c>
      <c r="G101" s="293" t="s">
        <v>510</v>
      </c>
      <c r="J101" s="279"/>
      <c r="K101" s="279"/>
      <c r="L101" s="279"/>
      <c r="M101" s="279"/>
      <c r="N101" s="279"/>
      <c r="O101" s="279"/>
      <c r="P101" s="279"/>
      <c r="Q101" s="279"/>
      <c r="R101" s="279"/>
      <c r="S101" s="279"/>
      <c r="T101" s="279"/>
      <c r="U101" s="279"/>
      <c r="V101" s="279"/>
      <c r="W101" s="279"/>
      <c r="X101" s="279"/>
      <c r="Y101" s="279"/>
    </row>
    <row r="102" spans="3:27" x14ac:dyDescent="0.25">
      <c r="C102" s="86"/>
      <c r="D102" s="293"/>
      <c r="E102" s="82"/>
      <c r="F102" s="293" t="s">
        <v>44</v>
      </c>
      <c r="G102" s="293" t="s">
        <v>510</v>
      </c>
      <c r="J102" s="275">
        <f t="shared" ref="J102:Y109" si="126">SUMIFS($J72:$Y72,$J$63:$Y$63,J$63)</f>
        <v>0</v>
      </c>
      <c r="K102" s="275">
        <f t="shared" si="126"/>
        <v>0</v>
      </c>
      <c r="L102" s="275">
        <f t="shared" si="126"/>
        <v>0</v>
      </c>
      <c r="M102" s="275">
        <f t="shared" si="126"/>
        <v>0</v>
      </c>
      <c r="N102" s="275">
        <f t="shared" si="126"/>
        <v>0</v>
      </c>
      <c r="O102" s="275">
        <f t="shared" si="126"/>
        <v>0</v>
      </c>
      <c r="P102" s="275">
        <f t="shared" si="126"/>
        <v>0</v>
      </c>
      <c r="Q102" s="275">
        <f t="shared" si="126"/>
        <v>0</v>
      </c>
      <c r="R102" s="275">
        <f t="shared" si="126"/>
        <v>0</v>
      </c>
      <c r="S102" s="275">
        <f t="shared" si="126"/>
        <v>0</v>
      </c>
      <c r="T102" s="275">
        <f t="shared" si="126"/>
        <v>0</v>
      </c>
      <c r="U102" s="275">
        <f t="shared" si="126"/>
        <v>0</v>
      </c>
      <c r="V102" s="275">
        <f t="shared" si="126"/>
        <v>0</v>
      </c>
      <c r="W102" s="275">
        <f t="shared" si="126"/>
        <v>0</v>
      </c>
      <c r="X102" s="275">
        <f t="shared" si="126"/>
        <v>0</v>
      </c>
      <c r="Y102" s="275">
        <f t="shared" si="126"/>
        <v>0</v>
      </c>
    </row>
    <row r="103" spans="3:27" x14ac:dyDescent="0.25">
      <c r="C103" s="86"/>
      <c r="D103" s="293"/>
      <c r="E103" s="82"/>
      <c r="F103" s="293" t="s">
        <v>45</v>
      </c>
      <c r="G103" s="293" t="s">
        <v>510</v>
      </c>
      <c r="J103" s="275">
        <f t="shared" si="126"/>
        <v>0</v>
      </c>
      <c r="K103" s="275">
        <f t="shared" si="126"/>
        <v>0</v>
      </c>
      <c r="L103" s="275">
        <f t="shared" si="126"/>
        <v>0</v>
      </c>
      <c r="M103" s="275">
        <f t="shared" si="126"/>
        <v>0</v>
      </c>
      <c r="N103" s="275">
        <f t="shared" si="126"/>
        <v>0</v>
      </c>
      <c r="O103" s="275">
        <f t="shared" si="126"/>
        <v>0</v>
      </c>
      <c r="P103" s="275">
        <f t="shared" si="126"/>
        <v>0</v>
      </c>
      <c r="Q103" s="275">
        <f t="shared" si="126"/>
        <v>0</v>
      </c>
      <c r="R103" s="275">
        <f t="shared" si="126"/>
        <v>0</v>
      </c>
      <c r="S103" s="275">
        <f t="shared" si="126"/>
        <v>0</v>
      </c>
      <c r="T103" s="275">
        <f t="shared" si="126"/>
        <v>0</v>
      </c>
      <c r="U103" s="275">
        <f t="shared" si="126"/>
        <v>0</v>
      </c>
      <c r="V103" s="275">
        <f t="shared" si="126"/>
        <v>0</v>
      </c>
      <c r="W103" s="275">
        <f t="shared" si="126"/>
        <v>0</v>
      </c>
      <c r="X103" s="275">
        <f t="shared" si="126"/>
        <v>0</v>
      </c>
      <c r="Y103" s="275">
        <f t="shared" si="126"/>
        <v>0</v>
      </c>
    </row>
    <row r="104" spans="3:27" x14ac:dyDescent="0.25">
      <c r="C104" s="86"/>
      <c r="D104" s="293"/>
      <c r="E104" s="82"/>
      <c r="F104" s="293" t="s">
        <v>46</v>
      </c>
      <c r="G104" s="293" t="s">
        <v>510</v>
      </c>
      <c r="J104" s="275">
        <f t="shared" si="126"/>
        <v>0</v>
      </c>
      <c r="K104" s="275">
        <f t="shared" si="126"/>
        <v>0</v>
      </c>
      <c r="L104" s="275">
        <f t="shared" si="126"/>
        <v>0</v>
      </c>
      <c r="M104" s="275">
        <f t="shared" si="126"/>
        <v>0</v>
      </c>
      <c r="N104" s="275">
        <f t="shared" si="126"/>
        <v>0</v>
      </c>
      <c r="O104" s="275">
        <f t="shared" si="126"/>
        <v>0</v>
      </c>
      <c r="P104" s="275">
        <f t="shared" si="126"/>
        <v>0</v>
      </c>
      <c r="Q104" s="275">
        <f t="shared" si="126"/>
        <v>0</v>
      </c>
      <c r="R104" s="275">
        <f t="shared" si="126"/>
        <v>0</v>
      </c>
      <c r="S104" s="275">
        <f t="shared" si="126"/>
        <v>0</v>
      </c>
      <c r="T104" s="275">
        <f t="shared" si="126"/>
        <v>0</v>
      </c>
      <c r="U104" s="275">
        <f t="shared" si="126"/>
        <v>0</v>
      </c>
      <c r="V104" s="275">
        <f t="shared" si="126"/>
        <v>0</v>
      </c>
      <c r="W104" s="275">
        <f t="shared" si="126"/>
        <v>0</v>
      </c>
      <c r="X104" s="275">
        <f t="shared" si="126"/>
        <v>0</v>
      </c>
      <c r="Y104" s="275">
        <f t="shared" si="126"/>
        <v>0</v>
      </c>
    </row>
    <row r="105" spans="3:27" x14ac:dyDescent="0.25">
      <c r="C105" s="86"/>
      <c r="D105" s="293"/>
      <c r="E105" s="82"/>
      <c r="F105" s="293" t="s">
        <v>47</v>
      </c>
      <c r="G105" s="293" t="s">
        <v>510</v>
      </c>
      <c r="J105" s="275">
        <f t="shared" si="126"/>
        <v>0</v>
      </c>
      <c r="K105" s="275">
        <f t="shared" si="126"/>
        <v>0</v>
      </c>
      <c r="L105" s="275">
        <f t="shared" si="126"/>
        <v>0</v>
      </c>
      <c r="M105" s="275">
        <f t="shared" si="126"/>
        <v>0</v>
      </c>
      <c r="N105" s="275">
        <f t="shared" si="126"/>
        <v>0</v>
      </c>
      <c r="O105" s="275">
        <f t="shared" si="126"/>
        <v>0</v>
      </c>
      <c r="P105" s="275">
        <f t="shared" si="126"/>
        <v>0</v>
      </c>
      <c r="Q105" s="275">
        <f t="shared" si="126"/>
        <v>0</v>
      </c>
      <c r="R105" s="275">
        <f t="shared" si="126"/>
        <v>0</v>
      </c>
      <c r="S105" s="275">
        <f t="shared" si="126"/>
        <v>0</v>
      </c>
      <c r="T105" s="275">
        <f t="shared" si="126"/>
        <v>0</v>
      </c>
      <c r="U105" s="275">
        <f t="shared" si="126"/>
        <v>0</v>
      </c>
      <c r="V105" s="275">
        <f t="shared" si="126"/>
        <v>0</v>
      </c>
      <c r="W105" s="275">
        <f t="shared" si="126"/>
        <v>0</v>
      </c>
      <c r="X105" s="275">
        <f t="shared" si="126"/>
        <v>0</v>
      </c>
      <c r="Y105" s="275">
        <f t="shared" si="126"/>
        <v>0</v>
      </c>
    </row>
    <row r="106" spans="3:27" x14ac:dyDescent="0.25">
      <c r="C106" s="86"/>
      <c r="D106" s="293"/>
      <c r="E106" s="82"/>
      <c r="F106" s="293" t="s">
        <v>51</v>
      </c>
      <c r="G106" s="293" t="s">
        <v>510</v>
      </c>
      <c r="J106" s="275">
        <f t="shared" si="126"/>
        <v>0</v>
      </c>
      <c r="K106" s="275">
        <f t="shared" si="126"/>
        <v>0</v>
      </c>
      <c r="L106" s="275">
        <f t="shared" si="126"/>
        <v>0</v>
      </c>
      <c r="M106" s="275">
        <f t="shared" si="126"/>
        <v>0</v>
      </c>
      <c r="N106" s="275">
        <f t="shared" si="126"/>
        <v>0</v>
      </c>
      <c r="O106" s="275">
        <f t="shared" si="126"/>
        <v>0</v>
      </c>
      <c r="P106" s="275">
        <f t="shared" si="126"/>
        <v>0</v>
      </c>
      <c r="Q106" s="275">
        <f t="shared" si="126"/>
        <v>0</v>
      </c>
      <c r="R106" s="275">
        <f t="shared" si="126"/>
        <v>0</v>
      </c>
      <c r="S106" s="275">
        <f t="shared" si="126"/>
        <v>0</v>
      </c>
      <c r="T106" s="275">
        <f t="shared" si="126"/>
        <v>0</v>
      </c>
      <c r="U106" s="275">
        <f t="shared" si="126"/>
        <v>0</v>
      </c>
      <c r="V106" s="275">
        <f t="shared" si="126"/>
        <v>0</v>
      </c>
      <c r="W106" s="275">
        <f t="shared" si="126"/>
        <v>0</v>
      </c>
      <c r="X106" s="275">
        <f t="shared" si="126"/>
        <v>0</v>
      </c>
      <c r="Y106" s="275">
        <f t="shared" si="126"/>
        <v>0</v>
      </c>
    </row>
    <row r="107" spans="3:27" x14ac:dyDescent="0.25">
      <c r="C107" s="86"/>
      <c r="D107" s="293"/>
      <c r="E107" s="82"/>
      <c r="F107" s="293" t="s">
        <v>48</v>
      </c>
      <c r="G107" s="293" t="s">
        <v>510</v>
      </c>
      <c r="J107" s="275">
        <f t="shared" si="126"/>
        <v>0</v>
      </c>
      <c r="K107" s="275">
        <f t="shared" si="126"/>
        <v>0</v>
      </c>
      <c r="L107" s="275">
        <f t="shared" si="126"/>
        <v>0</v>
      </c>
      <c r="M107" s="275">
        <f t="shared" si="126"/>
        <v>0</v>
      </c>
      <c r="N107" s="275">
        <f t="shared" si="126"/>
        <v>0</v>
      </c>
      <c r="O107" s="275">
        <f t="shared" si="126"/>
        <v>0</v>
      </c>
      <c r="P107" s="275">
        <f t="shared" si="126"/>
        <v>0</v>
      </c>
      <c r="Q107" s="275">
        <f t="shared" si="126"/>
        <v>0</v>
      </c>
      <c r="R107" s="275">
        <f t="shared" si="126"/>
        <v>0</v>
      </c>
      <c r="S107" s="275">
        <f t="shared" si="126"/>
        <v>0</v>
      </c>
      <c r="T107" s="275">
        <f t="shared" si="126"/>
        <v>0</v>
      </c>
      <c r="U107" s="275">
        <f t="shared" si="126"/>
        <v>0</v>
      </c>
      <c r="V107" s="275">
        <f t="shared" si="126"/>
        <v>0</v>
      </c>
      <c r="W107" s="275">
        <f t="shared" si="126"/>
        <v>0</v>
      </c>
      <c r="X107" s="275">
        <f t="shared" si="126"/>
        <v>0</v>
      </c>
      <c r="Y107" s="275">
        <f t="shared" si="126"/>
        <v>0</v>
      </c>
    </row>
    <row r="108" spans="3:27" x14ac:dyDescent="0.25">
      <c r="C108" s="86"/>
      <c r="D108" s="293"/>
      <c r="E108" s="82"/>
      <c r="F108" s="293" t="s">
        <v>49</v>
      </c>
      <c r="G108" s="293" t="s">
        <v>510</v>
      </c>
      <c r="J108" s="275">
        <f t="shared" si="126"/>
        <v>0</v>
      </c>
      <c r="K108" s="275">
        <f t="shared" si="126"/>
        <v>0</v>
      </c>
      <c r="L108" s="275">
        <f t="shared" si="126"/>
        <v>0</v>
      </c>
      <c r="M108" s="275">
        <f t="shared" si="126"/>
        <v>0</v>
      </c>
      <c r="N108" s="275">
        <f t="shared" si="126"/>
        <v>0</v>
      </c>
      <c r="O108" s="275">
        <f t="shared" si="126"/>
        <v>0</v>
      </c>
      <c r="P108" s="275">
        <f t="shared" si="126"/>
        <v>0</v>
      </c>
      <c r="Q108" s="275">
        <f t="shared" si="126"/>
        <v>0</v>
      </c>
      <c r="R108" s="275">
        <f t="shared" si="126"/>
        <v>0</v>
      </c>
      <c r="S108" s="275">
        <f t="shared" si="126"/>
        <v>0</v>
      </c>
      <c r="T108" s="275">
        <f t="shared" si="126"/>
        <v>0</v>
      </c>
      <c r="U108" s="275">
        <f t="shared" si="126"/>
        <v>0</v>
      </c>
      <c r="V108" s="275">
        <f t="shared" si="126"/>
        <v>0</v>
      </c>
      <c r="W108" s="275">
        <f t="shared" si="126"/>
        <v>0</v>
      </c>
      <c r="X108" s="275">
        <f t="shared" si="126"/>
        <v>0</v>
      </c>
      <c r="Y108" s="275">
        <f t="shared" si="126"/>
        <v>0</v>
      </c>
    </row>
    <row r="109" spans="3:27" x14ac:dyDescent="0.25">
      <c r="C109" s="86"/>
      <c r="D109" s="293"/>
      <c r="E109" s="82"/>
      <c r="F109" s="293" t="s">
        <v>50</v>
      </c>
      <c r="G109" s="293" t="s">
        <v>510</v>
      </c>
      <c r="J109" s="275">
        <f t="shared" si="126"/>
        <v>488245.27105127275</v>
      </c>
      <c r="K109" s="275">
        <f t="shared" si="126"/>
        <v>0</v>
      </c>
      <c r="L109" s="275">
        <f t="shared" si="126"/>
        <v>488245.27105127275</v>
      </c>
      <c r="M109" s="275">
        <f t="shared" si="126"/>
        <v>0</v>
      </c>
      <c r="N109" s="275">
        <f t="shared" si="126"/>
        <v>0</v>
      </c>
      <c r="O109" s="275">
        <f t="shared" si="126"/>
        <v>0</v>
      </c>
      <c r="P109" s="275">
        <f t="shared" si="126"/>
        <v>0</v>
      </c>
      <c r="Q109" s="275">
        <f t="shared" si="126"/>
        <v>0</v>
      </c>
      <c r="R109" s="275">
        <f t="shared" si="126"/>
        <v>0</v>
      </c>
      <c r="S109" s="275">
        <f t="shared" si="126"/>
        <v>0</v>
      </c>
      <c r="T109" s="275">
        <f t="shared" si="126"/>
        <v>0</v>
      </c>
      <c r="U109" s="275">
        <f t="shared" si="126"/>
        <v>0</v>
      </c>
      <c r="V109" s="275">
        <f t="shared" si="126"/>
        <v>0</v>
      </c>
      <c r="W109" s="275">
        <f t="shared" si="126"/>
        <v>0</v>
      </c>
      <c r="X109" s="275">
        <f t="shared" si="126"/>
        <v>0</v>
      </c>
      <c r="Y109" s="275">
        <f t="shared" si="126"/>
        <v>0</v>
      </c>
    </row>
    <row r="110" spans="3:27" x14ac:dyDescent="0.25">
      <c r="C110" s="86"/>
      <c r="D110" s="293"/>
      <c r="E110" s="82"/>
      <c r="F110" s="293" t="s">
        <v>124</v>
      </c>
      <c r="G110" s="293" t="s">
        <v>510</v>
      </c>
      <c r="J110" s="279"/>
      <c r="K110" s="279"/>
      <c r="L110" s="279"/>
      <c r="M110" s="279"/>
      <c r="N110" s="279"/>
      <c r="O110" s="279"/>
      <c r="P110" s="279"/>
      <c r="Q110" s="279"/>
      <c r="R110" s="279"/>
      <c r="S110" s="279"/>
      <c r="T110" s="279"/>
      <c r="U110" s="279"/>
      <c r="V110" s="279"/>
      <c r="W110" s="279"/>
      <c r="X110" s="279"/>
      <c r="Y110" s="279"/>
    </row>
    <row r="111" spans="3:27" x14ac:dyDescent="0.25">
      <c r="C111" s="86"/>
      <c r="D111" s="293"/>
      <c r="E111" s="82"/>
      <c r="F111" s="93" t="s">
        <v>123</v>
      </c>
      <c r="G111" s="93" t="s">
        <v>510</v>
      </c>
      <c r="H111" s="93"/>
      <c r="I111" s="93"/>
      <c r="J111" s="240"/>
      <c r="K111" s="240"/>
      <c r="L111" s="240"/>
      <c r="M111" s="240"/>
      <c r="N111" s="240"/>
      <c r="O111" s="240"/>
      <c r="P111" s="240"/>
      <c r="Q111" s="240"/>
      <c r="R111" s="240"/>
      <c r="S111" s="240"/>
      <c r="T111" s="240"/>
      <c r="U111" s="240"/>
      <c r="V111" s="240"/>
      <c r="W111" s="240"/>
      <c r="X111" s="240"/>
      <c r="Y111" s="240"/>
    </row>
    <row r="112" spans="3:27" x14ac:dyDescent="0.25">
      <c r="C112" s="86"/>
      <c r="D112" s="293"/>
      <c r="E112" s="82"/>
      <c r="J112" s="252"/>
      <c r="K112" s="252"/>
      <c r="L112" s="252"/>
      <c r="M112" s="252"/>
      <c r="N112" s="252"/>
      <c r="O112" s="252"/>
      <c r="P112" s="252"/>
      <c r="Q112" s="252"/>
      <c r="R112" s="252"/>
      <c r="S112" s="252"/>
      <c r="T112" s="252"/>
      <c r="U112" s="252"/>
      <c r="V112" s="252"/>
      <c r="W112" s="252"/>
      <c r="X112" s="252"/>
      <c r="Y112" s="252"/>
    </row>
    <row r="113" spans="3:27" x14ac:dyDescent="0.25">
      <c r="C113" s="86"/>
      <c r="D113" s="293"/>
      <c r="E113" s="96" t="s">
        <v>116</v>
      </c>
      <c r="J113" s="252"/>
      <c r="K113" s="252"/>
      <c r="L113" s="252"/>
      <c r="M113" s="252"/>
      <c r="N113" s="252"/>
      <c r="O113" s="252"/>
      <c r="P113" s="252"/>
      <c r="Q113" s="252"/>
      <c r="R113" s="252"/>
      <c r="S113" s="252"/>
      <c r="T113" s="252"/>
      <c r="U113" s="252"/>
      <c r="V113" s="252"/>
      <c r="W113" s="252"/>
      <c r="X113" s="252"/>
      <c r="Y113" s="252"/>
    </row>
    <row r="114" spans="3:27" x14ac:dyDescent="0.25">
      <c r="C114" s="86"/>
      <c r="D114" s="293"/>
      <c r="F114" s="91" t="s">
        <v>267</v>
      </c>
      <c r="G114" s="91" t="s">
        <v>510</v>
      </c>
      <c r="H114" s="91"/>
      <c r="I114" s="91"/>
      <c r="J114" s="267">
        <f t="shared" ref="J114:Y123" si="127">SUMIFS($J84:$Y84,$J$63:$Y$63,J$63)</f>
        <v>0</v>
      </c>
      <c r="K114" s="267">
        <f t="shared" si="127"/>
        <v>0</v>
      </c>
      <c r="L114" s="267">
        <f t="shared" si="127"/>
        <v>0</v>
      </c>
      <c r="M114" s="267">
        <f t="shared" si="127"/>
        <v>0</v>
      </c>
      <c r="N114" s="267">
        <f t="shared" si="127"/>
        <v>0</v>
      </c>
      <c r="O114" s="267">
        <f t="shared" si="127"/>
        <v>0</v>
      </c>
      <c r="P114" s="267">
        <f t="shared" si="127"/>
        <v>0</v>
      </c>
      <c r="Q114" s="267">
        <f t="shared" si="127"/>
        <v>0</v>
      </c>
      <c r="R114" s="267">
        <f t="shared" si="127"/>
        <v>0</v>
      </c>
      <c r="S114" s="267">
        <f t="shared" si="127"/>
        <v>0</v>
      </c>
      <c r="T114" s="267">
        <f t="shared" si="127"/>
        <v>0</v>
      </c>
      <c r="U114" s="267">
        <f t="shared" si="127"/>
        <v>0</v>
      </c>
      <c r="V114" s="267">
        <f t="shared" si="127"/>
        <v>0</v>
      </c>
      <c r="W114" s="267">
        <f t="shared" si="127"/>
        <v>0</v>
      </c>
      <c r="X114" s="267">
        <f t="shared" si="127"/>
        <v>0</v>
      </c>
      <c r="Y114" s="267">
        <f t="shared" si="127"/>
        <v>0</v>
      </c>
    </row>
    <row r="115" spans="3:27" x14ac:dyDescent="0.25">
      <c r="C115" s="86"/>
      <c r="D115" s="293"/>
      <c r="F115" s="293" t="s">
        <v>43</v>
      </c>
      <c r="G115" s="293" t="s">
        <v>510</v>
      </c>
      <c r="J115" s="275">
        <f t="shared" si="127"/>
        <v>0</v>
      </c>
      <c r="K115" s="275">
        <f t="shared" si="127"/>
        <v>0</v>
      </c>
      <c r="L115" s="275">
        <f t="shared" si="127"/>
        <v>0</v>
      </c>
      <c r="M115" s="275">
        <f t="shared" si="127"/>
        <v>0</v>
      </c>
      <c r="N115" s="275">
        <f t="shared" si="127"/>
        <v>0</v>
      </c>
      <c r="O115" s="275">
        <f t="shared" si="127"/>
        <v>0</v>
      </c>
      <c r="P115" s="275">
        <f t="shared" si="127"/>
        <v>0</v>
      </c>
      <c r="Q115" s="275">
        <f t="shared" si="127"/>
        <v>0</v>
      </c>
      <c r="R115" s="275">
        <f t="shared" si="127"/>
        <v>0</v>
      </c>
      <c r="S115" s="275">
        <f t="shared" si="127"/>
        <v>0</v>
      </c>
      <c r="T115" s="275">
        <f t="shared" si="127"/>
        <v>0</v>
      </c>
      <c r="U115" s="275">
        <f t="shared" si="127"/>
        <v>0</v>
      </c>
      <c r="V115" s="275">
        <f t="shared" si="127"/>
        <v>0</v>
      </c>
      <c r="W115" s="275">
        <f t="shared" si="127"/>
        <v>0</v>
      </c>
      <c r="X115" s="275">
        <f t="shared" si="127"/>
        <v>0</v>
      </c>
      <c r="Y115" s="275">
        <f t="shared" si="127"/>
        <v>0</v>
      </c>
    </row>
    <row r="116" spans="3:27" x14ac:dyDescent="0.25">
      <c r="C116" s="86"/>
      <c r="D116" s="293"/>
      <c r="F116" s="293" t="s">
        <v>44</v>
      </c>
      <c r="G116" s="293" t="s">
        <v>510</v>
      </c>
      <c r="J116" s="275">
        <f t="shared" si="127"/>
        <v>0</v>
      </c>
      <c r="K116" s="275">
        <f t="shared" si="127"/>
        <v>0</v>
      </c>
      <c r="L116" s="275">
        <f t="shared" si="127"/>
        <v>0</v>
      </c>
      <c r="M116" s="275">
        <f t="shared" si="127"/>
        <v>0</v>
      </c>
      <c r="N116" s="275">
        <f t="shared" si="127"/>
        <v>0</v>
      </c>
      <c r="O116" s="275">
        <f t="shared" si="127"/>
        <v>0</v>
      </c>
      <c r="P116" s="275">
        <f t="shared" si="127"/>
        <v>0</v>
      </c>
      <c r="Q116" s="275">
        <f t="shared" si="127"/>
        <v>0</v>
      </c>
      <c r="R116" s="275">
        <f t="shared" si="127"/>
        <v>0</v>
      </c>
      <c r="S116" s="275">
        <f t="shared" si="127"/>
        <v>0</v>
      </c>
      <c r="T116" s="275">
        <f t="shared" si="127"/>
        <v>0</v>
      </c>
      <c r="U116" s="275">
        <f t="shared" si="127"/>
        <v>0</v>
      </c>
      <c r="V116" s="275">
        <f t="shared" si="127"/>
        <v>0</v>
      </c>
      <c r="W116" s="275">
        <f t="shared" si="127"/>
        <v>0</v>
      </c>
      <c r="X116" s="275">
        <f t="shared" si="127"/>
        <v>0</v>
      </c>
      <c r="Y116" s="275">
        <f t="shared" si="127"/>
        <v>0</v>
      </c>
    </row>
    <row r="117" spans="3:27" x14ac:dyDescent="0.25">
      <c r="C117" s="86"/>
      <c r="D117" s="293"/>
      <c r="F117" s="293" t="s">
        <v>45</v>
      </c>
      <c r="G117" s="293" t="s">
        <v>510</v>
      </c>
      <c r="J117" s="275">
        <f t="shared" si="127"/>
        <v>0</v>
      </c>
      <c r="K117" s="275">
        <f t="shared" si="127"/>
        <v>0</v>
      </c>
      <c r="L117" s="275">
        <f t="shared" si="127"/>
        <v>0</v>
      </c>
      <c r="M117" s="275">
        <f t="shared" si="127"/>
        <v>0</v>
      </c>
      <c r="N117" s="275">
        <f t="shared" si="127"/>
        <v>0</v>
      </c>
      <c r="O117" s="275">
        <f t="shared" si="127"/>
        <v>0</v>
      </c>
      <c r="P117" s="275">
        <f t="shared" si="127"/>
        <v>0</v>
      </c>
      <c r="Q117" s="275">
        <f t="shared" si="127"/>
        <v>0</v>
      </c>
      <c r="R117" s="275">
        <f t="shared" si="127"/>
        <v>0</v>
      </c>
      <c r="S117" s="275">
        <f t="shared" si="127"/>
        <v>0</v>
      </c>
      <c r="T117" s="275">
        <f t="shared" si="127"/>
        <v>0</v>
      </c>
      <c r="U117" s="275">
        <f t="shared" si="127"/>
        <v>0</v>
      </c>
      <c r="V117" s="275">
        <f t="shared" si="127"/>
        <v>0</v>
      </c>
      <c r="W117" s="275">
        <f t="shared" si="127"/>
        <v>0</v>
      </c>
      <c r="X117" s="275">
        <f t="shared" si="127"/>
        <v>0</v>
      </c>
      <c r="Y117" s="275">
        <f t="shared" si="127"/>
        <v>0</v>
      </c>
    </row>
    <row r="118" spans="3:27" x14ac:dyDescent="0.25">
      <c r="C118" s="86"/>
      <c r="D118" s="293"/>
      <c r="F118" s="293" t="s">
        <v>46</v>
      </c>
      <c r="G118" s="293" t="s">
        <v>510</v>
      </c>
      <c r="J118" s="275">
        <f t="shared" si="127"/>
        <v>0</v>
      </c>
      <c r="K118" s="275">
        <f t="shared" si="127"/>
        <v>0</v>
      </c>
      <c r="L118" s="275">
        <f t="shared" si="127"/>
        <v>0</v>
      </c>
      <c r="M118" s="275">
        <f t="shared" si="127"/>
        <v>0</v>
      </c>
      <c r="N118" s="275">
        <f t="shared" si="127"/>
        <v>0</v>
      </c>
      <c r="O118" s="275">
        <f t="shared" si="127"/>
        <v>0</v>
      </c>
      <c r="P118" s="275">
        <f t="shared" si="127"/>
        <v>0</v>
      </c>
      <c r="Q118" s="275">
        <f t="shared" si="127"/>
        <v>0</v>
      </c>
      <c r="R118" s="275">
        <f t="shared" si="127"/>
        <v>0</v>
      </c>
      <c r="S118" s="275">
        <f t="shared" si="127"/>
        <v>0</v>
      </c>
      <c r="T118" s="275">
        <f t="shared" si="127"/>
        <v>0</v>
      </c>
      <c r="U118" s="275">
        <f t="shared" si="127"/>
        <v>0</v>
      </c>
      <c r="V118" s="275">
        <f t="shared" si="127"/>
        <v>0</v>
      </c>
      <c r="W118" s="275">
        <f t="shared" si="127"/>
        <v>0</v>
      </c>
      <c r="X118" s="275">
        <f t="shared" si="127"/>
        <v>0</v>
      </c>
      <c r="Y118" s="275">
        <f t="shared" si="127"/>
        <v>0</v>
      </c>
    </row>
    <row r="119" spans="3:27" x14ac:dyDescent="0.25">
      <c r="C119" s="86"/>
      <c r="D119" s="293"/>
      <c r="F119" s="293" t="s">
        <v>47</v>
      </c>
      <c r="G119" s="293" t="s">
        <v>510</v>
      </c>
      <c r="J119" s="275">
        <f t="shared" si="127"/>
        <v>0</v>
      </c>
      <c r="K119" s="275">
        <f t="shared" si="127"/>
        <v>0</v>
      </c>
      <c r="L119" s="275">
        <f t="shared" si="127"/>
        <v>0</v>
      </c>
      <c r="M119" s="275">
        <f t="shared" si="127"/>
        <v>0</v>
      </c>
      <c r="N119" s="275">
        <f t="shared" si="127"/>
        <v>0</v>
      </c>
      <c r="O119" s="275">
        <f t="shared" si="127"/>
        <v>0</v>
      </c>
      <c r="P119" s="275">
        <f t="shared" si="127"/>
        <v>0</v>
      </c>
      <c r="Q119" s="275">
        <f t="shared" si="127"/>
        <v>0</v>
      </c>
      <c r="R119" s="275">
        <f t="shared" si="127"/>
        <v>0</v>
      </c>
      <c r="S119" s="275">
        <f t="shared" si="127"/>
        <v>0</v>
      </c>
      <c r="T119" s="275">
        <f t="shared" si="127"/>
        <v>0</v>
      </c>
      <c r="U119" s="275">
        <f t="shared" si="127"/>
        <v>0</v>
      </c>
      <c r="V119" s="275">
        <f t="shared" si="127"/>
        <v>0</v>
      </c>
      <c r="W119" s="275">
        <f t="shared" si="127"/>
        <v>0</v>
      </c>
      <c r="X119" s="275">
        <f t="shared" si="127"/>
        <v>0</v>
      </c>
      <c r="Y119" s="275">
        <f t="shared" si="127"/>
        <v>0</v>
      </c>
    </row>
    <row r="120" spans="3:27" x14ac:dyDescent="0.25">
      <c r="C120" s="86"/>
      <c r="D120" s="293"/>
      <c r="F120" s="293" t="s">
        <v>51</v>
      </c>
      <c r="G120" s="293" t="s">
        <v>510</v>
      </c>
      <c r="J120" s="275">
        <f t="shared" si="127"/>
        <v>0</v>
      </c>
      <c r="K120" s="275">
        <f t="shared" si="127"/>
        <v>0</v>
      </c>
      <c r="L120" s="275">
        <f t="shared" si="127"/>
        <v>0</v>
      </c>
      <c r="M120" s="275">
        <f t="shared" si="127"/>
        <v>0</v>
      </c>
      <c r="N120" s="275">
        <f t="shared" si="127"/>
        <v>0</v>
      </c>
      <c r="O120" s="275">
        <f t="shared" si="127"/>
        <v>0</v>
      </c>
      <c r="P120" s="275">
        <f t="shared" si="127"/>
        <v>0</v>
      </c>
      <c r="Q120" s="275">
        <f t="shared" si="127"/>
        <v>0</v>
      </c>
      <c r="R120" s="275">
        <f t="shared" si="127"/>
        <v>0</v>
      </c>
      <c r="S120" s="275">
        <f t="shared" si="127"/>
        <v>0</v>
      </c>
      <c r="T120" s="275">
        <f t="shared" si="127"/>
        <v>0</v>
      </c>
      <c r="U120" s="275">
        <f t="shared" si="127"/>
        <v>0</v>
      </c>
      <c r="V120" s="275">
        <f t="shared" si="127"/>
        <v>0</v>
      </c>
      <c r="W120" s="275">
        <f t="shared" si="127"/>
        <v>0</v>
      </c>
      <c r="X120" s="275">
        <f t="shared" si="127"/>
        <v>0</v>
      </c>
      <c r="Y120" s="275">
        <f t="shared" si="127"/>
        <v>0</v>
      </c>
    </row>
    <row r="121" spans="3:27" x14ac:dyDescent="0.25">
      <c r="C121" s="86"/>
      <c r="D121" s="293"/>
      <c r="F121" s="293" t="s">
        <v>48</v>
      </c>
      <c r="G121" s="293" t="s">
        <v>510</v>
      </c>
      <c r="J121" s="275">
        <f t="shared" si="127"/>
        <v>0</v>
      </c>
      <c r="K121" s="275">
        <f t="shared" si="127"/>
        <v>0</v>
      </c>
      <c r="L121" s="275">
        <f t="shared" si="127"/>
        <v>0</v>
      </c>
      <c r="M121" s="275">
        <f t="shared" si="127"/>
        <v>0</v>
      </c>
      <c r="N121" s="275">
        <f t="shared" si="127"/>
        <v>0</v>
      </c>
      <c r="O121" s="275">
        <f t="shared" si="127"/>
        <v>0</v>
      </c>
      <c r="P121" s="275">
        <f t="shared" si="127"/>
        <v>0</v>
      </c>
      <c r="Q121" s="275">
        <f t="shared" si="127"/>
        <v>0</v>
      </c>
      <c r="R121" s="275">
        <f t="shared" si="127"/>
        <v>0</v>
      </c>
      <c r="S121" s="275">
        <f t="shared" si="127"/>
        <v>0</v>
      </c>
      <c r="T121" s="275">
        <f t="shared" si="127"/>
        <v>0</v>
      </c>
      <c r="U121" s="275">
        <f t="shared" si="127"/>
        <v>0</v>
      </c>
      <c r="V121" s="275">
        <f t="shared" si="127"/>
        <v>0</v>
      </c>
      <c r="W121" s="275">
        <f t="shared" si="127"/>
        <v>0</v>
      </c>
      <c r="X121" s="275">
        <f t="shared" si="127"/>
        <v>0</v>
      </c>
      <c r="Y121" s="275">
        <f t="shared" si="127"/>
        <v>0</v>
      </c>
    </row>
    <row r="122" spans="3:27" x14ac:dyDescent="0.25">
      <c r="C122" s="86"/>
      <c r="D122" s="293"/>
      <c r="F122" s="293" t="s">
        <v>49</v>
      </c>
      <c r="G122" s="293" t="s">
        <v>510</v>
      </c>
      <c r="J122" s="275">
        <f t="shared" si="127"/>
        <v>0</v>
      </c>
      <c r="K122" s="275">
        <f t="shared" si="127"/>
        <v>0</v>
      </c>
      <c r="L122" s="275">
        <f t="shared" si="127"/>
        <v>0</v>
      </c>
      <c r="M122" s="275">
        <f t="shared" si="127"/>
        <v>0</v>
      </c>
      <c r="N122" s="275">
        <f t="shared" si="127"/>
        <v>0</v>
      </c>
      <c r="O122" s="275">
        <f t="shared" si="127"/>
        <v>0</v>
      </c>
      <c r="P122" s="275">
        <f t="shared" si="127"/>
        <v>0</v>
      </c>
      <c r="Q122" s="275">
        <f t="shared" si="127"/>
        <v>0</v>
      </c>
      <c r="R122" s="275">
        <f t="shared" si="127"/>
        <v>0</v>
      </c>
      <c r="S122" s="275">
        <f t="shared" si="127"/>
        <v>0</v>
      </c>
      <c r="T122" s="275">
        <f t="shared" si="127"/>
        <v>0</v>
      </c>
      <c r="U122" s="275">
        <f t="shared" si="127"/>
        <v>0</v>
      </c>
      <c r="V122" s="275">
        <f t="shared" si="127"/>
        <v>0</v>
      </c>
      <c r="W122" s="275">
        <f t="shared" si="127"/>
        <v>0</v>
      </c>
      <c r="X122" s="275">
        <f t="shared" si="127"/>
        <v>0</v>
      </c>
      <c r="Y122" s="275">
        <f t="shared" si="127"/>
        <v>0</v>
      </c>
    </row>
    <row r="123" spans="3:27" x14ac:dyDescent="0.25">
      <c r="C123" s="86"/>
      <c r="D123" s="293"/>
      <c r="F123" s="293" t="s">
        <v>50</v>
      </c>
      <c r="G123" s="293" t="s">
        <v>510</v>
      </c>
      <c r="J123" s="275">
        <f t="shared" si="127"/>
        <v>6233878.0194293186</v>
      </c>
      <c r="K123" s="275">
        <f t="shared" si="127"/>
        <v>0</v>
      </c>
      <c r="L123" s="275">
        <f t="shared" si="127"/>
        <v>6233878.0194293186</v>
      </c>
      <c r="M123" s="275">
        <f t="shared" si="127"/>
        <v>0</v>
      </c>
      <c r="N123" s="275">
        <f t="shared" si="127"/>
        <v>0</v>
      </c>
      <c r="O123" s="275">
        <f t="shared" si="127"/>
        <v>0</v>
      </c>
      <c r="P123" s="275">
        <f t="shared" si="127"/>
        <v>0</v>
      </c>
      <c r="Q123" s="275">
        <f t="shared" si="127"/>
        <v>0</v>
      </c>
      <c r="R123" s="275">
        <f t="shared" si="127"/>
        <v>0</v>
      </c>
      <c r="S123" s="275">
        <f t="shared" si="127"/>
        <v>0</v>
      </c>
      <c r="T123" s="275">
        <f t="shared" si="127"/>
        <v>0</v>
      </c>
      <c r="U123" s="275">
        <f t="shared" si="127"/>
        <v>0</v>
      </c>
      <c r="V123" s="275">
        <f t="shared" si="127"/>
        <v>0</v>
      </c>
      <c r="W123" s="275">
        <f t="shared" si="127"/>
        <v>0</v>
      </c>
      <c r="X123" s="275">
        <f t="shared" si="127"/>
        <v>0</v>
      </c>
      <c r="Y123" s="275">
        <f t="shared" si="127"/>
        <v>0</v>
      </c>
    </row>
    <row r="124" spans="3:27" x14ac:dyDescent="0.25">
      <c r="C124" s="86"/>
      <c r="D124" s="293"/>
      <c r="F124" s="293" t="s">
        <v>124</v>
      </c>
      <c r="G124" s="293" t="s">
        <v>510</v>
      </c>
      <c r="J124" s="279"/>
      <c r="K124" s="279"/>
      <c r="L124" s="279"/>
      <c r="M124" s="279"/>
      <c r="N124" s="279"/>
      <c r="O124" s="279"/>
      <c r="P124" s="279"/>
      <c r="Q124" s="279"/>
      <c r="R124" s="279"/>
      <c r="S124" s="279"/>
      <c r="T124" s="279"/>
      <c r="U124" s="279"/>
      <c r="V124" s="279"/>
      <c r="W124" s="279"/>
      <c r="X124" s="279"/>
      <c r="Y124" s="279"/>
    </row>
    <row r="125" spans="3:27" x14ac:dyDescent="0.25">
      <c r="C125" s="86"/>
      <c r="D125" s="293"/>
      <c r="F125" s="93" t="s">
        <v>123</v>
      </c>
      <c r="G125" s="93" t="s">
        <v>510</v>
      </c>
      <c r="H125" s="93"/>
      <c r="I125" s="93"/>
      <c r="J125" s="240"/>
      <c r="K125" s="240"/>
      <c r="L125" s="240"/>
      <c r="M125" s="240"/>
      <c r="N125" s="240"/>
      <c r="O125" s="240"/>
      <c r="P125" s="240"/>
      <c r="Q125" s="240"/>
      <c r="R125" s="240"/>
      <c r="S125" s="240"/>
      <c r="T125" s="240"/>
      <c r="U125" s="240"/>
      <c r="V125" s="240"/>
      <c r="W125" s="240"/>
      <c r="X125" s="240"/>
      <c r="Y125" s="240"/>
    </row>
    <row r="126" spans="3:27" x14ac:dyDescent="0.25">
      <c r="C126" s="86"/>
      <c r="J126" s="252"/>
      <c r="K126" s="252"/>
      <c r="L126" s="252"/>
      <c r="M126" s="252"/>
      <c r="N126" s="252"/>
      <c r="O126" s="252"/>
      <c r="P126" s="252"/>
      <c r="Q126" s="252"/>
      <c r="R126" s="252"/>
      <c r="S126" s="252"/>
      <c r="T126" s="252"/>
      <c r="U126" s="252"/>
      <c r="V126" s="252"/>
      <c r="W126" s="252"/>
      <c r="X126" s="252"/>
      <c r="Y126" s="252"/>
    </row>
    <row r="127" spans="3:27" x14ac:dyDescent="0.25">
      <c r="C127" s="7" t="str">
        <f ca="1">INDEX('Version control'!$H$35:$H$61,MATCH($A$1,'Version control'!$F$35:$F$61,0),1)&amp;"-G: Fixed charges, by network level"</f>
        <v>Section 517-G: Fixed charges, by network level</v>
      </c>
      <c r="D127" s="7"/>
      <c r="E127" s="7"/>
      <c r="F127" s="7"/>
      <c r="G127" s="7"/>
      <c r="H127" s="7"/>
      <c r="I127" s="7"/>
      <c r="J127" s="242"/>
      <c r="K127" s="242"/>
      <c r="L127" s="242"/>
      <c r="M127" s="242"/>
      <c r="N127" s="242"/>
      <c r="O127" s="242"/>
      <c r="P127" s="242"/>
      <c r="Q127" s="242"/>
      <c r="R127" s="242"/>
      <c r="S127" s="242"/>
      <c r="T127" s="242"/>
      <c r="U127" s="242"/>
      <c r="V127" s="242"/>
      <c r="W127" s="242"/>
      <c r="X127" s="242"/>
      <c r="Y127" s="242"/>
      <c r="Z127" s="7"/>
      <c r="AA127" s="7"/>
    </row>
    <row r="128" spans="3:27" x14ac:dyDescent="0.25">
      <c r="D128" s="293"/>
      <c r="E128" s="96"/>
    </row>
    <row r="129" spans="3:27" x14ac:dyDescent="0.25">
      <c r="D129" s="293"/>
      <c r="E129" s="293" t="s">
        <v>590</v>
      </c>
      <c r="G129" s="293" t="s">
        <v>74</v>
      </c>
      <c r="J129" s="252">
        <f t="shared" ref="J129:Y129" si="128">SUMIFS($J$18:$Y$18,$J$63:$Y$63,J63)</f>
        <v>3208158.8348177169</v>
      </c>
      <c r="K129" s="252">
        <f t="shared" si="128"/>
        <v>71227.526967549755</v>
      </c>
      <c r="L129" s="252">
        <f t="shared" si="128"/>
        <v>3208158.8348177169</v>
      </c>
      <c r="M129" s="252">
        <f t="shared" si="128"/>
        <v>71227.526967549755</v>
      </c>
      <c r="N129" s="252">
        <f t="shared" si="128"/>
        <v>71227.526967549755</v>
      </c>
      <c r="O129" s="252">
        <f t="shared" si="128"/>
        <v>71227.526967549755</v>
      </c>
      <c r="P129" s="252">
        <f t="shared" si="128"/>
        <v>71227.526967549755</v>
      </c>
      <c r="Q129" s="252">
        <f t="shared" si="128"/>
        <v>71227.526967549755</v>
      </c>
      <c r="R129" s="252">
        <f t="shared" si="128"/>
        <v>71227.526967549755</v>
      </c>
      <c r="S129" s="252">
        <f t="shared" si="128"/>
        <v>71227.526967549755</v>
      </c>
      <c r="T129" s="252">
        <f t="shared" si="128"/>
        <v>71227.526967549755</v>
      </c>
      <c r="U129" s="252">
        <f t="shared" si="128"/>
        <v>71227.526967549755</v>
      </c>
      <c r="V129" s="252">
        <f t="shared" si="128"/>
        <v>71227.526967549755</v>
      </c>
      <c r="W129" s="252">
        <f t="shared" si="128"/>
        <v>71227.526967549755</v>
      </c>
      <c r="X129" s="252">
        <f t="shared" si="128"/>
        <v>71227.526967549755</v>
      </c>
      <c r="Y129" s="252">
        <f t="shared" si="128"/>
        <v>71227.526967549755</v>
      </c>
    </row>
    <row r="130" spans="3:27" x14ac:dyDescent="0.25">
      <c r="D130" s="293"/>
      <c r="E130" s="293"/>
    </row>
    <row r="131" spans="3:27" x14ac:dyDescent="0.25">
      <c r="C131" s="86"/>
      <c r="E131" s="96" t="s">
        <v>139</v>
      </c>
      <c r="I131" s="293" t="s">
        <v>359</v>
      </c>
      <c r="J131" s="252"/>
      <c r="K131" s="252"/>
      <c r="L131" s="252"/>
      <c r="M131" s="252"/>
      <c r="N131" s="252"/>
      <c r="O131" s="252"/>
      <c r="P131" s="252"/>
      <c r="Q131" s="252"/>
      <c r="R131" s="252"/>
      <c r="S131" s="252"/>
      <c r="T131" s="252"/>
      <c r="U131" s="252"/>
      <c r="V131" s="252"/>
      <c r="W131" s="252"/>
      <c r="X131" s="252"/>
      <c r="Y131" s="252"/>
      <c r="AA131" s="293" t="s">
        <v>828</v>
      </c>
    </row>
    <row r="132" spans="3:27" x14ac:dyDescent="0.25">
      <c r="C132" s="86"/>
      <c r="E132" s="82"/>
      <c r="F132" s="91" t="s">
        <v>267</v>
      </c>
      <c r="G132" s="91" t="s">
        <v>252</v>
      </c>
      <c r="H132" s="91"/>
      <c r="I132" s="91"/>
      <c r="J132" s="267">
        <f t="shared" ref="J132:Y141" si="129">IF(J$129 = 0, 0, J100 / J$129)</f>
        <v>0</v>
      </c>
      <c r="K132" s="267">
        <f t="shared" si="129"/>
        <v>0</v>
      </c>
      <c r="L132" s="267">
        <f t="shared" si="129"/>
        <v>0</v>
      </c>
      <c r="M132" s="267">
        <f t="shared" si="129"/>
        <v>0</v>
      </c>
      <c r="N132" s="267">
        <f t="shared" si="129"/>
        <v>0</v>
      </c>
      <c r="O132" s="267">
        <f t="shared" si="129"/>
        <v>0</v>
      </c>
      <c r="P132" s="267">
        <f t="shared" si="129"/>
        <v>0</v>
      </c>
      <c r="Q132" s="267">
        <f t="shared" si="129"/>
        <v>0</v>
      </c>
      <c r="R132" s="267">
        <f t="shared" si="129"/>
        <v>0</v>
      </c>
      <c r="S132" s="267">
        <f t="shared" si="129"/>
        <v>0</v>
      </c>
      <c r="T132" s="267">
        <f t="shared" si="129"/>
        <v>0</v>
      </c>
      <c r="U132" s="267">
        <f t="shared" si="129"/>
        <v>0</v>
      </c>
      <c r="V132" s="267">
        <f t="shared" si="129"/>
        <v>0</v>
      </c>
      <c r="W132" s="267">
        <f t="shared" si="129"/>
        <v>0</v>
      </c>
      <c r="X132" s="267">
        <f t="shared" si="129"/>
        <v>0</v>
      </c>
      <c r="Y132" s="267">
        <f t="shared" si="129"/>
        <v>0</v>
      </c>
    </row>
    <row r="133" spans="3:27" x14ac:dyDescent="0.25">
      <c r="C133" s="86"/>
      <c r="E133" s="82"/>
      <c r="F133" s="293" t="s">
        <v>43</v>
      </c>
      <c r="G133" s="293" t="s">
        <v>252</v>
      </c>
      <c r="J133" s="275">
        <f t="shared" si="129"/>
        <v>0</v>
      </c>
      <c r="K133" s="275">
        <f t="shared" si="129"/>
        <v>0</v>
      </c>
      <c r="L133" s="275">
        <f t="shared" si="129"/>
        <v>0</v>
      </c>
      <c r="M133" s="275">
        <f t="shared" si="129"/>
        <v>0</v>
      </c>
      <c r="N133" s="275">
        <f t="shared" si="129"/>
        <v>0</v>
      </c>
      <c r="O133" s="275">
        <f t="shared" si="129"/>
        <v>0</v>
      </c>
      <c r="P133" s="275">
        <f t="shared" si="129"/>
        <v>0</v>
      </c>
      <c r="Q133" s="275">
        <f t="shared" si="129"/>
        <v>0</v>
      </c>
      <c r="R133" s="275">
        <f t="shared" si="129"/>
        <v>0</v>
      </c>
      <c r="S133" s="275">
        <f t="shared" si="129"/>
        <v>0</v>
      </c>
      <c r="T133" s="275">
        <f t="shared" si="129"/>
        <v>0</v>
      </c>
      <c r="U133" s="275">
        <f t="shared" si="129"/>
        <v>0</v>
      </c>
      <c r="V133" s="275">
        <f t="shared" si="129"/>
        <v>0</v>
      </c>
      <c r="W133" s="275">
        <f t="shared" si="129"/>
        <v>0</v>
      </c>
      <c r="X133" s="275">
        <f t="shared" si="129"/>
        <v>0</v>
      </c>
      <c r="Y133" s="275">
        <f t="shared" si="129"/>
        <v>0</v>
      </c>
    </row>
    <row r="134" spans="3:27" x14ac:dyDescent="0.25">
      <c r="C134" s="86"/>
      <c r="E134" s="82"/>
      <c r="F134" s="293" t="s">
        <v>44</v>
      </c>
      <c r="G134" s="293" t="s">
        <v>252</v>
      </c>
      <c r="J134" s="275">
        <f t="shared" si="129"/>
        <v>0</v>
      </c>
      <c r="K134" s="275">
        <f t="shared" si="129"/>
        <v>0</v>
      </c>
      <c r="L134" s="275">
        <f t="shared" si="129"/>
        <v>0</v>
      </c>
      <c r="M134" s="275">
        <f t="shared" si="129"/>
        <v>0</v>
      </c>
      <c r="N134" s="275">
        <f t="shared" si="129"/>
        <v>0</v>
      </c>
      <c r="O134" s="275">
        <f t="shared" si="129"/>
        <v>0</v>
      </c>
      <c r="P134" s="275">
        <f t="shared" si="129"/>
        <v>0</v>
      </c>
      <c r="Q134" s="275">
        <f t="shared" si="129"/>
        <v>0</v>
      </c>
      <c r="R134" s="275">
        <f t="shared" si="129"/>
        <v>0</v>
      </c>
      <c r="S134" s="275">
        <f t="shared" si="129"/>
        <v>0</v>
      </c>
      <c r="T134" s="275">
        <f t="shared" si="129"/>
        <v>0</v>
      </c>
      <c r="U134" s="275">
        <f t="shared" si="129"/>
        <v>0</v>
      </c>
      <c r="V134" s="275">
        <f t="shared" si="129"/>
        <v>0</v>
      </c>
      <c r="W134" s="275">
        <f t="shared" si="129"/>
        <v>0</v>
      </c>
      <c r="X134" s="275">
        <f t="shared" si="129"/>
        <v>0</v>
      </c>
      <c r="Y134" s="275">
        <f t="shared" si="129"/>
        <v>0</v>
      </c>
    </row>
    <row r="135" spans="3:27" x14ac:dyDescent="0.25">
      <c r="C135" s="86"/>
      <c r="E135" s="82"/>
      <c r="F135" s="293" t="s">
        <v>45</v>
      </c>
      <c r="G135" s="293" t="s">
        <v>252</v>
      </c>
      <c r="J135" s="275">
        <f t="shared" si="129"/>
        <v>0</v>
      </c>
      <c r="K135" s="275">
        <f t="shared" si="129"/>
        <v>0</v>
      </c>
      <c r="L135" s="275">
        <f t="shared" si="129"/>
        <v>0</v>
      </c>
      <c r="M135" s="275">
        <f t="shared" si="129"/>
        <v>0</v>
      </c>
      <c r="N135" s="275">
        <f t="shared" si="129"/>
        <v>0</v>
      </c>
      <c r="O135" s="275">
        <f t="shared" si="129"/>
        <v>0</v>
      </c>
      <c r="P135" s="275">
        <f t="shared" si="129"/>
        <v>0</v>
      </c>
      <c r="Q135" s="275">
        <f t="shared" si="129"/>
        <v>0</v>
      </c>
      <c r="R135" s="275">
        <f t="shared" si="129"/>
        <v>0</v>
      </c>
      <c r="S135" s="275">
        <f t="shared" si="129"/>
        <v>0</v>
      </c>
      <c r="T135" s="275">
        <f t="shared" si="129"/>
        <v>0</v>
      </c>
      <c r="U135" s="275">
        <f t="shared" si="129"/>
        <v>0</v>
      </c>
      <c r="V135" s="275">
        <f t="shared" si="129"/>
        <v>0</v>
      </c>
      <c r="W135" s="275">
        <f t="shared" si="129"/>
        <v>0</v>
      </c>
      <c r="X135" s="275">
        <f t="shared" si="129"/>
        <v>0</v>
      </c>
      <c r="Y135" s="275">
        <f t="shared" si="129"/>
        <v>0</v>
      </c>
    </row>
    <row r="136" spans="3:27" x14ac:dyDescent="0.25">
      <c r="C136" s="86"/>
      <c r="E136" s="82"/>
      <c r="F136" s="293" t="s">
        <v>46</v>
      </c>
      <c r="G136" s="293" t="s">
        <v>252</v>
      </c>
      <c r="J136" s="275">
        <f t="shared" si="129"/>
        <v>0</v>
      </c>
      <c r="K136" s="275">
        <f t="shared" si="129"/>
        <v>0</v>
      </c>
      <c r="L136" s="275">
        <f t="shared" si="129"/>
        <v>0</v>
      </c>
      <c r="M136" s="275">
        <f t="shared" si="129"/>
        <v>0</v>
      </c>
      <c r="N136" s="275">
        <f t="shared" si="129"/>
        <v>0</v>
      </c>
      <c r="O136" s="275">
        <f t="shared" si="129"/>
        <v>0</v>
      </c>
      <c r="P136" s="275">
        <f t="shared" si="129"/>
        <v>0</v>
      </c>
      <c r="Q136" s="275">
        <f t="shared" si="129"/>
        <v>0</v>
      </c>
      <c r="R136" s="275">
        <f t="shared" si="129"/>
        <v>0</v>
      </c>
      <c r="S136" s="275">
        <f t="shared" si="129"/>
        <v>0</v>
      </c>
      <c r="T136" s="275">
        <f t="shared" si="129"/>
        <v>0</v>
      </c>
      <c r="U136" s="275">
        <f t="shared" si="129"/>
        <v>0</v>
      </c>
      <c r="V136" s="275">
        <f t="shared" si="129"/>
        <v>0</v>
      </c>
      <c r="W136" s="275">
        <f t="shared" si="129"/>
        <v>0</v>
      </c>
      <c r="X136" s="275">
        <f t="shared" si="129"/>
        <v>0</v>
      </c>
      <c r="Y136" s="275">
        <f t="shared" si="129"/>
        <v>0</v>
      </c>
    </row>
    <row r="137" spans="3:27" x14ac:dyDescent="0.25">
      <c r="C137" s="86"/>
      <c r="E137" s="82"/>
      <c r="F137" s="293" t="s">
        <v>47</v>
      </c>
      <c r="G137" s="293" t="s">
        <v>252</v>
      </c>
      <c r="J137" s="275">
        <f t="shared" si="129"/>
        <v>0</v>
      </c>
      <c r="K137" s="275">
        <f t="shared" si="129"/>
        <v>0</v>
      </c>
      <c r="L137" s="275">
        <f t="shared" si="129"/>
        <v>0</v>
      </c>
      <c r="M137" s="275">
        <f t="shared" si="129"/>
        <v>0</v>
      </c>
      <c r="N137" s="275">
        <f t="shared" si="129"/>
        <v>0</v>
      </c>
      <c r="O137" s="275">
        <f t="shared" si="129"/>
        <v>0</v>
      </c>
      <c r="P137" s="275">
        <f t="shared" si="129"/>
        <v>0</v>
      </c>
      <c r="Q137" s="275">
        <f t="shared" si="129"/>
        <v>0</v>
      </c>
      <c r="R137" s="275">
        <f t="shared" si="129"/>
        <v>0</v>
      </c>
      <c r="S137" s="275">
        <f t="shared" si="129"/>
        <v>0</v>
      </c>
      <c r="T137" s="275">
        <f t="shared" si="129"/>
        <v>0</v>
      </c>
      <c r="U137" s="275">
        <f t="shared" si="129"/>
        <v>0</v>
      </c>
      <c r="V137" s="275">
        <f t="shared" si="129"/>
        <v>0</v>
      </c>
      <c r="W137" s="275">
        <f t="shared" si="129"/>
        <v>0</v>
      </c>
      <c r="X137" s="275">
        <f t="shared" si="129"/>
        <v>0</v>
      </c>
      <c r="Y137" s="275">
        <f t="shared" si="129"/>
        <v>0</v>
      </c>
    </row>
    <row r="138" spans="3:27" x14ac:dyDescent="0.25">
      <c r="C138" s="86"/>
      <c r="E138" s="82"/>
      <c r="F138" s="293" t="s">
        <v>51</v>
      </c>
      <c r="G138" s="293" t="s">
        <v>252</v>
      </c>
      <c r="J138" s="275">
        <f t="shared" si="129"/>
        <v>0</v>
      </c>
      <c r="K138" s="275">
        <f t="shared" si="129"/>
        <v>0</v>
      </c>
      <c r="L138" s="275">
        <f t="shared" si="129"/>
        <v>0</v>
      </c>
      <c r="M138" s="275">
        <f t="shared" si="129"/>
        <v>0</v>
      </c>
      <c r="N138" s="275">
        <f t="shared" si="129"/>
        <v>0</v>
      </c>
      <c r="O138" s="275">
        <f t="shared" si="129"/>
        <v>0</v>
      </c>
      <c r="P138" s="275">
        <f t="shared" si="129"/>
        <v>0</v>
      </c>
      <c r="Q138" s="275">
        <f t="shared" si="129"/>
        <v>0</v>
      </c>
      <c r="R138" s="275">
        <f t="shared" si="129"/>
        <v>0</v>
      </c>
      <c r="S138" s="275">
        <f t="shared" si="129"/>
        <v>0</v>
      </c>
      <c r="T138" s="275">
        <f t="shared" si="129"/>
        <v>0</v>
      </c>
      <c r="U138" s="275">
        <f t="shared" si="129"/>
        <v>0</v>
      </c>
      <c r="V138" s="275">
        <f t="shared" si="129"/>
        <v>0</v>
      </c>
      <c r="W138" s="275">
        <f t="shared" si="129"/>
        <v>0</v>
      </c>
      <c r="X138" s="275">
        <f t="shared" si="129"/>
        <v>0</v>
      </c>
      <c r="Y138" s="275">
        <f t="shared" si="129"/>
        <v>0</v>
      </c>
    </row>
    <row r="139" spans="3:27" x14ac:dyDescent="0.25">
      <c r="C139" s="86"/>
      <c r="E139" s="82"/>
      <c r="F139" s="293" t="s">
        <v>48</v>
      </c>
      <c r="G139" s="293" t="s">
        <v>252</v>
      </c>
      <c r="J139" s="275">
        <f t="shared" si="129"/>
        <v>0</v>
      </c>
      <c r="K139" s="275">
        <f t="shared" si="129"/>
        <v>0</v>
      </c>
      <c r="L139" s="275">
        <f t="shared" si="129"/>
        <v>0</v>
      </c>
      <c r="M139" s="275">
        <f t="shared" si="129"/>
        <v>0</v>
      </c>
      <c r="N139" s="275">
        <f t="shared" si="129"/>
        <v>0</v>
      </c>
      <c r="O139" s="275">
        <f t="shared" si="129"/>
        <v>0</v>
      </c>
      <c r="P139" s="275">
        <f t="shared" si="129"/>
        <v>0</v>
      </c>
      <c r="Q139" s="275">
        <f t="shared" si="129"/>
        <v>0</v>
      </c>
      <c r="R139" s="275">
        <f t="shared" si="129"/>
        <v>0</v>
      </c>
      <c r="S139" s="275">
        <f t="shared" si="129"/>
        <v>0</v>
      </c>
      <c r="T139" s="275">
        <f t="shared" si="129"/>
        <v>0</v>
      </c>
      <c r="U139" s="275">
        <f t="shared" si="129"/>
        <v>0</v>
      </c>
      <c r="V139" s="275">
        <f t="shared" si="129"/>
        <v>0</v>
      </c>
      <c r="W139" s="275">
        <f t="shared" si="129"/>
        <v>0</v>
      </c>
      <c r="X139" s="275">
        <f t="shared" si="129"/>
        <v>0</v>
      </c>
      <c r="Y139" s="275">
        <f t="shared" si="129"/>
        <v>0</v>
      </c>
    </row>
    <row r="140" spans="3:27" x14ac:dyDescent="0.25">
      <c r="C140" s="86"/>
      <c r="E140" s="82"/>
      <c r="F140" s="293" t="s">
        <v>49</v>
      </c>
      <c r="G140" s="293" t="s">
        <v>252</v>
      </c>
      <c r="J140" s="275">
        <f t="shared" si="129"/>
        <v>0</v>
      </c>
      <c r="K140" s="275">
        <f t="shared" si="129"/>
        <v>0</v>
      </c>
      <c r="L140" s="275">
        <f t="shared" si="129"/>
        <v>0</v>
      </c>
      <c r="M140" s="275">
        <f t="shared" si="129"/>
        <v>0</v>
      </c>
      <c r="N140" s="275">
        <f t="shared" si="129"/>
        <v>0</v>
      </c>
      <c r="O140" s="275">
        <f t="shared" si="129"/>
        <v>0</v>
      </c>
      <c r="P140" s="275">
        <f t="shared" si="129"/>
        <v>0</v>
      </c>
      <c r="Q140" s="275">
        <f t="shared" si="129"/>
        <v>0</v>
      </c>
      <c r="R140" s="275">
        <f t="shared" si="129"/>
        <v>0</v>
      </c>
      <c r="S140" s="275">
        <f t="shared" si="129"/>
        <v>0</v>
      </c>
      <c r="T140" s="275">
        <f t="shared" si="129"/>
        <v>0</v>
      </c>
      <c r="U140" s="275">
        <f t="shared" si="129"/>
        <v>0</v>
      </c>
      <c r="V140" s="275">
        <f t="shared" si="129"/>
        <v>0</v>
      </c>
      <c r="W140" s="275">
        <f t="shared" si="129"/>
        <v>0</v>
      </c>
      <c r="X140" s="275">
        <f t="shared" si="129"/>
        <v>0</v>
      </c>
      <c r="Y140" s="275">
        <f t="shared" si="129"/>
        <v>0</v>
      </c>
    </row>
    <row r="141" spans="3:27" x14ac:dyDescent="0.25">
      <c r="C141" s="86"/>
      <c r="E141" s="82"/>
      <c r="F141" s="293" t="s">
        <v>50</v>
      </c>
      <c r="G141" s="293" t="s">
        <v>252</v>
      </c>
      <c r="J141" s="275">
        <f t="shared" si="129"/>
        <v>0.15218862163319735</v>
      </c>
      <c r="K141" s="275">
        <f t="shared" si="129"/>
        <v>0</v>
      </c>
      <c r="L141" s="275">
        <f t="shared" si="129"/>
        <v>0.15218862163319735</v>
      </c>
      <c r="M141" s="275">
        <f t="shared" si="129"/>
        <v>0</v>
      </c>
      <c r="N141" s="275">
        <f t="shared" si="129"/>
        <v>0</v>
      </c>
      <c r="O141" s="275">
        <f t="shared" si="129"/>
        <v>0</v>
      </c>
      <c r="P141" s="275">
        <f t="shared" si="129"/>
        <v>0</v>
      </c>
      <c r="Q141" s="275">
        <f t="shared" si="129"/>
        <v>0</v>
      </c>
      <c r="R141" s="275">
        <f t="shared" si="129"/>
        <v>0</v>
      </c>
      <c r="S141" s="275">
        <f t="shared" si="129"/>
        <v>0</v>
      </c>
      <c r="T141" s="275">
        <f t="shared" si="129"/>
        <v>0</v>
      </c>
      <c r="U141" s="275">
        <f t="shared" si="129"/>
        <v>0</v>
      </c>
      <c r="V141" s="275">
        <f t="shared" si="129"/>
        <v>0</v>
      </c>
      <c r="W141" s="275">
        <f t="shared" si="129"/>
        <v>0</v>
      </c>
      <c r="X141" s="275">
        <f t="shared" si="129"/>
        <v>0</v>
      </c>
      <c r="Y141" s="275">
        <f t="shared" si="129"/>
        <v>0</v>
      </c>
    </row>
    <row r="142" spans="3:27" x14ac:dyDescent="0.25">
      <c r="C142" s="86"/>
      <c r="E142" s="82"/>
      <c r="F142" s="91" t="s">
        <v>124</v>
      </c>
      <c r="G142" s="91" t="s">
        <v>252</v>
      </c>
      <c r="H142" s="91"/>
      <c r="I142" s="91"/>
      <c r="J142" s="238"/>
      <c r="K142" s="238"/>
      <c r="L142" s="238"/>
      <c r="M142" s="238"/>
      <c r="N142" s="238"/>
      <c r="O142" s="238"/>
      <c r="P142" s="238"/>
      <c r="Q142" s="238"/>
      <c r="R142" s="238"/>
      <c r="S142" s="238"/>
      <c r="T142" s="238"/>
      <c r="U142" s="238"/>
      <c r="V142" s="238"/>
      <c r="W142" s="238"/>
      <c r="X142" s="238"/>
      <c r="Y142" s="238"/>
    </row>
    <row r="143" spans="3:27" x14ac:dyDescent="0.25">
      <c r="C143" s="86"/>
      <c r="E143" s="82"/>
      <c r="F143" s="93" t="s">
        <v>123</v>
      </c>
      <c r="G143" s="93" t="s">
        <v>252</v>
      </c>
      <c r="H143" s="93"/>
      <c r="I143" s="93"/>
      <c r="J143" s="240"/>
      <c r="K143" s="240"/>
      <c r="L143" s="240"/>
      <c r="M143" s="240"/>
      <c r="N143" s="240"/>
      <c r="O143" s="240"/>
      <c r="P143" s="240"/>
      <c r="Q143" s="240"/>
      <c r="R143" s="240"/>
      <c r="S143" s="240"/>
      <c r="T143" s="240"/>
      <c r="U143" s="240"/>
      <c r="V143" s="240"/>
      <c r="W143" s="240"/>
      <c r="X143" s="240"/>
      <c r="Y143" s="240"/>
    </row>
    <row r="144" spans="3:27" x14ac:dyDescent="0.25">
      <c r="C144" s="86"/>
      <c r="D144" s="293"/>
      <c r="E144" s="82"/>
      <c r="J144" s="252"/>
      <c r="K144" s="252"/>
      <c r="L144" s="252"/>
      <c r="M144" s="252"/>
      <c r="N144" s="252"/>
      <c r="O144" s="252"/>
      <c r="P144" s="252"/>
      <c r="Q144" s="252"/>
      <c r="R144" s="252"/>
      <c r="S144" s="252"/>
      <c r="T144" s="252"/>
      <c r="U144" s="252"/>
      <c r="V144" s="252"/>
      <c r="W144" s="252"/>
      <c r="X144" s="252"/>
      <c r="Y144" s="252"/>
    </row>
    <row r="145" spans="3:27" x14ac:dyDescent="0.25">
      <c r="C145" s="86"/>
      <c r="E145" s="96" t="s">
        <v>116</v>
      </c>
      <c r="J145" s="252"/>
      <c r="K145" s="252"/>
      <c r="L145" s="252"/>
      <c r="M145" s="252"/>
      <c r="N145" s="252"/>
      <c r="O145" s="252"/>
      <c r="P145" s="252"/>
      <c r="Q145" s="252"/>
      <c r="R145" s="252"/>
      <c r="S145" s="252"/>
      <c r="T145" s="252"/>
      <c r="U145" s="252"/>
      <c r="V145" s="252"/>
      <c r="W145" s="252"/>
      <c r="X145" s="252"/>
      <c r="Y145" s="252"/>
    </row>
    <row r="146" spans="3:27" x14ac:dyDescent="0.25">
      <c r="C146" s="86"/>
      <c r="F146" s="91" t="s">
        <v>267</v>
      </c>
      <c r="G146" s="91" t="s">
        <v>252</v>
      </c>
      <c r="H146" s="91"/>
      <c r="I146" s="91"/>
      <c r="J146" s="267">
        <f t="shared" ref="J146:Y155" si="130">IF(J$129 = 0, 0, J114 / J$129)</f>
        <v>0</v>
      </c>
      <c r="K146" s="267">
        <f t="shared" si="130"/>
        <v>0</v>
      </c>
      <c r="L146" s="267">
        <f t="shared" si="130"/>
        <v>0</v>
      </c>
      <c r="M146" s="267">
        <f t="shared" si="130"/>
        <v>0</v>
      </c>
      <c r="N146" s="267">
        <f t="shared" si="130"/>
        <v>0</v>
      </c>
      <c r="O146" s="267">
        <f t="shared" si="130"/>
        <v>0</v>
      </c>
      <c r="P146" s="267">
        <f t="shared" si="130"/>
        <v>0</v>
      </c>
      <c r="Q146" s="267">
        <f t="shared" si="130"/>
        <v>0</v>
      </c>
      <c r="R146" s="267">
        <f t="shared" si="130"/>
        <v>0</v>
      </c>
      <c r="S146" s="267">
        <f t="shared" si="130"/>
        <v>0</v>
      </c>
      <c r="T146" s="267">
        <f t="shared" si="130"/>
        <v>0</v>
      </c>
      <c r="U146" s="267">
        <f t="shared" si="130"/>
        <v>0</v>
      </c>
      <c r="V146" s="267">
        <f t="shared" si="130"/>
        <v>0</v>
      </c>
      <c r="W146" s="267">
        <f t="shared" si="130"/>
        <v>0</v>
      </c>
      <c r="X146" s="267">
        <f t="shared" si="130"/>
        <v>0</v>
      </c>
      <c r="Y146" s="267">
        <f t="shared" si="130"/>
        <v>0</v>
      </c>
    </row>
    <row r="147" spans="3:27" x14ac:dyDescent="0.25">
      <c r="C147" s="86"/>
      <c r="F147" s="293" t="s">
        <v>43</v>
      </c>
      <c r="G147" s="293" t="s">
        <v>252</v>
      </c>
      <c r="J147" s="275">
        <f t="shared" si="130"/>
        <v>0</v>
      </c>
      <c r="K147" s="275">
        <f t="shared" si="130"/>
        <v>0</v>
      </c>
      <c r="L147" s="275">
        <f t="shared" si="130"/>
        <v>0</v>
      </c>
      <c r="M147" s="275">
        <f t="shared" si="130"/>
        <v>0</v>
      </c>
      <c r="N147" s="275">
        <f t="shared" si="130"/>
        <v>0</v>
      </c>
      <c r="O147" s="275">
        <f t="shared" si="130"/>
        <v>0</v>
      </c>
      <c r="P147" s="275">
        <f t="shared" si="130"/>
        <v>0</v>
      </c>
      <c r="Q147" s="275">
        <f t="shared" si="130"/>
        <v>0</v>
      </c>
      <c r="R147" s="275">
        <f t="shared" si="130"/>
        <v>0</v>
      </c>
      <c r="S147" s="275">
        <f t="shared" si="130"/>
        <v>0</v>
      </c>
      <c r="T147" s="275">
        <f t="shared" si="130"/>
        <v>0</v>
      </c>
      <c r="U147" s="275">
        <f t="shared" si="130"/>
        <v>0</v>
      </c>
      <c r="V147" s="275">
        <f t="shared" si="130"/>
        <v>0</v>
      </c>
      <c r="W147" s="275">
        <f t="shared" si="130"/>
        <v>0</v>
      </c>
      <c r="X147" s="275">
        <f t="shared" si="130"/>
        <v>0</v>
      </c>
      <c r="Y147" s="275">
        <f t="shared" si="130"/>
        <v>0</v>
      </c>
    </row>
    <row r="148" spans="3:27" x14ac:dyDescent="0.25">
      <c r="C148" s="86"/>
      <c r="F148" s="293" t="s">
        <v>44</v>
      </c>
      <c r="G148" s="293" t="s">
        <v>252</v>
      </c>
      <c r="J148" s="275">
        <f t="shared" si="130"/>
        <v>0</v>
      </c>
      <c r="K148" s="275">
        <f t="shared" si="130"/>
        <v>0</v>
      </c>
      <c r="L148" s="275">
        <f t="shared" si="130"/>
        <v>0</v>
      </c>
      <c r="M148" s="275">
        <f t="shared" si="130"/>
        <v>0</v>
      </c>
      <c r="N148" s="275">
        <f t="shared" si="130"/>
        <v>0</v>
      </c>
      <c r="O148" s="275">
        <f t="shared" si="130"/>
        <v>0</v>
      </c>
      <c r="P148" s="275">
        <f t="shared" si="130"/>
        <v>0</v>
      </c>
      <c r="Q148" s="275">
        <f t="shared" si="130"/>
        <v>0</v>
      </c>
      <c r="R148" s="275">
        <f t="shared" si="130"/>
        <v>0</v>
      </c>
      <c r="S148" s="275">
        <f t="shared" si="130"/>
        <v>0</v>
      </c>
      <c r="T148" s="275">
        <f t="shared" si="130"/>
        <v>0</v>
      </c>
      <c r="U148" s="275">
        <f t="shared" si="130"/>
        <v>0</v>
      </c>
      <c r="V148" s="275">
        <f t="shared" si="130"/>
        <v>0</v>
      </c>
      <c r="W148" s="275">
        <f t="shared" si="130"/>
        <v>0</v>
      </c>
      <c r="X148" s="275">
        <f t="shared" si="130"/>
        <v>0</v>
      </c>
      <c r="Y148" s="275">
        <f t="shared" si="130"/>
        <v>0</v>
      </c>
    </row>
    <row r="149" spans="3:27" x14ac:dyDescent="0.25">
      <c r="C149" s="86"/>
      <c r="F149" s="293" t="s">
        <v>45</v>
      </c>
      <c r="G149" s="293" t="s">
        <v>252</v>
      </c>
      <c r="J149" s="275">
        <f t="shared" si="130"/>
        <v>0</v>
      </c>
      <c r="K149" s="275">
        <f t="shared" si="130"/>
        <v>0</v>
      </c>
      <c r="L149" s="275">
        <f t="shared" si="130"/>
        <v>0</v>
      </c>
      <c r="M149" s="275">
        <f t="shared" si="130"/>
        <v>0</v>
      </c>
      <c r="N149" s="275">
        <f t="shared" si="130"/>
        <v>0</v>
      </c>
      <c r="O149" s="275">
        <f t="shared" si="130"/>
        <v>0</v>
      </c>
      <c r="P149" s="275">
        <f t="shared" si="130"/>
        <v>0</v>
      </c>
      <c r="Q149" s="275">
        <f t="shared" si="130"/>
        <v>0</v>
      </c>
      <c r="R149" s="275">
        <f t="shared" si="130"/>
        <v>0</v>
      </c>
      <c r="S149" s="275">
        <f t="shared" si="130"/>
        <v>0</v>
      </c>
      <c r="T149" s="275">
        <f t="shared" si="130"/>
        <v>0</v>
      </c>
      <c r="U149" s="275">
        <f t="shared" si="130"/>
        <v>0</v>
      </c>
      <c r="V149" s="275">
        <f t="shared" si="130"/>
        <v>0</v>
      </c>
      <c r="W149" s="275">
        <f t="shared" si="130"/>
        <v>0</v>
      </c>
      <c r="X149" s="275">
        <f t="shared" si="130"/>
        <v>0</v>
      </c>
      <c r="Y149" s="275">
        <f t="shared" si="130"/>
        <v>0</v>
      </c>
    </row>
    <row r="150" spans="3:27" x14ac:dyDescent="0.25">
      <c r="C150" s="86"/>
      <c r="F150" s="293" t="s">
        <v>46</v>
      </c>
      <c r="G150" s="293" t="s">
        <v>252</v>
      </c>
      <c r="J150" s="275">
        <f t="shared" si="130"/>
        <v>0</v>
      </c>
      <c r="K150" s="275">
        <f t="shared" si="130"/>
        <v>0</v>
      </c>
      <c r="L150" s="275">
        <f t="shared" si="130"/>
        <v>0</v>
      </c>
      <c r="M150" s="275">
        <f t="shared" si="130"/>
        <v>0</v>
      </c>
      <c r="N150" s="275">
        <f t="shared" si="130"/>
        <v>0</v>
      </c>
      <c r="O150" s="275">
        <f t="shared" si="130"/>
        <v>0</v>
      </c>
      <c r="P150" s="275">
        <f t="shared" si="130"/>
        <v>0</v>
      </c>
      <c r="Q150" s="275">
        <f t="shared" si="130"/>
        <v>0</v>
      </c>
      <c r="R150" s="275">
        <f t="shared" si="130"/>
        <v>0</v>
      </c>
      <c r="S150" s="275">
        <f t="shared" si="130"/>
        <v>0</v>
      </c>
      <c r="T150" s="275">
        <f t="shared" si="130"/>
        <v>0</v>
      </c>
      <c r="U150" s="275">
        <f t="shared" si="130"/>
        <v>0</v>
      </c>
      <c r="V150" s="275">
        <f t="shared" si="130"/>
        <v>0</v>
      </c>
      <c r="W150" s="275">
        <f t="shared" si="130"/>
        <v>0</v>
      </c>
      <c r="X150" s="275">
        <f t="shared" si="130"/>
        <v>0</v>
      </c>
      <c r="Y150" s="275">
        <f t="shared" si="130"/>
        <v>0</v>
      </c>
    </row>
    <row r="151" spans="3:27" x14ac:dyDescent="0.25">
      <c r="C151" s="86"/>
      <c r="F151" s="293" t="s">
        <v>47</v>
      </c>
      <c r="G151" s="293" t="s">
        <v>252</v>
      </c>
      <c r="J151" s="275">
        <f t="shared" si="130"/>
        <v>0</v>
      </c>
      <c r="K151" s="275">
        <f t="shared" si="130"/>
        <v>0</v>
      </c>
      <c r="L151" s="275">
        <f t="shared" si="130"/>
        <v>0</v>
      </c>
      <c r="M151" s="275">
        <f t="shared" si="130"/>
        <v>0</v>
      </c>
      <c r="N151" s="275">
        <f t="shared" si="130"/>
        <v>0</v>
      </c>
      <c r="O151" s="275">
        <f t="shared" si="130"/>
        <v>0</v>
      </c>
      <c r="P151" s="275">
        <f t="shared" si="130"/>
        <v>0</v>
      </c>
      <c r="Q151" s="275">
        <f t="shared" si="130"/>
        <v>0</v>
      </c>
      <c r="R151" s="275">
        <f t="shared" si="130"/>
        <v>0</v>
      </c>
      <c r="S151" s="275">
        <f t="shared" si="130"/>
        <v>0</v>
      </c>
      <c r="T151" s="275">
        <f t="shared" si="130"/>
        <v>0</v>
      </c>
      <c r="U151" s="275">
        <f t="shared" si="130"/>
        <v>0</v>
      </c>
      <c r="V151" s="275">
        <f t="shared" si="130"/>
        <v>0</v>
      </c>
      <c r="W151" s="275">
        <f t="shared" si="130"/>
        <v>0</v>
      </c>
      <c r="X151" s="275">
        <f t="shared" si="130"/>
        <v>0</v>
      </c>
      <c r="Y151" s="275">
        <f t="shared" si="130"/>
        <v>0</v>
      </c>
    </row>
    <row r="152" spans="3:27" x14ac:dyDescent="0.25">
      <c r="C152" s="86"/>
      <c r="F152" s="293" t="s">
        <v>51</v>
      </c>
      <c r="G152" s="293" t="s">
        <v>252</v>
      </c>
      <c r="J152" s="275">
        <f t="shared" si="130"/>
        <v>0</v>
      </c>
      <c r="K152" s="275">
        <f t="shared" si="130"/>
        <v>0</v>
      </c>
      <c r="L152" s="275">
        <f t="shared" si="130"/>
        <v>0</v>
      </c>
      <c r="M152" s="275">
        <f t="shared" si="130"/>
        <v>0</v>
      </c>
      <c r="N152" s="275">
        <f t="shared" si="130"/>
        <v>0</v>
      </c>
      <c r="O152" s="275">
        <f t="shared" si="130"/>
        <v>0</v>
      </c>
      <c r="P152" s="275">
        <f t="shared" si="130"/>
        <v>0</v>
      </c>
      <c r="Q152" s="275">
        <f t="shared" si="130"/>
        <v>0</v>
      </c>
      <c r="R152" s="275">
        <f t="shared" si="130"/>
        <v>0</v>
      </c>
      <c r="S152" s="275">
        <f t="shared" si="130"/>
        <v>0</v>
      </c>
      <c r="T152" s="275">
        <f t="shared" si="130"/>
        <v>0</v>
      </c>
      <c r="U152" s="275">
        <f t="shared" si="130"/>
        <v>0</v>
      </c>
      <c r="V152" s="275">
        <f t="shared" si="130"/>
        <v>0</v>
      </c>
      <c r="W152" s="275">
        <f t="shared" si="130"/>
        <v>0</v>
      </c>
      <c r="X152" s="275">
        <f t="shared" si="130"/>
        <v>0</v>
      </c>
      <c r="Y152" s="275">
        <f t="shared" si="130"/>
        <v>0</v>
      </c>
    </row>
    <row r="153" spans="3:27" x14ac:dyDescent="0.25">
      <c r="C153" s="86"/>
      <c r="F153" s="293" t="s">
        <v>48</v>
      </c>
      <c r="G153" s="293" t="s">
        <v>252</v>
      </c>
      <c r="J153" s="275">
        <f t="shared" si="130"/>
        <v>0</v>
      </c>
      <c r="K153" s="275">
        <f t="shared" si="130"/>
        <v>0</v>
      </c>
      <c r="L153" s="275">
        <f t="shared" si="130"/>
        <v>0</v>
      </c>
      <c r="M153" s="275">
        <f t="shared" si="130"/>
        <v>0</v>
      </c>
      <c r="N153" s="275">
        <f t="shared" si="130"/>
        <v>0</v>
      </c>
      <c r="O153" s="275">
        <f t="shared" si="130"/>
        <v>0</v>
      </c>
      <c r="P153" s="275">
        <f t="shared" si="130"/>
        <v>0</v>
      </c>
      <c r="Q153" s="275">
        <f t="shared" si="130"/>
        <v>0</v>
      </c>
      <c r="R153" s="275">
        <f t="shared" si="130"/>
        <v>0</v>
      </c>
      <c r="S153" s="275">
        <f t="shared" si="130"/>
        <v>0</v>
      </c>
      <c r="T153" s="275">
        <f t="shared" si="130"/>
        <v>0</v>
      </c>
      <c r="U153" s="275">
        <f t="shared" si="130"/>
        <v>0</v>
      </c>
      <c r="V153" s="275">
        <f t="shared" si="130"/>
        <v>0</v>
      </c>
      <c r="W153" s="275">
        <f t="shared" si="130"/>
        <v>0</v>
      </c>
      <c r="X153" s="275">
        <f t="shared" si="130"/>
        <v>0</v>
      </c>
      <c r="Y153" s="275">
        <f t="shared" si="130"/>
        <v>0</v>
      </c>
    </row>
    <row r="154" spans="3:27" x14ac:dyDescent="0.25">
      <c r="C154" s="86"/>
      <c r="F154" s="293" t="s">
        <v>49</v>
      </c>
      <c r="G154" s="293" t="s">
        <v>252</v>
      </c>
      <c r="J154" s="275">
        <f t="shared" si="130"/>
        <v>0</v>
      </c>
      <c r="K154" s="275">
        <f t="shared" si="130"/>
        <v>0</v>
      </c>
      <c r="L154" s="275">
        <f t="shared" si="130"/>
        <v>0</v>
      </c>
      <c r="M154" s="275">
        <f t="shared" si="130"/>
        <v>0</v>
      </c>
      <c r="N154" s="275">
        <f t="shared" si="130"/>
        <v>0</v>
      </c>
      <c r="O154" s="275">
        <f t="shared" si="130"/>
        <v>0</v>
      </c>
      <c r="P154" s="275">
        <f t="shared" si="130"/>
        <v>0</v>
      </c>
      <c r="Q154" s="275">
        <f t="shared" si="130"/>
        <v>0</v>
      </c>
      <c r="R154" s="275">
        <f t="shared" si="130"/>
        <v>0</v>
      </c>
      <c r="S154" s="275">
        <f t="shared" si="130"/>
        <v>0</v>
      </c>
      <c r="T154" s="275">
        <f t="shared" si="130"/>
        <v>0</v>
      </c>
      <c r="U154" s="275">
        <f t="shared" si="130"/>
        <v>0</v>
      </c>
      <c r="V154" s="275">
        <f t="shared" si="130"/>
        <v>0</v>
      </c>
      <c r="W154" s="275">
        <f t="shared" si="130"/>
        <v>0</v>
      </c>
      <c r="X154" s="275">
        <f t="shared" si="130"/>
        <v>0</v>
      </c>
      <c r="Y154" s="275">
        <f t="shared" si="130"/>
        <v>0</v>
      </c>
    </row>
    <row r="155" spans="3:27" x14ac:dyDescent="0.25">
      <c r="C155" s="86"/>
      <c r="F155" s="293" t="s">
        <v>50</v>
      </c>
      <c r="G155" s="293" t="s">
        <v>252</v>
      </c>
      <c r="J155" s="275">
        <f t="shared" si="130"/>
        <v>1.9431326004728562</v>
      </c>
      <c r="K155" s="275">
        <f t="shared" si="130"/>
        <v>0</v>
      </c>
      <c r="L155" s="275">
        <f t="shared" si="130"/>
        <v>1.9431326004728562</v>
      </c>
      <c r="M155" s="275">
        <f t="shared" si="130"/>
        <v>0</v>
      </c>
      <c r="N155" s="275">
        <f t="shared" si="130"/>
        <v>0</v>
      </c>
      <c r="O155" s="275">
        <f t="shared" si="130"/>
        <v>0</v>
      </c>
      <c r="P155" s="275">
        <f t="shared" si="130"/>
        <v>0</v>
      </c>
      <c r="Q155" s="275">
        <f t="shared" si="130"/>
        <v>0</v>
      </c>
      <c r="R155" s="275">
        <f t="shared" si="130"/>
        <v>0</v>
      </c>
      <c r="S155" s="275">
        <f t="shared" si="130"/>
        <v>0</v>
      </c>
      <c r="T155" s="275">
        <f t="shared" si="130"/>
        <v>0</v>
      </c>
      <c r="U155" s="275">
        <f t="shared" si="130"/>
        <v>0</v>
      </c>
      <c r="V155" s="275">
        <f t="shared" si="130"/>
        <v>0</v>
      </c>
      <c r="W155" s="275">
        <f t="shared" si="130"/>
        <v>0</v>
      </c>
      <c r="X155" s="275">
        <f t="shared" si="130"/>
        <v>0</v>
      </c>
      <c r="Y155" s="275">
        <f t="shared" si="130"/>
        <v>0</v>
      </c>
    </row>
    <row r="156" spans="3:27" x14ac:dyDescent="0.25">
      <c r="C156" s="86"/>
      <c r="D156" s="293"/>
      <c r="F156" s="91" t="s">
        <v>124</v>
      </c>
      <c r="G156" s="91" t="s">
        <v>252</v>
      </c>
      <c r="H156" s="91"/>
      <c r="I156" s="91"/>
      <c r="J156" s="267">
        <f t="shared" ref="J156:Y157" si="131">J55</f>
        <v>2.8326095762614849</v>
      </c>
      <c r="K156" s="267">
        <f t="shared" si="131"/>
        <v>0</v>
      </c>
      <c r="L156" s="267">
        <f t="shared" si="131"/>
        <v>5.8943237864307658</v>
      </c>
      <c r="M156" s="267">
        <f t="shared" si="131"/>
        <v>0</v>
      </c>
      <c r="N156" s="267">
        <f t="shared" si="131"/>
        <v>17.100837763983357</v>
      </c>
      <c r="O156" s="267">
        <f t="shared" si="131"/>
        <v>40.100013861515436</v>
      </c>
      <c r="P156" s="267">
        <f t="shared" si="131"/>
        <v>0</v>
      </c>
      <c r="Q156" s="267">
        <f t="shared" si="131"/>
        <v>0</v>
      </c>
      <c r="R156" s="267">
        <f t="shared" si="131"/>
        <v>0</v>
      </c>
      <c r="S156" s="267">
        <f t="shared" si="131"/>
        <v>0</v>
      </c>
      <c r="T156" s="267">
        <f t="shared" si="131"/>
        <v>0</v>
      </c>
      <c r="U156" s="267">
        <f t="shared" si="131"/>
        <v>0</v>
      </c>
      <c r="V156" s="267">
        <f t="shared" si="131"/>
        <v>0</v>
      </c>
      <c r="W156" s="267">
        <f t="shared" si="131"/>
        <v>0</v>
      </c>
      <c r="X156" s="267">
        <f t="shared" si="131"/>
        <v>0</v>
      </c>
      <c r="Y156" s="267">
        <f t="shared" si="131"/>
        <v>0</v>
      </c>
    </row>
    <row r="157" spans="3:27" x14ac:dyDescent="0.25">
      <c r="C157" s="86"/>
      <c r="D157" s="293"/>
      <c r="F157" s="93" t="s">
        <v>123</v>
      </c>
      <c r="G157" s="93" t="s">
        <v>252</v>
      </c>
      <c r="H157" s="93"/>
      <c r="I157" s="93"/>
      <c r="J157" s="268">
        <f t="shared" si="131"/>
        <v>0</v>
      </c>
      <c r="K157" s="268">
        <f t="shared" si="131"/>
        <v>0</v>
      </c>
      <c r="L157" s="268">
        <f t="shared" si="131"/>
        <v>0</v>
      </c>
      <c r="M157" s="268">
        <f t="shared" si="131"/>
        <v>0</v>
      </c>
      <c r="N157" s="268">
        <f t="shared" si="131"/>
        <v>0</v>
      </c>
      <c r="O157" s="268">
        <f t="shared" si="131"/>
        <v>0</v>
      </c>
      <c r="P157" s="268">
        <f t="shared" si="131"/>
        <v>174.18069137616291</v>
      </c>
      <c r="Q157" s="268">
        <f t="shared" si="131"/>
        <v>0</v>
      </c>
      <c r="R157" s="268">
        <f t="shared" si="131"/>
        <v>0</v>
      </c>
      <c r="S157" s="268">
        <f t="shared" si="131"/>
        <v>0</v>
      </c>
      <c r="T157" s="268">
        <f t="shared" si="131"/>
        <v>0</v>
      </c>
      <c r="U157" s="268">
        <f t="shared" si="131"/>
        <v>0</v>
      </c>
      <c r="V157" s="268">
        <f t="shared" si="131"/>
        <v>0</v>
      </c>
      <c r="W157" s="268">
        <f t="shared" si="131"/>
        <v>0</v>
      </c>
      <c r="X157" s="268">
        <f t="shared" si="131"/>
        <v>348.54955153486407</v>
      </c>
      <c r="Y157" s="268">
        <f t="shared" si="131"/>
        <v>348.54955153486407</v>
      </c>
    </row>
    <row r="158" spans="3:27" x14ac:dyDescent="0.25">
      <c r="C158" s="86"/>
      <c r="J158" s="252"/>
      <c r="K158" s="252"/>
      <c r="L158" s="252"/>
      <c r="M158" s="252"/>
      <c r="N158" s="252"/>
      <c r="O158" s="252"/>
      <c r="P158" s="252"/>
      <c r="Q158" s="252"/>
      <c r="R158" s="252"/>
      <c r="S158" s="252"/>
      <c r="T158" s="252"/>
      <c r="U158" s="252"/>
      <c r="V158" s="252"/>
      <c r="W158" s="252"/>
      <c r="X158" s="252"/>
      <c r="Y158" s="252"/>
    </row>
    <row r="159" spans="3:27" x14ac:dyDescent="0.25">
      <c r="C159" s="7" t="str">
        <f ca="1">INDEX('Version control'!$H$35:$H$61,MATCH($A$1,'Version control'!$F$35:$F$61,0),1)&amp;"-H: Aggregated fixed charges"</f>
        <v>Section 517-H: Aggregated fixed charges</v>
      </c>
      <c r="D159" s="7"/>
      <c r="E159" s="7"/>
      <c r="F159" s="7"/>
      <c r="G159" s="7"/>
      <c r="H159" s="7"/>
      <c r="I159" s="7"/>
      <c r="J159" s="242"/>
      <c r="K159" s="242"/>
      <c r="L159" s="242"/>
      <c r="M159" s="242"/>
      <c r="N159" s="242"/>
      <c r="O159" s="242"/>
      <c r="P159" s="242"/>
      <c r="Q159" s="242"/>
      <c r="R159" s="242"/>
      <c r="S159" s="242"/>
      <c r="T159" s="242"/>
      <c r="U159" s="242"/>
      <c r="V159" s="242"/>
      <c r="W159" s="242"/>
      <c r="X159" s="242"/>
      <c r="Y159" s="242"/>
      <c r="Z159" s="7"/>
      <c r="AA159" s="7"/>
    </row>
    <row r="160" spans="3:27" x14ac:dyDescent="0.25">
      <c r="C160" s="86"/>
      <c r="J160" s="252"/>
      <c r="K160" s="252"/>
      <c r="L160" s="252"/>
      <c r="M160" s="252"/>
      <c r="N160" s="252"/>
      <c r="O160" s="252"/>
      <c r="P160" s="252"/>
      <c r="Q160" s="252"/>
      <c r="R160" s="252"/>
      <c r="S160" s="252"/>
      <c r="T160" s="252"/>
      <c r="U160" s="252"/>
      <c r="V160" s="252"/>
      <c r="W160" s="252"/>
      <c r="X160" s="252"/>
      <c r="Y160" s="252"/>
    </row>
    <row r="161" spans="2:27" x14ac:dyDescent="0.25">
      <c r="E161" s="293" t="s">
        <v>254</v>
      </c>
      <c r="G161" s="293" t="s">
        <v>252</v>
      </c>
      <c r="J161" s="256">
        <f t="shared" ref="J161:X161" si="132">SUM(J132:J143,J146:J157)</f>
        <v>4.9279307983675391</v>
      </c>
      <c r="K161" s="256">
        <f t="shared" si="132"/>
        <v>0</v>
      </c>
      <c r="L161" s="256">
        <f t="shared" si="132"/>
        <v>7.9896450085368196</v>
      </c>
      <c r="M161" s="256">
        <f t="shared" si="132"/>
        <v>0</v>
      </c>
      <c r="N161" s="256">
        <f t="shared" si="132"/>
        <v>17.100837763983357</v>
      </c>
      <c r="O161" s="256">
        <f t="shared" si="132"/>
        <v>40.100013861515436</v>
      </c>
      <c r="P161" s="256">
        <f t="shared" si="132"/>
        <v>174.18069137616291</v>
      </c>
      <c r="Q161" s="256">
        <f t="shared" si="132"/>
        <v>0</v>
      </c>
      <c r="R161" s="256">
        <f t="shared" si="132"/>
        <v>0</v>
      </c>
      <c r="S161" s="256">
        <f t="shared" si="132"/>
        <v>0</v>
      </c>
      <c r="T161" s="256">
        <f t="shared" si="132"/>
        <v>0</v>
      </c>
      <c r="U161" s="256">
        <f t="shared" si="132"/>
        <v>0</v>
      </c>
      <c r="V161" s="256">
        <f t="shared" si="132"/>
        <v>0</v>
      </c>
      <c r="W161" s="256">
        <f t="shared" si="132"/>
        <v>0</v>
      </c>
      <c r="X161" s="256">
        <f t="shared" si="132"/>
        <v>348.54955153486407</v>
      </c>
      <c r="Y161" s="256">
        <f>SUM(Y132:Y143,Y146:Y157)</f>
        <v>348.54955153486407</v>
      </c>
    </row>
    <row r="163" spans="2:27" x14ac:dyDescent="0.25">
      <c r="B163" s="95" t="s">
        <v>109</v>
      </c>
      <c r="C163" s="95"/>
      <c r="D163" s="95"/>
      <c r="E163" s="95"/>
      <c r="F163" s="95"/>
      <c r="G163" s="95"/>
      <c r="H163" s="95"/>
      <c r="I163" s="95"/>
      <c r="J163" s="95"/>
      <c r="K163" s="95"/>
      <c r="L163" s="95"/>
      <c r="M163" s="95"/>
      <c r="N163" s="95"/>
      <c r="O163" s="95"/>
      <c r="P163" s="95"/>
      <c r="Q163" s="95"/>
      <c r="R163" s="95"/>
      <c r="S163" s="95"/>
      <c r="T163" s="95"/>
      <c r="U163" s="95"/>
      <c r="V163" s="95"/>
      <c r="W163" s="95"/>
      <c r="X163" s="95"/>
      <c r="Y163" s="95"/>
      <c r="Z163" s="95"/>
      <c r="AA163" s="95"/>
    </row>
    <row r="165" spans="2:27" x14ac:dyDescent="0.25">
      <c r="C165" s="86"/>
      <c r="E165" s="293" t="s">
        <v>415</v>
      </c>
      <c r="G165" s="122" t="s">
        <v>588</v>
      </c>
      <c r="H165" s="310">
        <f t="array" ref="H165">SUM(IF(ISERROR(H18:Y161), 1))</f>
        <v>0</v>
      </c>
    </row>
    <row r="167" spans="2:27" x14ac:dyDescent="0.25">
      <c r="B167" s="95" t="s">
        <v>110</v>
      </c>
      <c r="C167" s="95"/>
      <c r="D167" s="95"/>
      <c r="E167" s="95"/>
      <c r="F167" s="95"/>
      <c r="G167" s="95"/>
      <c r="H167" s="95"/>
      <c r="I167" s="95"/>
      <c r="J167" s="95"/>
      <c r="K167" s="95"/>
      <c r="L167" s="95"/>
      <c r="M167" s="95"/>
      <c r="N167" s="95"/>
      <c r="O167" s="95"/>
      <c r="P167" s="95"/>
      <c r="Q167" s="95"/>
      <c r="R167" s="95"/>
      <c r="S167" s="95"/>
      <c r="T167" s="95"/>
      <c r="U167" s="95"/>
      <c r="V167" s="95"/>
      <c r="W167" s="95"/>
      <c r="X167" s="95"/>
      <c r="Y167" s="95"/>
      <c r="Z167" s="95"/>
      <c r="AA167" s="95"/>
    </row>
  </sheetData>
  <sheetProtection sheet="1" objects="1" formatCells="0" formatColumns="0" formatRows="0" sort="0" autoFilter="0"/>
  <conditionalFormatting sqref="A4:I4 Z4:XFD4">
    <cfRule type="expression" dxfId="49" priority="10">
      <formula>LEFT($A$4,1) &lt;&gt; "0"</formula>
    </cfRule>
  </conditionalFormatting>
  <conditionalFormatting sqref="N4:P4">
    <cfRule type="expression" dxfId="48" priority="9">
      <formula>LEFT($A$4,1) &lt;&gt; "0"</formula>
    </cfRule>
  </conditionalFormatting>
  <conditionalFormatting sqref="L4:M4">
    <cfRule type="expression" dxfId="47" priority="8">
      <formula>LEFT($A$4,1) &lt;&gt; "0"</formula>
    </cfRule>
  </conditionalFormatting>
  <conditionalFormatting sqref="J4:K4">
    <cfRule type="expression" dxfId="46" priority="7">
      <formula>LEFT($A$4,1) &lt;&gt; "0"</formula>
    </cfRule>
  </conditionalFormatting>
  <conditionalFormatting sqref="Q4">
    <cfRule type="expression" dxfId="45" priority="6">
      <formula>LEFT($A$4,1) &lt;&gt; "0"</formula>
    </cfRule>
  </conditionalFormatting>
  <conditionalFormatting sqref="R4:S4">
    <cfRule type="expression" dxfId="44" priority="5">
      <formula>LEFT($A$4,1) &lt;&gt; "0"</formula>
    </cfRule>
  </conditionalFormatting>
  <conditionalFormatting sqref="T4:U4">
    <cfRule type="expression" dxfId="43" priority="4">
      <formula>LEFT($A$4,1) &lt;&gt; "0"</formula>
    </cfRule>
  </conditionalFormatting>
  <conditionalFormatting sqref="V4:W4">
    <cfRule type="expression" dxfId="42" priority="3">
      <formula>LEFT($A$4,1) &lt;&gt; "0"</formula>
    </cfRule>
  </conditionalFormatting>
  <conditionalFormatting sqref="X4:Y4">
    <cfRule type="expression" dxfId="41" priority="2">
      <formula>LEFT($A$4,1) &lt;&gt; "0"</formula>
    </cfRule>
  </conditionalFormatting>
  <conditionalFormatting sqref="H165">
    <cfRule type="cellIs" dxfId="40" priority="1" operator="greaterThan">
      <formula>0</formula>
    </cfRule>
  </conditionalFormatting>
  <hyperlinks>
    <hyperlink ref="B5:F5" location="'Model map'!A1" display="Click here to return to model map" xr:uid="{31D6187E-B586-4B70-8C33-157C4EA9D959}"/>
  </hyperlinks>
  <pageMargins left="0.7" right="0.7" top="0.75" bottom="0.75" header="0.3" footer="0.3"/>
  <pageSetup paperSize="9" scale="32" fitToHeight="0" orientation="portrait" r:id="rId1"/>
  <headerFooter>
    <oddHeader>&amp;L&amp;A&amp;C&amp;R&amp;P of &amp;N</oddHeader>
    <oddFooter>&amp;F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6F7612-F523-447B-834C-D435AC3F103C}">
  <sheetPr codeName="Sheet56">
    <tabColor theme="4" tint="0.59999389629810485"/>
    <pageSetUpPr fitToPage="1"/>
  </sheetPr>
  <dimension ref="A1:KR73"/>
  <sheetViews>
    <sheetView showGridLines="0" zoomScale="80" zoomScaleNormal="80" workbookViewId="0">
      <pane xSplit="9" ySplit="5" topLeftCell="J6" activePane="bottomRight" state="frozen"/>
      <selection pane="topRight"/>
      <selection pane="bottomLeft"/>
      <selection pane="bottomRight"/>
    </sheetView>
  </sheetViews>
  <sheetFormatPr defaultColWidth="0" defaultRowHeight="15" x14ac:dyDescent="0.25"/>
  <cols>
    <col min="1" max="3" width="2.5703125" style="293" customWidth="1"/>
    <col min="4" max="5" width="2.5703125" style="98" customWidth="1"/>
    <col min="6" max="6" width="59.5703125" style="293" customWidth="1"/>
    <col min="7" max="8" width="20.5703125" style="293" customWidth="1"/>
    <col min="9" max="9" width="2.42578125" style="293" customWidth="1"/>
    <col min="10" max="25" width="17" style="293" customWidth="1"/>
    <col min="26" max="26" width="2.42578125" style="293" customWidth="1"/>
    <col min="27" max="27" width="50.5703125" style="293" customWidth="1"/>
    <col min="28" max="28" width="2.42578125" style="293" customWidth="1"/>
    <col min="29" max="29" width="24.5703125" style="293" hidden="1" customWidth="1"/>
    <col min="30" max="30" width="3.5703125" style="293" hidden="1" customWidth="1"/>
    <col min="31" max="31" width="15.42578125" style="293" hidden="1" customWidth="1"/>
    <col min="32" max="304" width="24.5703125" style="293" hidden="1" customWidth="1"/>
    <col min="305" max="16384" width="8.5703125" style="293" hidden="1"/>
  </cols>
  <sheetData>
    <row r="1" spans="1:27" s="10" customFormat="1" x14ac:dyDescent="0.25">
      <c r="A1" s="10" t="str">
        <f ca="1">MID(CELL("filename",A1),FIND("]",CELL("filename",A1))+1,255)</f>
        <v>SoLR &amp; bad debt adders</v>
      </c>
    </row>
    <row r="2" spans="1:27" s="10" customFormat="1" x14ac:dyDescent="0.25">
      <c r="A2" s="10" t="str">
        <f>Cover!D21&amp;" - "&amp;Cover!D23</f>
        <v>Southern Electric Power Distribution plc - Final</v>
      </c>
    </row>
    <row r="3" spans="1:27" s="46" customFormat="1" x14ac:dyDescent="0.25">
      <c r="A3" s="46" t="str">
        <f>Cover!D2&amp;" - "&amp;Cover!D8&amp;" v"&amp;Cover!D10&amp;" - "&amp;Cover!D19</f>
        <v>ARP model - Release for charge setting v7 - 2023/24</v>
      </c>
    </row>
    <row r="4" spans="1:27" x14ac:dyDescent="0.25">
      <c r="A4" s="366" t="str">
        <f>H71 &amp; IF(H71 = 1, " issue", " issues") &amp;" identified in checks on this sheet"</f>
        <v>0 issues identified in checks on this sheet</v>
      </c>
      <c r="B4" s="108"/>
      <c r="C4" s="108"/>
      <c r="D4" s="108"/>
      <c r="E4" s="108"/>
      <c r="F4" s="108"/>
      <c r="G4" s="108"/>
      <c r="H4" s="111"/>
      <c r="I4" s="111"/>
      <c r="J4" s="108"/>
    </row>
    <row r="5" spans="1:27" ht="60" x14ac:dyDescent="0.25">
      <c r="B5" s="367" t="s">
        <v>451</v>
      </c>
      <c r="C5" s="368"/>
      <c r="D5" s="368"/>
      <c r="E5" s="368"/>
      <c r="F5" s="368"/>
      <c r="G5" s="1" t="s">
        <v>91</v>
      </c>
      <c r="H5" s="2" t="s">
        <v>92</v>
      </c>
      <c r="J5" s="2" t="s">
        <v>926</v>
      </c>
      <c r="K5" s="2" t="s">
        <v>927</v>
      </c>
      <c r="L5" s="2" t="s">
        <v>928</v>
      </c>
      <c r="M5" s="2" t="s">
        <v>929</v>
      </c>
      <c r="N5" s="2" t="s">
        <v>930</v>
      </c>
      <c r="O5" s="2" t="s">
        <v>931</v>
      </c>
      <c r="P5" s="2" t="s">
        <v>932</v>
      </c>
      <c r="Q5" s="2" t="s">
        <v>933</v>
      </c>
      <c r="R5" s="2" t="s">
        <v>934</v>
      </c>
      <c r="S5" s="2" t="s">
        <v>935</v>
      </c>
      <c r="T5" s="2" t="s">
        <v>936</v>
      </c>
      <c r="U5" s="2" t="s">
        <v>937</v>
      </c>
      <c r="V5" s="2" t="s">
        <v>938</v>
      </c>
      <c r="W5" s="2" t="s">
        <v>939</v>
      </c>
      <c r="X5" s="2" t="s">
        <v>940</v>
      </c>
      <c r="Y5" s="2" t="s">
        <v>941</v>
      </c>
      <c r="AA5" s="1" t="s">
        <v>93</v>
      </c>
    </row>
    <row r="7" spans="1:27" x14ac:dyDescent="0.25">
      <c r="B7" s="95" t="s">
        <v>90</v>
      </c>
      <c r="C7" s="95"/>
      <c r="D7" s="95"/>
      <c r="E7" s="95"/>
      <c r="F7" s="95"/>
      <c r="G7" s="95"/>
      <c r="H7" s="95"/>
      <c r="I7" s="95"/>
      <c r="J7" s="95"/>
      <c r="K7" s="95"/>
      <c r="L7" s="95"/>
      <c r="M7" s="95"/>
      <c r="N7" s="95"/>
      <c r="O7" s="95"/>
      <c r="P7" s="95"/>
      <c r="Q7" s="95"/>
      <c r="R7" s="95"/>
      <c r="S7" s="95"/>
      <c r="T7" s="95"/>
      <c r="U7" s="95"/>
      <c r="V7" s="95"/>
      <c r="W7" s="95"/>
      <c r="X7" s="95"/>
      <c r="Y7" s="95"/>
      <c r="Z7" s="95"/>
      <c r="AA7" s="95"/>
    </row>
    <row r="9" spans="1:27" x14ac:dyDescent="0.25">
      <c r="C9" s="82" t="s">
        <v>964</v>
      </c>
      <c r="E9" s="293"/>
    </row>
    <row r="10" spans="1:27" x14ac:dyDescent="0.25">
      <c r="C10" s="82" t="s">
        <v>965</v>
      </c>
      <c r="E10" s="293"/>
    </row>
    <row r="12" spans="1:27" x14ac:dyDescent="0.25">
      <c r="B12" s="95" t="s">
        <v>966</v>
      </c>
      <c r="C12" s="95"/>
      <c r="D12" s="95"/>
      <c r="E12" s="95"/>
      <c r="F12" s="95"/>
      <c r="G12" s="95"/>
      <c r="H12" s="95"/>
      <c r="I12" s="95"/>
      <c r="J12" s="95"/>
      <c r="K12" s="95"/>
      <c r="L12" s="95"/>
      <c r="M12" s="95"/>
      <c r="N12" s="95"/>
      <c r="O12" s="95"/>
      <c r="P12" s="95"/>
      <c r="Q12" s="95"/>
      <c r="R12" s="95"/>
      <c r="S12" s="95"/>
      <c r="T12" s="95"/>
      <c r="U12" s="95"/>
      <c r="V12" s="95"/>
      <c r="W12" s="95"/>
      <c r="X12" s="95"/>
      <c r="Y12" s="95"/>
      <c r="Z12" s="95"/>
      <c r="AA12" s="95"/>
    </row>
    <row r="14" spans="1:27" x14ac:dyDescent="0.25">
      <c r="C14" s="82" t="s">
        <v>967</v>
      </c>
    </row>
    <row r="16" spans="1:27" x14ac:dyDescent="0.25">
      <c r="C16" s="7" t="str">
        <f ca="1">INDEX('Version control'!$H$35:$H$59,MATCH($A$1,'Version control'!$F$35:$F$59,0),1)&amp;"-A: Inputs for fixed tariff adjustments"</f>
        <v>Section 518-A: Inputs for fixed tariff adjustments</v>
      </c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</row>
    <row r="18" spans="1:27" x14ac:dyDescent="0.25">
      <c r="E18" s="86" t="s">
        <v>74</v>
      </c>
      <c r="F18" s="96"/>
    </row>
    <row r="19" spans="1:27" x14ac:dyDescent="0.25">
      <c r="E19" s="82" t="s">
        <v>968</v>
      </c>
      <c r="F19" s="98"/>
    </row>
    <row r="20" spans="1:27" x14ac:dyDescent="0.25">
      <c r="C20" s="86"/>
      <c r="F20" s="91" t="s">
        <v>145</v>
      </c>
      <c r="G20" s="91" t="s">
        <v>74</v>
      </c>
      <c r="H20" s="358"/>
      <c r="I20" s="347"/>
      <c r="J20" s="358">
        <f>'Volume adjustments'!J202</f>
        <v>2901359.4971160064</v>
      </c>
      <c r="K20" s="358">
        <f>'Volume adjustments'!K202</f>
        <v>33762.707811624095</v>
      </c>
      <c r="L20" s="358">
        <f>'Volume adjustments'!L202</f>
        <v>232813.28704236689</v>
      </c>
      <c r="M20" s="358">
        <f>'Volume adjustments'!M202</f>
        <v>4756.0967741935474</v>
      </c>
      <c r="N20" s="358">
        <f>'Volume adjustments'!N202</f>
        <v>22622.200206440659</v>
      </c>
      <c r="O20" s="358">
        <f>'Volume adjustments'!O202</f>
        <v>263</v>
      </c>
      <c r="P20" s="358">
        <f>'Volume adjustments'!P202</f>
        <v>1834.5277166413589</v>
      </c>
      <c r="Q20" s="358">
        <f>'Volume adjustments'!Q202</f>
        <v>4004.5</v>
      </c>
      <c r="R20" s="358">
        <f>'Volume adjustments'!R202</f>
        <v>1884.9999999999998</v>
      </c>
      <c r="S20" s="358">
        <f>'Volume adjustments'!S202</f>
        <v>38.935483870967744</v>
      </c>
      <c r="T20" s="358">
        <f>'Volume adjustments'!T202</f>
        <v>836.76967715751107</v>
      </c>
      <c r="U20" s="358">
        <f>'Volume adjustments'!U202</f>
        <v>0</v>
      </c>
      <c r="V20" s="358">
        <f>'Volume adjustments'!V202</f>
        <v>1</v>
      </c>
      <c r="W20" s="358">
        <f>'Volume adjustments'!W202</f>
        <v>0</v>
      </c>
      <c r="X20" s="358">
        <f>'Volume adjustments'!X202</f>
        <v>232.35483870967744</v>
      </c>
      <c r="Y20" s="358">
        <f>'Volume adjustments'!Y202</f>
        <v>0</v>
      </c>
      <c r="Z20" s="349"/>
      <c r="AA20" s="349"/>
    </row>
    <row r="21" spans="1:27" x14ac:dyDescent="0.25">
      <c r="C21" s="86"/>
      <c r="F21" s="293" t="s">
        <v>146</v>
      </c>
      <c r="G21" s="293" t="s">
        <v>74</v>
      </c>
      <c r="H21" s="416"/>
      <c r="I21" s="349"/>
      <c r="J21" s="416">
        <f>'Volume adjustments'!J211</f>
        <v>30423.599820316216</v>
      </c>
      <c r="K21" s="416">
        <f>'Volume adjustments'!K211</f>
        <v>0</v>
      </c>
      <c r="L21" s="416">
        <f>'Volume adjustments'!L211</f>
        <v>431.04981576165653</v>
      </c>
      <c r="M21" s="416">
        <f>'Volume adjustments'!M211</f>
        <v>4</v>
      </c>
      <c r="N21" s="416">
        <f>'Volume adjustments'!N211</f>
        <v>139.49999999999997</v>
      </c>
      <c r="O21" s="416">
        <f>'Volume adjustments'!O211</f>
        <v>0</v>
      </c>
      <c r="P21" s="416">
        <f>'Volume adjustments'!P211</f>
        <v>0</v>
      </c>
      <c r="Q21" s="416">
        <f>'Volume adjustments'!Q211</f>
        <v>122</v>
      </c>
      <c r="R21" s="416">
        <f>'Volume adjustments'!R211</f>
        <v>50.451612903225801</v>
      </c>
      <c r="S21" s="416">
        <f>'Volume adjustments'!S211</f>
        <v>0</v>
      </c>
      <c r="T21" s="416">
        <f>'Volume adjustments'!T211</f>
        <v>0</v>
      </c>
      <c r="U21" s="416">
        <f>'Volume adjustments'!U211</f>
        <v>0</v>
      </c>
      <c r="V21" s="416">
        <f>'Volume adjustments'!V211</f>
        <v>0</v>
      </c>
      <c r="W21" s="416">
        <f>'Volume adjustments'!W211</f>
        <v>0</v>
      </c>
      <c r="X21" s="416">
        <f>'Volume adjustments'!X211</f>
        <v>0</v>
      </c>
      <c r="Y21" s="416">
        <f>'Volume adjustments'!Y211</f>
        <v>0</v>
      </c>
      <c r="Z21" s="349"/>
      <c r="AA21" s="349"/>
    </row>
    <row r="22" spans="1:27" x14ac:dyDescent="0.25">
      <c r="C22" s="86"/>
      <c r="F22" s="293" t="s">
        <v>147</v>
      </c>
      <c r="G22" s="293" t="s">
        <v>74</v>
      </c>
      <c r="H22" s="416"/>
      <c r="I22" s="349"/>
      <c r="J22" s="416">
        <f>'Volume adjustments'!J220</f>
        <v>115145.92079188582</v>
      </c>
      <c r="K22" s="416">
        <f>'Volume adjustments'!K220</f>
        <v>532</v>
      </c>
      <c r="L22" s="416">
        <f>'Volume adjustments'!L220</f>
        <v>1559.4645961553481</v>
      </c>
      <c r="M22" s="416">
        <f>'Volume adjustments'!M220</f>
        <v>9.5483870967741939</v>
      </c>
      <c r="N22" s="416">
        <f>'Volume adjustments'!N220</f>
        <v>627.9922420125979</v>
      </c>
      <c r="O22" s="416">
        <f>'Volume adjustments'!O220</f>
        <v>45.5</v>
      </c>
      <c r="P22" s="416">
        <f>'Volume adjustments'!P220</f>
        <v>13.000000000000002</v>
      </c>
      <c r="Q22" s="416">
        <f>'Volume adjustments'!Q220</f>
        <v>502</v>
      </c>
      <c r="R22" s="416">
        <f>'Volume adjustments'!R220</f>
        <v>6</v>
      </c>
      <c r="S22" s="416">
        <f>'Volume adjustments'!S220</f>
        <v>6</v>
      </c>
      <c r="T22" s="416">
        <f>'Volume adjustments'!T220</f>
        <v>1</v>
      </c>
      <c r="U22" s="416">
        <f>'Volume adjustments'!U220</f>
        <v>0</v>
      </c>
      <c r="V22" s="416">
        <f>'Volume adjustments'!V220</f>
        <v>1</v>
      </c>
      <c r="W22" s="416">
        <f>'Volume adjustments'!W220</f>
        <v>0</v>
      </c>
      <c r="X22" s="416">
        <f>'Volume adjustments'!X220</f>
        <v>1</v>
      </c>
      <c r="Y22" s="416">
        <f>'Volume adjustments'!Y220</f>
        <v>0</v>
      </c>
      <c r="Z22" s="349"/>
      <c r="AA22" s="349"/>
    </row>
    <row r="23" spans="1:27" x14ac:dyDescent="0.25">
      <c r="C23" s="86"/>
      <c r="F23" s="93" t="s">
        <v>969</v>
      </c>
      <c r="G23" s="93" t="s">
        <v>74</v>
      </c>
      <c r="H23" s="115"/>
      <c r="I23" s="93"/>
      <c r="J23" s="274">
        <f>'Inputs by customer type'!J164</f>
        <v>0</v>
      </c>
      <c r="K23" s="274">
        <f>'Inputs by customer type'!K164</f>
        <v>0</v>
      </c>
      <c r="L23" s="274">
        <f>'Inputs by customer type'!L164</f>
        <v>0</v>
      </c>
      <c r="M23" s="274">
        <f>'Inputs by customer type'!M164</f>
        <v>0</v>
      </c>
      <c r="N23" s="274">
        <f>'Inputs by customer type'!N164</f>
        <v>5</v>
      </c>
      <c r="O23" s="274">
        <f>'Inputs by customer type'!O164</f>
        <v>0</v>
      </c>
      <c r="P23" s="274">
        <f>'Inputs by customer type'!P164</f>
        <v>17</v>
      </c>
      <c r="Q23" s="274">
        <f>'Inputs by customer type'!Q164</f>
        <v>0</v>
      </c>
      <c r="R23" s="274">
        <f>'Inputs by customer type'!R164</f>
        <v>0</v>
      </c>
      <c r="S23" s="274">
        <f>'Inputs by customer type'!S164</f>
        <v>0</v>
      </c>
      <c r="T23" s="274">
        <f>'Inputs by customer type'!T164</f>
        <v>0</v>
      </c>
      <c r="U23" s="274">
        <f>'Inputs by customer type'!U164</f>
        <v>0</v>
      </c>
      <c r="V23" s="274">
        <f>'Inputs by customer type'!V164</f>
        <v>0</v>
      </c>
      <c r="W23" s="274">
        <f>'Inputs by customer type'!W164</f>
        <v>0</v>
      </c>
      <c r="X23" s="274">
        <f>'Inputs by customer type'!X164</f>
        <v>0</v>
      </c>
      <c r="Y23" s="274">
        <f>'Inputs by customer type'!Y164</f>
        <v>0</v>
      </c>
    </row>
    <row r="24" spans="1:27" x14ac:dyDescent="0.25">
      <c r="C24" s="86"/>
      <c r="E24" s="293"/>
      <c r="J24" s="252"/>
      <c r="K24" s="252"/>
      <c r="L24" s="252"/>
      <c r="M24" s="252"/>
      <c r="N24" s="252"/>
      <c r="O24" s="252"/>
      <c r="P24" s="252"/>
      <c r="Q24" s="252"/>
      <c r="R24" s="252"/>
      <c r="S24" s="252"/>
      <c r="T24" s="252"/>
      <c r="U24" s="252"/>
      <c r="V24" s="252"/>
      <c r="W24" s="252"/>
      <c r="X24" s="252"/>
      <c r="Y24" s="252"/>
    </row>
    <row r="25" spans="1:27" x14ac:dyDescent="0.25">
      <c r="C25" s="86"/>
      <c r="E25" s="96" t="s">
        <v>970</v>
      </c>
      <c r="J25" s="252"/>
      <c r="K25" s="252"/>
      <c r="L25" s="252"/>
      <c r="M25" s="252"/>
      <c r="N25" s="252"/>
      <c r="O25" s="252"/>
      <c r="P25" s="252"/>
      <c r="Q25" s="252"/>
      <c r="R25" s="252"/>
      <c r="S25" s="252"/>
      <c r="T25" s="252"/>
      <c r="U25" s="252"/>
      <c r="V25" s="252"/>
      <c r="W25" s="252"/>
      <c r="X25" s="252"/>
      <c r="Y25" s="252"/>
    </row>
    <row r="26" spans="1:27" x14ac:dyDescent="0.25">
      <c r="C26" s="86"/>
      <c r="E26" s="293"/>
      <c r="F26" s="91" t="s">
        <v>958</v>
      </c>
      <c r="G26" s="91" t="s">
        <v>132</v>
      </c>
      <c r="H26" s="91"/>
      <c r="I26" s="91"/>
      <c r="J26" s="141">
        <f>'Fixed inputs'!J158</f>
        <v>1</v>
      </c>
      <c r="K26" s="141">
        <f>'Fixed inputs'!K158</f>
        <v>0</v>
      </c>
      <c r="L26" s="141">
        <f>'Fixed inputs'!L158</f>
        <v>0</v>
      </c>
      <c r="M26" s="141">
        <f>'Fixed inputs'!M158</f>
        <v>0</v>
      </c>
      <c r="N26" s="141">
        <f>'Fixed inputs'!N158</f>
        <v>0</v>
      </c>
      <c r="O26" s="141">
        <f>'Fixed inputs'!O158</f>
        <v>0</v>
      </c>
      <c r="P26" s="141">
        <f>'Fixed inputs'!P158</f>
        <v>0</v>
      </c>
      <c r="Q26" s="141">
        <f>'Fixed inputs'!Q158</f>
        <v>0</v>
      </c>
      <c r="R26" s="141">
        <f>'Fixed inputs'!R158</f>
        <v>0</v>
      </c>
      <c r="S26" s="141">
        <f>'Fixed inputs'!S158</f>
        <v>0</v>
      </c>
      <c r="T26" s="141">
        <f>'Fixed inputs'!T158</f>
        <v>0</v>
      </c>
      <c r="U26" s="141">
        <f>'Fixed inputs'!U158</f>
        <v>0</v>
      </c>
      <c r="V26" s="141">
        <f>'Fixed inputs'!V158</f>
        <v>0</v>
      </c>
      <c r="W26" s="141">
        <f>'Fixed inputs'!W158</f>
        <v>0</v>
      </c>
      <c r="X26" s="141">
        <f>'Fixed inputs'!X158</f>
        <v>0</v>
      </c>
      <c r="Y26" s="141">
        <f>'Fixed inputs'!Y158</f>
        <v>0</v>
      </c>
    </row>
    <row r="27" spans="1:27" s="533" customFormat="1" x14ac:dyDescent="0.25">
      <c r="C27" s="537"/>
      <c r="D27" s="538"/>
      <c r="F27" s="196" t="s">
        <v>959</v>
      </c>
      <c r="G27" s="534" t="s">
        <v>132</v>
      </c>
      <c r="H27" s="534"/>
      <c r="I27" s="534"/>
      <c r="J27" s="539">
        <f>'Fixed inputs'!J159</f>
        <v>1</v>
      </c>
      <c r="K27" s="539">
        <f>'Fixed inputs'!K159</f>
        <v>0</v>
      </c>
      <c r="L27" s="539">
        <f>'Fixed inputs'!L159</f>
        <v>1</v>
      </c>
      <c r="M27" s="539">
        <f>'Fixed inputs'!M159</f>
        <v>0</v>
      </c>
      <c r="N27" s="539">
        <f>'Fixed inputs'!N159</f>
        <v>1</v>
      </c>
      <c r="O27" s="539">
        <f>'Fixed inputs'!O159</f>
        <v>1</v>
      </c>
      <c r="P27" s="539">
        <f>'Fixed inputs'!P159</f>
        <v>1</v>
      </c>
      <c r="Q27" s="539">
        <f>'Fixed inputs'!Q159</f>
        <v>0</v>
      </c>
      <c r="R27" s="539">
        <f>'Fixed inputs'!R159</f>
        <v>0</v>
      </c>
      <c r="S27" s="539">
        <f>'Fixed inputs'!S159</f>
        <v>0</v>
      </c>
      <c r="T27" s="539">
        <f>'Fixed inputs'!T159</f>
        <v>0</v>
      </c>
      <c r="U27" s="539">
        <f>'Fixed inputs'!U159</f>
        <v>0</v>
      </c>
      <c r="V27" s="539">
        <f>'Fixed inputs'!V159</f>
        <v>0</v>
      </c>
      <c r="W27" s="539">
        <f>'Fixed inputs'!W159</f>
        <v>0</v>
      </c>
      <c r="X27" s="539">
        <f>'Fixed inputs'!X159</f>
        <v>0</v>
      </c>
      <c r="Y27" s="539">
        <f>'Fixed inputs'!Y159</f>
        <v>0</v>
      </c>
    </row>
    <row r="28" spans="1:27" x14ac:dyDescent="0.25">
      <c r="C28" s="86"/>
      <c r="E28" s="293"/>
      <c r="F28" s="19" t="s">
        <v>1248</v>
      </c>
      <c r="G28" s="93" t="s">
        <v>132</v>
      </c>
      <c r="H28" s="93"/>
      <c r="I28" s="93"/>
      <c r="J28" s="115">
        <f>'Fixed inputs'!J160</f>
        <v>1</v>
      </c>
      <c r="K28" s="115">
        <f>'Fixed inputs'!K160</f>
        <v>0</v>
      </c>
      <c r="L28" s="115">
        <f>'Fixed inputs'!L160</f>
        <v>1</v>
      </c>
      <c r="M28" s="115">
        <f>'Fixed inputs'!M160</f>
        <v>0</v>
      </c>
      <c r="N28" s="115">
        <f>'Fixed inputs'!N160</f>
        <v>1</v>
      </c>
      <c r="O28" s="115">
        <f>'Fixed inputs'!O160</f>
        <v>1</v>
      </c>
      <c r="P28" s="115">
        <f>'Fixed inputs'!P160</f>
        <v>1</v>
      </c>
      <c r="Q28" s="115">
        <f>'Fixed inputs'!Q160</f>
        <v>0</v>
      </c>
      <c r="R28" s="115">
        <f>'Fixed inputs'!R160</f>
        <v>0</v>
      </c>
      <c r="S28" s="115">
        <f>'Fixed inputs'!S160</f>
        <v>0</v>
      </c>
      <c r="T28" s="115">
        <f>'Fixed inputs'!T160</f>
        <v>0</v>
      </c>
      <c r="U28" s="115">
        <f>'Fixed inputs'!U160</f>
        <v>0</v>
      </c>
      <c r="V28" s="115">
        <f>'Fixed inputs'!V160</f>
        <v>0</v>
      </c>
      <c r="W28" s="115">
        <f>'Fixed inputs'!W160</f>
        <v>0</v>
      </c>
      <c r="X28" s="115">
        <f>'Fixed inputs'!X160</f>
        <v>0</v>
      </c>
      <c r="Y28" s="115">
        <f>'Fixed inputs'!Y160</f>
        <v>0</v>
      </c>
    </row>
    <row r="29" spans="1:27" x14ac:dyDescent="0.25">
      <c r="C29" s="86"/>
      <c r="E29" s="293"/>
      <c r="F29" s="5"/>
      <c r="J29" s="252"/>
      <c r="K29" s="252"/>
      <c r="L29" s="252"/>
      <c r="M29" s="252"/>
      <c r="N29" s="252"/>
      <c r="O29" s="252"/>
      <c r="P29" s="252"/>
      <c r="Q29" s="252"/>
      <c r="R29" s="252"/>
      <c r="S29" s="252"/>
      <c r="T29" s="252"/>
      <c r="U29" s="252"/>
      <c r="V29" s="252"/>
      <c r="W29" s="252"/>
      <c r="X29" s="252"/>
      <c r="Y29" s="252"/>
    </row>
    <row r="30" spans="1:27" x14ac:dyDescent="0.25">
      <c r="C30" s="86"/>
      <c r="E30" s="96" t="s">
        <v>961</v>
      </c>
      <c r="F30" s="5"/>
      <c r="J30" s="252"/>
      <c r="K30" s="252"/>
      <c r="L30" s="252"/>
      <c r="M30" s="252"/>
      <c r="N30" s="252"/>
      <c r="O30" s="252"/>
      <c r="P30" s="252"/>
      <c r="Q30" s="252"/>
      <c r="R30" s="252"/>
      <c r="S30" s="252"/>
      <c r="T30" s="252"/>
      <c r="U30" s="252"/>
      <c r="V30" s="252"/>
      <c r="W30" s="252"/>
      <c r="X30" s="252"/>
      <c r="Y30" s="252"/>
    </row>
    <row r="31" spans="1:27" x14ac:dyDescent="0.25">
      <c r="C31" s="86"/>
      <c r="E31" s="293"/>
      <c r="F31" s="91" t="s">
        <v>958</v>
      </c>
      <c r="G31" s="91" t="s">
        <v>107</v>
      </c>
      <c r="H31" s="272">
        <f>'General inputs'!H56</f>
        <v>1119102.4670971127</v>
      </c>
      <c r="J31" s="273"/>
      <c r="K31" s="273"/>
      <c r="L31" s="273"/>
      <c r="M31" s="273"/>
      <c r="N31" s="273"/>
      <c r="O31" s="273"/>
      <c r="P31" s="273"/>
      <c r="Q31" s="273"/>
      <c r="R31" s="273"/>
      <c r="S31" s="273"/>
      <c r="T31" s="273"/>
      <c r="U31" s="273"/>
      <c r="V31" s="273"/>
      <c r="W31" s="273"/>
      <c r="X31" s="273"/>
      <c r="Y31" s="273"/>
    </row>
    <row r="32" spans="1:27" s="533" customFormat="1" x14ac:dyDescent="0.25">
      <c r="A32" s="293"/>
      <c r="C32" s="537"/>
      <c r="D32" s="538"/>
      <c r="F32" s="196" t="s">
        <v>959</v>
      </c>
      <c r="G32" s="534" t="s">
        <v>107</v>
      </c>
      <c r="H32" s="472">
        <f>'General inputs'!H57</f>
        <v>1989788.1281364006</v>
      </c>
      <c r="J32" s="540"/>
      <c r="K32" s="540"/>
      <c r="L32" s="540"/>
      <c r="M32" s="540"/>
      <c r="N32" s="540"/>
      <c r="O32" s="540"/>
      <c r="P32" s="540"/>
      <c r="Q32" s="540"/>
      <c r="R32" s="540"/>
      <c r="S32" s="540"/>
      <c r="T32" s="540"/>
      <c r="U32" s="540"/>
      <c r="V32" s="540"/>
      <c r="W32" s="540"/>
      <c r="X32" s="540"/>
      <c r="Y32" s="540"/>
    </row>
    <row r="33" spans="1:27" x14ac:dyDescent="0.25">
      <c r="C33" s="86"/>
      <c r="E33" s="293"/>
      <c r="F33" s="19" t="s">
        <v>1248</v>
      </c>
      <c r="G33" s="93" t="s">
        <v>107</v>
      </c>
      <c r="H33" s="274">
        <f>'General inputs'!H58</f>
        <v>0</v>
      </c>
      <c r="J33" s="273"/>
      <c r="K33" s="273"/>
      <c r="L33" s="273"/>
      <c r="M33" s="273"/>
      <c r="N33" s="273"/>
      <c r="O33" s="273"/>
      <c r="P33" s="273"/>
      <c r="Q33" s="273"/>
      <c r="R33" s="273"/>
      <c r="S33" s="273"/>
      <c r="T33" s="273"/>
      <c r="U33" s="273"/>
      <c r="V33" s="273"/>
      <c r="W33" s="273"/>
      <c r="X33" s="273"/>
      <c r="Y33" s="273"/>
    </row>
    <row r="35" spans="1:27" x14ac:dyDescent="0.25">
      <c r="C35" s="7" t="str">
        <f ca="1">INDEX('Version control'!$H$35:$H$59,MATCH($A$1,'Version control'!$F$35:$F$59,0),1)&amp;"-B: Calculation of fixed tariff adjustments"</f>
        <v>Section 518-B: Calculation of fixed tariff adjustments</v>
      </c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</row>
    <row r="36" spans="1:27" x14ac:dyDescent="0.25">
      <c r="B36" s="5"/>
      <c r="C36" s="550"/>
      <c r="D36" s="551"/>
      <c r="E36" s="5"/>
      <c r="F36" s="5"/>
      <c r="J36" s="252"/>
      <c r="K36" s="252"/>
      <c r="L36" s="252"/>
      <c r="M36" s="252"/>
      <c r="N36" s="252"/>
      <c r="O36" s="252"/>
      <c r="P36" s="252"/>
      <c r="Q36" s="252"/>
      <c r="R36" s="252"/>
      <c r="S36" s="252"/>
      <c r="T36" s="252"/>
      <c r="U36" s="252"/>
      <c r="V36" s="252"/>
      <c r="W36" s="252"/>
      <c r="X36" s="252"/>
      <c r="Y36" s="252"/>
    </row>
    <row r="37" spans="1:27" x14ac:dyDescent="0.25">
      <c r="B37" s="5"/>
      <c r="C37" s="550"/>
      <c r="D37" s="551"/>
      <c r="E37" s="555" t="s">
        <v>971</v>
      </c>
      <c r="F37" s="5"/>
      <c r="J37" s="252"/>
      <c r="K37" s="252"/>
      <c r="L37" s="252"/>
      <c r="M37" s="252"/>
      <c r="N37" s="252"/>
      <c r="O37" s="252"/>
      <c r="P37" s="252"/>
      <c r="Q37" s="252"/>
      <c r="R37" s="252"/>
      <c r="S37" s="252"/>
      <c r="T37" s="252"/>
      <c r="U37" s="252"/>
      <c r="V37" s="252"/>
      <c r="W37" s="252"/>
      <c r="X37" s="252"/>
      <c r="Y37" s="252"/>
    </row>
    <row r="38" spans="1:27" x14ac:dyDescent="0.25">
      <c r="B38" s="5"/>
      <c r="C38" s="5"/>
      <c r="D38" s="551"/>
      <c r="E38" s="551"/>
      <c r="F38" s="553" t="s">
        <v>958</v>
      </c>
      <c r="G38" s="91" t="s">
        <v>74</v>
      </c>
      <c r="H38" s="91"/>
      <c r="I38" s="91"/>
      <c r="J38" s="277">
        <f>SUM( J$20:J$23 ) * J26</f>
        <v>3046929.0177282086</v>
      </c>
      <c r="K38" s="277">
        <f t="shared" ref="K38:Y38" si="0">SUM( K$20:K$23 ) * K26</f>
        <v>0</v>
      </c>
      <c r="L38" s="277">
        <f t="shared" si="0"/>
        <v>0</v>
      </c>
      <c r="M38" s="277">
        <f t="shared" si="0"/>
        <v>0</v>
      </c>
      <c r="N38" s="277">
        <f t="shared" si="0"/>
        <v>0</v>
      </c>
      <c r="O38" s="277">
        <f t="shared" si="0"/>
        <v>0</v>
      </c>
      <c r="P38" s="277">
        <f t="shared" si="0"/>
        <v>0</v>
      </c>
      <c r="Q38" s="277">
        <f t="shared" si="0"/>
        <v>0</v>
      </c>
      <c r="R38" s="277">
        <f t="shared" si="0"/>
        <v>0</v>
      </c>
      <c r="S38" s="277">
        <f t="shared" si="0"/>
        <v>0</v>
      </c>
      <c r="T38" s="277">
        <f t="shared" si="0"/>
        <v>0</v>
      </c>
      <c r="U38" s="277">
        <f t="shared" si="0"/>
        <v>0</v>
      </c>
      <c r="V38" s="277">
        <f t="shared" si="0"/>
        <v>0</v>
      </c>
      <c r="W38" s="277">
        <f t="shared" si="0"/>
        <v>0</v>
      </c>
      <c r="X38" s="277">
        <f t="shared" si="0"/>
        <v>0</v>
      </c>
      <c r="Y38" s="277">
        <f t="shared" si="0"/>
        <v>0</v>
      </c>
    </row>
    <row r="39" spans="1:27" s="533" customFormat="1" x14ac:dyDescent="0.25">
      <c r="A39" s="293"/>
      <c r="B39" s="5"/>
      <c r="C39" s="5"/>
      <c r="D39" s="551"/>
      <c r="E39" s="551"/>
      <c r="F39" s="81" t="s">
        <v>959</v>
      </c>
      <c r="G39" s="534" t="s">
        <v>74</v>
      </c>
      <c r="H39" s="534"/>
      <c r="I39" s="534"/>
      <c r="J39" s="542">
        <f>SUM( J$20:J$23 ) * J27</f>
        <v>3046929.0177282086</v>
      </c>
      <c r="K39" s="542">
        <f t="shared" ref="K39:Y39" si="1">SUM( K$20:K$23 ) * K27</f>
        <v>0</v>
      </c>
      <c r="L39" s="542">
        <f t="shared" si="1"/>
        <v>234803.80145428391</v>
      </c>
      <c r="M39" s="542">
        <f t="shared" si="1"/>
        <v>0</v>
      </c>
      <c r="N39" s="542">
        <f t="shared" si="1"/>
        <v>23394.692448453257</v>
      </c>
      <c r="O39" s="542">
        <f t="shared" si="1"/>
        <v>308.5</v>
      </c>
      <c r="P39" s="542">
        <f t="shared" si="1"/>
        <v>1864.5277166413589</v>
      </c>
      <c r="Q39" s="542">
        <f t="shared" si="1"/>
        <v>0</v>
      </c>
      <c r="R39" s="542">
        <f t="shared" si="1"/>
        <v>0</v>
      </c>
      <c r="S39" s="542">
        <f t="shared" si="1"/>
        <v>0</v>
      </c>
      <c r="T39" s="542">
        <f t="shared" si="1"/>
        <v>0</v>
      </c>
      <c r="U39" s="542">
        <f t="shared" si="1"/>
        <v>0</v>
      </c>
      <c r="V39" s="542">
        <f t="shared" si="1"/>
        <v>0</v>
      </c>
      <c r="W39" s="542">
        <f t="shared" si="1"/>
        <v>0</v>
      </c>
      <c r="X39" s="542">
        <f t="shared" si="1"/>
        <v>0</v>
      </c>
      <c r="Y39" s="542">
        <f t="shared" si="1"/>
        <v>0</v>
      </c>
    </row>
    <row r="40" spans="1:27" x14ac:dyDescent="0.25">
      <c r="B40" s="5"/>
      <c r="C40" s="5"/>
      <c r="D40" s="551"/>
      <c r="E40" s="551"/>
      <c r="F40" s="19" t="s">
        <v>1248</v>
      </c>
      <c r="G40" s="93" t="s">
        <v>74</v>
      </c>
      <c r="H40" s="93"/>
      <c r="I40" s="93"/>
      <c r="J40" s="271">
        <f t="shared" ref="J40:Y40" si="2">SUM( J$20:J$23 ) * J28</f>
        <v>3046929.0177282086</v>
      </c>
      <c r="K40" s="271">
        <f t="shared" si="2"/>
        <v>0</v>
      </c>
      <c r="L40" s="271">
        <f t="shared" si="2"/>
        <v>234803.80145428391</v>
      </c>
      <c r="M40" s="271">
        <f t="shared" si="2"/>
        <v>0</v>
      </c>
      <c r="N40" s="271">
        <f t="shared" si="2"/>
        <v>23394.692448453257</v>
      </c>
      <c r="O40" s="271">
        <f t="shared" si="2"/>
        <v>308.5</v>
      </c>
      <c r="P40" s="271">
        <f t="shared" si="2"/>
        <v>1864.5277166413589</v>
      </c>
      <c r="Q40" s="271">
        <f t="shared" si="2"/>
        <v>0</v>
      </c>
      <c r="R40" s="271">
        <f t="shared" si="2"/>
        <v>0</v>
      </c>
      <c r="S40" s="271">
        <f t="shared" si="2"/>
        <v>0</v>
      </c>
      <c r="T40" s="271">
        <f t="shared" si="2"/>
        <v>0</v>
      </c>
      <c r="U40" s="271">
        <f t="shared" si="2"/>
        <v>0</v>
      </c>
      <c r="V40" s="271">
        <f t="shared" si="2"/>
        <v>0</v>
      </c>
      <c r="W40" s="271">
        <f t="shared" si="2"/>
        <v>0</v>
      </c>
      <c r="X40" s="271">
        <f t="shared" si="2"/>
        <v>0</v>
      </c>
      <c r="Y40" s="271">
        <f t="shared" si="2"/>
        <v>0</v>
      </c>
    </row>
    <row r="41" spans="1:27" x14ac:dyDescent="0.25">
      <c r="B41" s="5"/>
      <c r="C41" s="550"/>
      <c r="D41" s="551"/>
      <c r="E41" s="5"/>
      <c r="F41" s="5"/>
      <c r="J41" s="252"/>
      <c r="K41" s="252"/>
      <c r="L41" s="252"/>
      <c r="M41" s="252"/>
      <c r="N41" s="252"/>
      <c r="O41" s="252"/>
      <c r="P41" s="252"/>
      <c r="Q41" s="252"/>
      <c r="R41" s="252"/>
      <c r="S41" s="252"/>
      <c r="T41" s="252"/>
      <c r="U41" s="252"/>
      <c r="V41" s="252"/>
      <c r="W41" s="252"/>
      <c r="X41" s="252"/>
      <c r="Y41" s="252"/>
    </row>
    <row r="42" spans="1:27" x14ac:dyDescent="0.25">
      <c r="B42" s="5"/>
      <c r="C42" s="550"/>
      <c r="D42" s="551"/>
      <c r="E42" s="555" t="s">
        <v>972</v>
      </c>
      <c r="F42" s="5"/>
      <c r="I42" s="293" t="s">
        <v>359</v>
      </c>
      <c r="J42" s="252"/>
      <c r="K42" s="252"/>
      <c r="L42" s="252"/>
      <c r="M42" s="252"/>
      <c r="N42" s="252"/>
      <c r="O42" s="252"/>
      <c r="P42" s="252"/>
      <c r="Q42" s="252"/>
      <c r="R42" s="252"/>
      <c r="S42" s="252"/>
      <c r="T42" s="252"/>
      <c r="U42" s="252"/>
      <c r="V42" s="252"/>
      <c r="W42" s="252"/>
      <c r="X42" s="252"/>
      <c r="Y42" s="252"/>
      <c r="AA42" s="293" t="s">
        <v>994</v>
      </c>
    </row>
    <row r="43" spans="1:27" x14ac:dyDescent="0.25">
      <c r="B43" s="5"/>
      <c r="C43" s="550"/>
      <c r="D43" s="551"/>
      <c r="E43" s="5"/>
      <c r="F43" s="553" t="s">
        <v>958</v>
      </c>
      <c r="G43" s="91" t="s">
        <v>252</v>
      </c>
      <c r="H43" s="253">
        <f>H31 / SUM( J38:Y38 ) * hundred / days_in_year</f>
        <v>0.10035209209456174</v>
      </c>
      <c r="I43" s="111"/>
      <c r="J43" s="412"/>
      <c r="K43" s="412"/>
      <c r="L43" s="412"/>
      <c r="M43" s="412"/>
      <c r="N43" s="412"/>
      <c r="O43" s="412"/>
      <c r="P43" s="412"/>
      <c r="Q43" s="412"/>
      <c r="R43" s="412"/>
      <c r="S43" s="412"/>
      <c r="T43" s="412"/>
      <c r="U43" s="412"/>
      <c r="V43" s="412"/>
      <c r="W43" s="412"/>
      <c r="X43" s="412"/>
      <c r="Y43" s="412"/>
    </row>
    <row r="44" spans="1:27" s="533" customFormat="1" x14ac:dyDescent="0.25">
      <c r="A44" s="293"/>
      <c r="B44" s="5"/>
      <c r="C44" s="550"/>
      <c r="D44" s="551"/>
      <c r="E44" s="5"/>
      <c r="F44" s="81" t="s">
        <v>959</v>
      </c>
      <c r="G44" s="534" t="s">
        <v>252</v>
      </c>
      <c r="H44" s="545">
        <f>H32 / SUM( J39:Y39 ) * hundred / days_in_year</f>
        <v>0.16438117795441043</v>
      </c>
      <c r="I44" s="543"/>
      <c r="J44" s="544"/>
      <c r="K44" s="544"/>
      <c r="L44" s="544"/>
      <c r="M44" s="544"/>
      <c r="N44" s="544"/>
      <c r="O44" s="544"/>
      <c r="P44" s="544"/>
      <c r="Q44" s="544"/>
      <c r="R44" s="544"/>
      <c r="S44" s="544"/>
      <c r="T44" s="544"/>
      <c r="U44" s="544"/>
      <c r="V44" s="544"/>
      <c r="W44" s="544"/>
      <c r="X44" s="544"/>
      <c r="Y44" s="544"/>
    </row>
    <row r="45" spans="1:27" x14ac:dyDescent="0.25">
      <c r="B45" s="5"/>
      <c r="C45" s="550"/>
      <c r="D45" s="551"/>
      <c r="E45" s="5"/>
      <c r="F45" s="19" t="s">
        <v>1248</v>
      </c>
      <c r="G45" s="93" t="s">
        <v>252</v>
      </c>
      <c r="H45" s="248">
        <f>H33 / SUM( J40:Y40 ) * hundred / days_in_year</f>
        <v>0</v>
      </c>
      <c r="I45" s="111"/>
      <c r="J45" s="412"/>
      <c r="K45" s="412"/>
      <c r="L45" s="412"/>
      <c r="M45" s="412"/>
      <c r="N45" s="412"/>
      <c r="O45" s="412"/>
      <c r="P45" s="412"/>
      <c r="Q45" s="412"/>
      <c r="R45" s="412"/>
      <c r="S45" s="412"/>
      <c r="T45" s="412"/>
      <c r="U45" s="412"/>
      <c r="V45" s="412"/>
      <c r="W45" s="412"/>
      <c r="X45" s="412"/>
      <c r="Y45" s="412"/>
    </row>
    <row r="46" spans="1:27" x14ac:dyDescent="0.25">
      <c r="B46" s="5"/>
      <c r="C46" s="550"/>
      <c r="D46" s="551"/>
      <c r="E46" s="5"/>
      <c r="F46" s="5"/>
      <c r="H46" s="111"/>
      <c r="I46" s="111"/>
      <c r="J46" s="237"/>
      <c r="K46" s="237"/>
      <c r="L46" s="237"/>
      <c r="M46" s="237"/>
      <c r="N46" s="237"/>
      <c r="O46" s="237"/>
      <c r="P46" s="237"/>
      <c r="Q46" s="237"/>
      <c r="R46" s="237"/>
      <c r="S46" s="237"/>
      <c r="T46" s="237"/>
      <c r="U46" s="237"/>
      <c r="V46" s="237"/>
      <c r="W46" s="237"/>
      <c r="X46" s="237"/>
      <c r="Y46" s="237"/>
    </row>
    <row r="47" spans="1:27" x14ac:dyDescent="0.25">
      <c r="B47" s="5"/>
      <c r="C47" s="550"/>
      <c r="D47" s="551"/>
      <c r="E47" s="555" t="s">
        <v>973</v>
      </c>
      <c r="F47" s="5"/>
      <c r="H47" s="111"/>
      <c r="I47" s="111"/>
      <c r="J47" s="237"/>
      <c r="K47" s="237"/>
      <c r="L47" s="237"/>
      <c r="M47" s="237"/>
      <c r="N47" s="237"/>
      <c r="O47" s="237"/>
      <c r="P47" s="237"/>
      <c r="Q47" s="237"/>
      <c r="R47" s="237"/>
      <c r="S47" s="237"/>
      <c r="T47" s="237"/>
      <c r="U47" s="237"/>
      <c r="V47" s="237"/>
      <c r="W47" s="237"/>
      <c r="X47" s="237"/>
      <c r="Y47" s="237"/>
    </row>
    <row r="48" spans="1:27" x14ac:dyDescent="0.25">
      <c r="B48" s="5"/>
      <c r="C48" s="550"/>
      <c r="D48" s="551"/>
      <c r="E48" s="5"/>
      <c r="F48" s="553" t="s">
        <v>958</v>
      </c>
      <c r="G48" s="91" t="s">
        <v>252</v>
      </c>
      <c r="H48" s="253"/>
      <c r="I48" s="253"/>
      <c r="J48" s="253">
        <f>IF( J26 = 1, $H43, 0)</f>
        <v>0.10035209209456174</v>
      </c>
      <c r="K48" s="253">
        <f t="shared" ref="K48:Y48" si="3">IF( K26 = 1, $H43, 0)</f>
        <v>0</v>
      </c>
      <c r="L48" s="253">
        <f t="shared" si="3"/>
        <v>0</v>
      </c>
      <c r="M48" s="253">
        <f t="shared" si="3"/>
        <v>0</v>
      </c>
      <c r="N48" s="253">
        <f t="shared" si="3"/>
        <v>0</v>
      </c>
      <c r="O48" s="253">
        <f t="shared" si="3"/>
        <v>0</v>
      </c>
      <c r="P48" s="253">
        <f t="shared" si="3"/>
        <v>0</v>
      </c>
      <c r="Q48" s="253">
        <f t="shared" si="3"/>
        <v>0</v>
      </c>
      <c r="R48" s="253">
        <f t="shared" si="3"/>
        <v>0</v>
      </c>
      <c r="S48" s="253">
        <f t="shared" si="3"/>
        <v>0</v>
      </c>
      <c r="T48" s="253">
        <f t="shared" si="3"/>
        <v>0</v>
      </c>
      <c r="U48" s="253">
        <f t="shared" si="3"/>
        <v>0</v>
      </c>
      <c r="V48" s="253">
        <f t="shared" si="3"/>
        <v>0</v>
      </c>
      <c r="W48" s="253">
        <f t="shared" si="3"/>
        <v>0</v>
      </c>
      <c r="X48" s="253">
        <f t="shared" si="3"/>
        <v>0</v>
      </c>
      <c r="Y48" s="253">
        <f t="shared" si="3"/>
        <v>0</v>
      </c>
    </row>
    <row r="49" spans="1:27" s="533" customFormat="1" x14ac:dyDescent="0.25">
      <c r="A49" s="293"/>
      <c r="B49" s="5"/>
      <c r="C49" s="550"/>
      <c r="D49" s="551"/>
      <c r="E49" s="5"/>
      <c r="F49" s="81" t="s">
        <v>959</v>
      </c>
      <c r="G49" s="534" t="s">
        <v>252</v>
      </c>
      <c r="H49" s="545"/>
      <c r="I49" s="545"/>
      <c r="J49" s="545">
        <f>IF( J27 = 1, $H44, 0)</f>
        <v>0.16438117795441043</v>
      </c>
      <c r="K49" s="545">
        <f t="shared" ref="K49:Y49" si="4">IF( K27 = 1, $H44, 0)</f>
        <v>0</v>
      </c>
      <c r="L49" s="545">
        <f t="shared" si="4"/>
        <v>0.16438117795441043</v>
      </c>
      <c r="M49" s="545">
        <f t="shared" si="4"/>
        <v>0</v>
      </c>
      <c r="N49" s="545">
        <f t="shared" si="4"/>
        <v>0.16438117795441043</v>
      </c>
      <c r="O49" s="545">
        <f t="shared" si="4"/>
        <v>0.16438117795441043</v>
      </c>
      <c r="P49" s="545">
        <f t="shared" si="4"/>
        <v>0.16438117795441043</v>
      </c>
      <c r="Q49" s="545">
        <f t="shared" si="4"/>
        <v>0</v>
      </c>
      <c r="R49" s="545">
        <f t="shared" si="4"/>
        <v>0</v>
      </c>
      <c r="S49" s="545">
        <f t="shared" si="4"/>
        <v>0</v>
      </c>
      <c r="T49" s="545">
        <f t="shared" si="4"/>
        <v>0</v>
      </c>
      <c r="U49" s="545">
        <f t="shared" si="4"/>
        <v>0</v>
      </c>
      <c r="V49" s="545">
        <f t="shared" si="4"/>
        <v>0</v>
      </c>
      <c r="W49" s="545">
        <f t="shared" si="4"/>
        <v>0</v>
      </c>
      <c r="X49" s="545">
        <f t="shared" si="4"/>
        <v>0</v>
      </c>
      <c r="Y49" s="545">
        <f t="shared" si="4"/>
        <v>0</v>
      </c>
    </row>
    <row r="50" spans="1:27" x14ac:dyDescent="0.25">
      <c r="B50" s="5"/>
      <c r="C50" s="550"/>
      <c r="D50" s="551"/>
      <c r="E50" s="5"/>
      <c r="F50" s="19" t="s">
        <v>1248</v>
      </c>
      <c r="G50" s="93" t="s">
        <v>252</v>
      </c>
      <c r="H50" s="248"/>
      <c r="I50" s="248"/>
      <c r="J50" s="248">
        <f t="shared" ref="J50:Y50" si="5">IF( J28 = 1, $H45, 0)</f>
        <v>0</v>
      </c>
      <c r="K50" s="248">
        <f t="shared" si="5"/>
        <v>0</v>
      </c>
      <c r="L50" s="248">
        <f t="shared" si="5"/>
        <v>0</v>
      </c>
      <c r="M50" s="248">
        <f t="shared" si="5"/>
        <v>0</v>
      </c>
      <c r="N50" s="248">
        <f t="shared" si="5"/>
        <v>0</v>
      </c>
      <c r="O50" s="248">
        <f t="shared" si="5"/>
        <v>0</v>
      </c>
      <c r="P50" s="248">
        <f t="shared" si="5"/>
        <v>0</v>
      </c>
      <c r="Q50" s="248">
        <f t="shared" si="5"/>
        <v>0</v>
      </c>
      <c r="R50" s="248">
        <f t="shared" si="5"/>
        <v>0</v>
      </c>
      <c r="S50" s="248">
        <f t="shared" si="5"/>
        <v>0</v>
      </c>
      <c r="T50" s="248">
        <f t="shared" si="5"/>
        <v>0</v>
      </c>
      <c r="U50" s="248">
        <f t="shared" si="5"/>
        <v>0</v>
      </c>
      <c r="V50" s="248">
        <f t="shared" si="5"/>
        <v>0</v>
      </c>
      <c r="W50" s="248">
        <f t="shared" si="5"/>
        <v>0</v>
      </c>
      <c r="X50" s="248">
        <f t="shared" si="5"/>
        <v>0</v>
      </c>
      <c r="Y50" s="248">
        <f t="shared" si="5"/>
        <v>0</v>
      </c>
    </row>
    <row r="51" spans="1:27" s="533" customFormat="1" x14ac:dyDescent="0.25">
      <c r="A51" s="293"/>
      <c r="B51" s="5"/>
      <c r="C51" s="550"/>
      <c r="D51" s="551"/>
      <c r="E51" s="5"/>
      <c r="F51" s="554" t="s">
        <v>215</v>
      </c>
      <c r="G51" s="546" t="s">
        <v>252</v>
      </c>
      <c r="H51" s="547"/>
      <c r="I51" s="547"/>
      <c r="J51" s="556">
        <f xml:space="preserve"> J48 + J50 + J49</f>
        <v>0.26473327004897218</v>
      </c>
      <c r="K51" s="556">
        <f t="shared" ref="K51:Y51" si="6" xml:space="preserve"> K48 + K50 + K49</f>
        <v>0</v>
      </c>
      <c r="L51" s="556">
        <f t="shared" si="6"/>
        <v>0.16438117795441043</v>
      </c>
      <c r="M51" s="556">
        <f t="shared" si="6"/>
        <v>0</v>
      </c>
      <c r="N51" s="556">
        <f t="shared" si="6"/>
        <v>0.16438117795441043</v>
      </c>
      <c r="O51" s="556">
        <f t="shared" si="6"/>
        <v>0.16438117795441043</v>
      </c>
      <c r="P51" s="556">
        <f t="shared" si="6"/>
        <v>0.16438117795441043</v>
      </c>
      <c r="Q51" s="556">
        <f t="shared" si="6"/>
        <v>0</v>
      </c>
      <c r="R51" s="556">
        <f t="shared" si="6"/>
        <v>0</v>
      </c>
      <c r="S51" s="556">
        <f t="shared" si="6"/>
        <v>0</v>
      </c>
      <c r="T51" s="556">
        <f t="shared" si="6"/>
        <v>0</v>
      </c>
      <c r="U51" s="556">
        <f t="shared" si="6"/>
        <v>0</v>
      </c>
      <c r="V51" s="556">
        <f t="shared" si="6"/>
        <v>0</v>
      </c>
      <c r="W51" s="556">
        <f t="shared" si="6"/>
        <v>0</v>
      </c>
      <c r="X51" s="556">
        <f t="shared" si="6"/>
        <v>0</v>
      </c>
      <c r="Y51" s="556">
        <f t="shared" si="6"/>
        <v>0</v>
      </c>
    </row>
    <row r="52" spans="1:27" x14ac:dyDescent="0.25">
      <c r="C52" s="86"/>
      <c r="H52" s="111"/>
      <c r="I52" s="111"/>
      <c r="J52" s="111"/>
      <c r="K52" s="111"/>
      <c r="L52" s="111"/>
      <c r="M52" s="111"/>
      <c r="N52" s="111"/>
      <c r="O52" s="111"/>
      <c r="P52" s="111"/>
      <c r="Q52" s="111"/>
      <c r="R52" s="111"/>
      <c r="S52" s="111"/>
      <c r="T52" s="111"/>
      <c r="U52" s="111"/>
      <c r="V52" s="111"/>
      <c r="W52" s="111"/>
      <c r="X52" s="111"/>
      <c r="Y52" s="111"/>
    </row>
    <row r="53" spans="1:27" x14ac:dyDescent="0.25">
      <c r="C53" s="7" t="str">
        <f ca="1">INDEX('Version control'!$H$35:$H$59,MATCH($A$1,'Version control'!$F$35:$F$59,0),1)&amp;"-C: Calculation of fixed charge adder revenue"</f>
        <v>Section 518-C: Calculation of fixed charge adder revenue</v>
      </c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  <c r="AA53" s="7"/>
    </row>
    <row r="54" spans="1:27" x14ac:dyDescent="0.25">
      <c r="C54" s="86"/>
      <c r="E54" s="293"/>
      <c r="J54" s="252"/>
      <c r="K54" s="252"/>
      <c r="L54" s="252"/>
      <c r="M54" s="252"/>
      <c r="N54" s="252"/>
      <c r="O54" s="252"/>
      <c r="P54" s="252"/>
      <c r="Q54" s="252"/>
      <c r="R54" s="252"/>
      <c r="S54" s="252"/>
      <c r="T54" s="252"/>
      <c r="U54" s="252"/>
      <c r="V54" s="252"/>
      <c r="W54" s="252"/>
      <c r="X54" s="252"/>
      <c r="Y54" s="252"/>
    </row>
    <row r="55" spans="1:27" x14ac:dyDescent="0.25">
      <c r="E55" s="293" t="s">
        <v>974</v>
      </c>
      <c r="G55" s="122" t="s">
        <v>107</v>
      </c>
      <c r="H55" s="425"/>
      <c r="I55" s="111"/>
      <c r="J55" s="425">
        <f t="shared" ref="J55:Y55" si="7">J51 / hundred * days_in_year * SUM( J20:J22 )</f>
        <v>2952241.9458412668</v>
      </c>
      <c r="K55" s="425">
        <f t="shared" si="7"/>
        <v>0</v>
      </c>
      <c r="L55" s="425">
        <f t="shared" si="7"/>
        <v>141266.21122469704</v>
      </c>
      <c r="M55" s="425">
        <f t="shared" si="7"/>
        <v>0</v>
      </c>
      <c r="N55" s="425">
        <f t="shared" si="7"/>
        <v>14072.060219805337</v>
      </c>
      <c r="O55" s="425">
        <f t="shared" si="7"/>
        <v>185.60443184010435</v>
      </c>
      <c r="P55" s="425">
        <f t="shared" si="7"/>
        <v>1111.5375434556393</v>
      </c>
      <c r="Q55" s="425">
        <f t="shared" si="7"/>
        <v>0</v>
      </c>
      <c r="R55" s="425">
        <f t="shared" si="7"/>
        <v>0</v>
      </c>
      <c r="S55" s="425">
        <f t="shared" si="7"/>
        <v>0</v>
      </c>
      <c r="T55" s="425">
        <f t="shared" si="7"/>
        <v>0</v>
      </c>
      <c r="U55" s="425">
        <f t="shared" si="7"/>
        <v>0</v>
      </c>
      <c r="V55" s="425">
        <f t="shared" si="7"/>
        <v>0</v>
      </c>
      <c r="W55" s="425">
        <f t="shared" si="7"/>
        <v>0</v>
      </c>
      <c r="X55" s="425">
        <f t="shared" si="7"/>
        <v>0</v>
      </c>
      <c r="Y55" s="425">
        <f t="shared" si="7"/>
        <v>0</v>
      </c>
    </row>
    <row r="56" spans="1:27" x14ac:dyDescent="0.25">
      <c r="H56" s="111"/>
      <c r="I56" s="111"/>
      <c r="J56" s="111"/>
      <c r="K56" s="111"/>
      <c r="L56" s="111"/>
      <c r="M56" s="111"/>
      <c r="N56" s="111"/>
      <c r="O56" s="111"/>
      <c r="P56" s="111"/>
      <c r="Q56" s="111"/>
      <c r="R56" s="111"/>
      <c r="S56" s="111"/>
      <c r="T56" s="111"/>
      <c r="U56" s="111"/>
      <c r="V56" s="111"/>
      <c r="W56" s="111"/>
      <c r="X56" s="111"/>
      <c r="Y56" s="111"/>
    </row>
    <row r="57" spans="1:27" x14ac:dyDescent="0.25">
      <c r="E57" s="293" t="s">
        <v>975</v>
      </c>
      <c r="G57" s="122" t="s">
        <v>107</v>
      </c>
      <c r="H57" s="233">
        <f>SUM( J55:Y55 )</f>
        <v>3108877.3592610648</v>
      </c>
      <c r="I57" s="111"/>
      <c r="J57" s="111"/>
      <c r="K57" s="111"/>
      <c r="L57" s="111"/>
      <c r="M57" s="111"/>
      <c r="N57" s="111"/>
      <c r="O57" s="111"/>
      <c r="P57" s="111"/>
      <c r="Q57" s="111"/>
      <c r="R57" s="111"/>
      <c r="S57" s="111"/>
      <c r="T57" s="111"/>
      <c r="U57" s="111"/>
      <c r="V57" s="111"/>
      <c r="W57" s="111"/>
      <c r="X57" s="111"/>
      <c r="Y57" s="111"/>
    </row>
    <row r="58" spans="1:27" x14ac:dyDescent="0.25">
      <c r="H58" s="111"/>
      <c r="I58" s="111"/>
      <c r="J58" s="111"/>
      <c r="K58" s="111"/>
      <c r="L58" s="111"/>
      <c r="M58" s="111"/>
      <c r="N58" s="111"/>
      <c r="O58" s="111"/>
      <c r="P58" s="111"/>
      <c r="Q58" s="111"/>
      <c r="R58" s="111"/>
      <c r="S58" s="111"/>
      <c r="T58" s="111"/>
      <c r="U58" s="111"/>
      <c r="V58" s="111"/>
      <c r="W58" s="111"/>
      <c r="X58" s="111"/>
      <c r="Y58" s="111"/>
    </row>
    <row r="59" spans="1:27" x14ac:dyDescent="0.25">
      <c r="E59" s="293" t="s">
        <v>976</v>
      </c>
      <c r="G59" s="122" t="s">
        <v>107</v>
      </c>
      <c r="H59" s="425"/>
      <c r="I59" s="111"/>
      <c r="J59" s="425">
        <f t="shared" ref="J59:Y59" si="8">J51 / hundred * days_in_year * J23</f>
        <v>0</v>
      </c>
      <c r="K59" s="425">
        <f t="shared" si="8"/>
        <v>0</v>
      </c>
      <c r="L59" s="425">
        <f t="shared" si="8"/>
        <v>0</v>
      </c>
      <c r="M59" s="425">
        <f t="shared" si="8"/>
        <v>0</v>
      </c>
      <c r="N59" s="425">
        <f t="shared" si="8"/>
        <v>3.0081755565657109</v>
      </c>
      <c r="O59" s="425">
        <f t="shared" si="8"/>
        <v>0</v>
      </c>
      <c r="P59" s="425">
        <f t="shared" si="8"/>
        <v>10.227796892323417</v>
      </c>
      <c r="Q59" s="425">
        <f t="shared" si="8"/>
        <v>0</v>
      </c>
      <c r="R59" s="425">
        <f t="shared" si="8"/>
        <v>0</v>
      </c>
      <c r="S59" s="425">
        <f t="shared" si="8"/>
        <v>0</v>
      </c>
      <c r="T59" s="425">
        <f t="shared" si="8"/>
        <v>0</v>
      </c>
      <c r="U59" s="425">
        <f t="shared" si="8"/>
        <v>0</v>
      </c>
      <c r="V59" s="425">
        <f t="shared" si="8"/>
        <v>0</v>
      </c>
      <c r="W59" s="425">
        <f t="shared" si="8"/>
        <v>0</v>
      </c>
      <c r="X59" s="425">
        <f t="shared" si="8"/>
        <v>0</v>
      </c>
      <c r="Y59" s="425">
        <f t="shared" si="8"/>
        <v>0</v>
      </c>
    </row>
    <row r="60" spans="1:27" x14ac:dyDescent="0.25">
      <c r="H60" s="111"/>
      <c r="I60" s="111"/>
      <c r="J60" s="111"/>
      <c r="K60" s="111"/>
      <c r="L60" s="111"/>
      <c r="M60" s="111"/>
      <c r="N60" s="111"/>
      <c r="O60" s="111"/>
      <c r="P60" s="111"/>
      <c r="Q60" s="111"/>
      <c r="R60" s="111"/>
      <c r="S60" s="111"/>
      <c r="T60" s="111"/>
      <c r="U60" s="111"/>
      <c r="V60" s="111"/>
      <c r="W60" s="111"/>
      <c r="X60" s="111"/>
      <c r="Y60" s="111"/>
    </row>
    <row r="61" spans="1:27" x14ac:dyDescent="0.25">
      <c r="E61" s="293" t="s">
        <v>977</v>
      </c>
      <c r="G61" s="122" t="s">
        <v>107</v>
      </c>
      <c r="H61" s="233">
        <f>SUM( J59:Y59 )</f>
        <v>13.235972448889127</v>
      </c>
      <c r="I61" s="111"/>
      <c r="J61" s="111"/>
      <c r="K61" s="111"/>
      <c r="L61" s="111"/>
      <c r="M61" s="111"/>
      <c r="N61" s="111"/>
      <c r="O61" s="111"/>
      <c r="P61" s="111"/>
      <c r="Q61" s="111"/>
      <c r="R61" s="111"/>
      <c r="S61" s="111"/>
      <c r="T61" s="111"/>
      <c r="U61" s="111"/>
      <c r="V61" s="111"/>
      <c r="W61" s="111"/>
      <c r="X61" s="111"/>
      <c r="Y61" s="111"/>
    </row>
    <row r="62" spans="1:27" x14ac:dyDescent="0.25">
      <c r="H62" s="111"/>
      <c r="I62" s="111"/>
      <c r="J62" s="111"/>
      <c r="K62" s="111"/>
      <c r="L62" s="111"/>
      <c r="M62" s="111"/>
      <c r="N62" s="111"/>
      <c r="O62" s="111"/>
      <c r="P62" s="111"/>
      <c r="Q62" s="111"/>
      <c r="R62" s="111"/>
      <c r="S62" s="111"/>
      <c r="T62" s="111"/>
      <c r="U62" s="111"/>
      <c r="V62" s="111"/>
      <c r="W62" s="111"/>
      <c r="X62" s="111"/>
      <c r="Y62" s="111"/>
    </row>
    <row r="63" spans="1:27" x14ac:dyDescent="0.25">
      <c r="B63" s="95" t="s">
        <v>109</v>
      </c>
      <c r="C63" s="95"/>
      <c r="D63" s="95"/>
      <c r="E63" s="95"/>
      <c r="F63" s="95"/>
      <c r="G63" s="95"/>
      <c r="H63" s="160"/>
      <c r="I63" s="160"/>
      <c r="J63" s="160"/>
      <c r="K63" s="160"/>
      <c r="L63" s="160"/>
      <c r="M63" s="160"/>
      <c r="N63" s="160"/>
      <c r="O63" s="160"/>
      <c r="P63" s="160"/>
      <c r="Q63" s="160"/>
      <c r="R63" s="160"/>
      <c r="S63" s="160"/>
      <c r="T63" s="160"/>
      <c r="U63" s="160"/>
      <c r="V63" s="160"/>
      <c r="W63" s="160"/>
      <c r="X63" s="160"/>
      <c r="Y63" s="160"/>
      <c r="Z63" s="95"/>
      <c r="AA63" s="95"/>
    </row>
    <row r="64" spans="1:27" x14ac:dyDescent="0.25">
      <c r="H64" s="111"/>
      <c r="I64" s="111"/>
      <c r="J64" s="111"/>
      <c r="K64" s="111"/>
      <c r="L64" s="111"/>
      <c r="M64" s="111"/>
      <c r="N64" s="111"/>
      <c r="O64" s="111"/>
      <c r="P64" s="111"/>
      <c r="Q64" s="111"/>
      <c r="R64" s="111"/>
      <c r="S64" s="111"/>
      <c r="T64" s="111"/>
      <c r="U64" s="111"/>
      <c r="V64" s="111"/>
      <c r="W64" s="111"/>
      <c r="X64" s="111"/>
      <c r="Y64" s="111"/>
    </row>
    <row r="65" spans="2:27" x14ac:dyDescent="0.25">
      <c r="E65" s="293" t="s">
        <v>978</v>
      </c>
      <c r="G65" s="122" t="s">
        <v>107</v>
      </c>
      <c r="H65" s="425"/>
      <c r="I65" s="111"/>
      <c r="J65" s="425">
        <f xml:space="preserve"> J55 + J59</f>
        <v>2952241.9458412668</v>
      </c>
      <c r="K65" s="425">
        <f t="shared" ref="K65:Y65" si="9" xml:space="preserve"> K55 + K59</f>
        <v>0</v>
      </c>
      <c r="L65" s="425">
        <f t="shared" si="9"/>
        <v>141266.21122469704</v>
      </c>
      <c r="M65" s="425">
        <f t="shared" si="9"/>
        <v>0</v>
      </c>
      <c r="N65" s="425">
        <f t="shared" si="9"/>
        <v>14075.068395361903</v>
      </c>
      <c r="O65" s="425">
        <f t="shared" si="9"/>
        <v>185.60443184010435</v>
      </c>
      <c r="P65" s="425">
        <f t="shared" si="9"/>
        <v>1121.7653403479626</v>
      </c>
      <c r="Q65" s="425">
        <f t="shared" si="9"/>
        <v>0</v>
      </c>
      <c r="R65" s="425">
        <f t="shared" si="9"/>
        <v>0</v>
      </c>
      <c r="S65" s="425">
        <f t="shared" si="9"/>
        <v>0</v>
      </c>
      <c r="T65" s="425">
        <f t="shared" si="9"/>
        <v>0</v>
      </c>
      <c r="U65" s="425">
        <f t="shared" si="9"/>
        <v>0</v>
      </c>
      <c r="V65" s="425">
        <f t="shared" si="9"/>
        <v>0</v>
      </c>
      <c r="W65" s="425">
        <f t="shared" si="9"/>
        <v>0</v>
      </c>
      <c r="X65" s="425">
        <f t="shared" si="9"/>
        <v>0</v>
      </c>
      <c r="Y65" s="425">
        <f t="shared" si="9"/>
        <v>0</v>
      </c>
    </row>
    <row r="66" spans="2:27" x14ac:dyDescent="0.25">
      <c r="H66" s="111"/>
      <c r="I66" s="111"/>
      <c r="J66" s="111"/>
      <c r="K66" s="111"/>
      <c r="L66" s="111"/>
      <c r="M66" s="111"/>
      <c r="N66" s="111"/>
      <c r="O66" s="111"/>
      <c r="P66" s="111"/>
      <c r="Q66" s="111"/>
      <c r="R66" s="111"/>
      <c r="S66" s="111"/>
      <c r="T66" s="111"/>
      <c r="U66" s="111"/>
      <c r="V66" s="111"/>
      <c r="W66" s="111"/>
      <c r="X66" s="111"/>
      <c r="Y66" s="111"/>
    </row>
    <row r="67" spans="2:27" x14ac:dyDescent="0.25">
      <c r="E67" s="293" t="s">
        <v>979</v>
      </c>
      <c r="G67" s="122" t="s">
        <v>107</v>
      </c>
      <c r="H67" s="252">
        <f>SUM( J65:Y65 )</f>
        <v>3108890.5952335135</v>
      </c>
      <c r="I67" s="111"/>
      <c r="J67" s="111"/>
      <c r="K67" s="111"/>
      <c r="L67" s="111"/>
      <c r="M67" s="111"/>
      <c r="N67" s="111"/>
      <c r="O67" s="111"/>
      <c r="P67" s="111"/>
      <c r="Q67" s="111"/>
      <c r="R67" s="111"/>
      <c r="S67" s="111"/>
      <c r="T67" s="111"/>
      <c r="U67" s="111"/>
      <c r="V67" s="111"/>
      <c r="W67" s="111"/>
      <c r="X67" s="111"/>
      <c r="Y67" s="111"/>
    </row>
    <row r="68" spans="2:27" x14ac:dyDescent="0.25">
      <c r="H68" s="111"/>
      <c r="I68" s="111"/>
      <c r="J68" s="111"/>
      <c r="K68" s="111"/>
      <c r="L68" s="111"/>
      <c r="M68" s="111"/>
      <c r="N68" s="111"/>
      <c r="O68" s="111"/>
      <c r="P68" s="111"/>
      <c r="Q68" s="111"/>
      <c r="R68" s="111"/>
      <c r="S68" s="111"/>
      <c r="T68" s="111"/>
      <c r="U68" s="111"/>
      <c r="V68" s="111"/>
      <c r="W68" s="111"/>
      <c r="X68" s="111"/>
      <c r="Y68" s="111"/>
    </row>
    <row r="69" spans="2:27" x14ac:dyDescent="0.25">
      <c r="E69" s="5" t="s">
        <v>980</v>
      </c>
      <c r="G69" s="122" t="s">
        <v>588</v>
      </c>
      <c r="H69" s="415">
        <f>IF( ABS( IFERROR( H67, 0 ) - ( H31 + H32 + H33 ) ) &lt; 10^-check_decimals, 0, 1)</f>
        <v>0</v>
      </c>
      <c r="I69" s="111"/>
      <c r="J69" s="111"/>
      <c r="K69" s="111"/>
      <c r="L69" s="111"/>
      <c r="M69" s="111"/>
      <c r="N69" s="111"/>
      <c r="O69" s="111"/>
      <c r="P69" s="111"/>
      <c r="Q69" s="111"/>
      <c r="R69" s="111"/>
      <c r="S69" s="111"/>
      <c r="T69" s="111"/>
      <c r="U69" s="111"/>
      <c r="V69" s="111"/>
      <c r="W69" s="111"/>
      <c r="X69" s="111"/>
      <c r="Y69" s="111"/>
    </row>
    <row r="70" spans="2:27" x14ac:dyDescent="0.25">
      <c r="H70" s="111"/>
      <c r="I70" s="111"/>
      <c r="J70" s="111"/>
      <c r="K70" s="111"/>
      <c r="L70" s="111"/>
      <c r="M70" s="111"/>
      <c r="N70" s="111"/>
      <c r="O70" s="111"/>
      <c r="P70" s="111"/>
      <c r="Q70" s="111"/>
      <c r="R70" s="111"/>
      <c r="S70" s="111"/>
      <c r="T70" s="111"/>
      <c r="U70" s="111"/>
      <c r="V70" s="111"/>
      <c r="W70" s="111"/>
      <c r="X70" s="111"/>
      <c r="Y70" s="111"/>
    </row>
    <row r="71" spans="2:27" x14ac:dyDescent="0.25">
      <c r="E71" s="293" t="s">
        <v>415</v>
      </c>
      <c r="G71" s="122" t="s">
        <v>588</v>
      </c>
      <c r="H71" s="310" cm="1">
        <f t="array" ref="H71">SUM( IF( ISERROR( H20:Y62 ), 1 )) + H69</f>
        <v>0</v>
      </c>
      <c r="I71" s="111"/>
      <c r="J71" s="111"/>
      <c r="K71" s="111"/>
      <c r="L71" s="111"/>
      <c r="M71" s="111"/>
      <c r="N71" s="111"/>
      <c r="O71" s="111"/>
      <c r="P71" s="111"/>
      <c r="Q71" s="111"/>
      <c r="R71" s="111"/>
      <c r="S71" s="111"/>
      <c r="T71" s="111"/>
      <c r="U71" s="111"/>
      <c r="V71" s="111"/>
      <c r="W71" s="111"/>
      <c r="X71" s="111"/>
      <c r="Y71" s="111"/>
    </row>
    <row r="72" spans="2:27" x14ac:dyDescent="0.25">
      <c r="H72" s="111"/>
      <c r="I72" s="111"/>
      <c r="J72" s="111"/>
      <c r="K72" s="111"/>
      <c r="L72" s="111"/>
      <c r="M72" s="111"/>
      <c r="N72" s="111"/>
      <c r="O72" s="111"/>
      <c r="P72" s="111"/>
      <c r="Q72" s="111"/>
      <c r="R72" s="111"/>
      <c r="S72" s="111"/>
      <c r="T72" s="111"/>
      <c r="U72" s="111"/>
      <c r="V72" s="111"/>
      <c r="W72" s="111"/>
      <c r="X72" s="111"/>
      <c r="Y72" s="111"/>
    </row>
    <row r="73" spans="2:27" x14ac:dyDescent="0.25">
      <c r="B73" s="95" t="s">
        <v>110</v>
      </c>
      <c r="C73" s="95"/>
      <c r="D73" s="95"/>
      <c r="E73" s="95"/>
      <c r="F73" s="95"/>
      <c r="G73" s="95"/>
      <c r="H73" s="160"/>
      <c r="I73" s="160"/>
      <c r="J73" s="160"/>
      <c r="K73" s="160"/>
      <c r="L73" s="160"/>
      <c r="M73" s="160"/>
      <c r="N73" s="160"/>
      <c r="O73" s="160"/>
      <c r="P73" s="160"/>
      <c r="Q73" s="160"/>
      <c r="R73" s="160"/>
      <c r="S73" s="160"/>
      <c r="T73" s="160"/>
      <c r="U73" s="160"/>
      <c r="V73" s="160"/>
      <c r="W73" s="160"/>
      <c r="X73" s="160"/>
      <c r="Y73" s="160"/>
      <c r="Z73" s="95"/>
      <c r="AA73" s="95"/>
    </row>
  </sheetData>
  <sheetProtection sheet="1" objects="1" formatCells="0" formatColumns="0" formatRows="0" sort="0" autoFilter="0"/>
  <phoneticPr fontId="39" type="noConversion"/>
  <conditionalFormatting sqref="A4:XFD4">
    <cfRule type="expression" dxfId="39" priority="3">
      <formula>LEFT($A$4,1) &lt;&gt; "0"</formula>
    </cfRule>
  </conditionalFormatting>
  <conditionalFormatting sqref="H69">
    <cfRule type="cellIs" dxfId="38" priority="2" operator="greaterThan">
      <formula>0</formula>
    </cfRule>
  </conditionalFormatting>
  <conditionalFormatting sqref="H71">
    <cfRule type="cellIs" dxfId="37" priority="1" operator="greaterThan">
      <formula>0</formula>
    </cfRule>
  </conditionalFormatting>
  <hyperlinks>
    <hyperlink ref="B5:F5" location="'Model map'!A1" display="Click here to return to model map" xr:uid="{E70D2552-F21C-4655-A0FD-3C39F9102C57}"/>
  </hyperlinks>
  <pageMargins left="0.7" right="0.7" top="0.75" bottom="0.75" header="0.3" footer="0.3"/>
  <pageSetup paperSize="9" scale="32" fitToHeight="0" orientation="portrait" r:id="rId1"/>
  <headerFooter>
    <oddHeader>&amp;L&amp;A&amp;C&amp;R&amp;P of &amp;N</oddHeader>
    <oddFooter>&amp;F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662EF4-4B85-49C9-9EE0-B9A584C1C1E8}">
  <sheetPr codeName="Sheet57">
    <tabColor theme="4" tint="0.59999389629810485"/>
    <pageSetUpPr fitToPage="1"/>
  </sheetPr>
  <dimension ref="A1:PM435"/>
  <sheetViews>
    <sheetView showGridLines="0" zoomScale="80" zoomScaleNormal="80" zoomScaleSheetLayoutView="80" workbookViewId="0">
      <pane xSplit="9" ySplit="5" topLeftCell="J6" activePane="bottomRight" state="frozen"/>
      <selection pane="topRight"/>
      <selection pane="bottomLeft"/>
      <selection pane="bottomRight"/>
    </sheetView>
  </sheetViews>
  <sheetFormatPr defaultColWidth="0" defaultRowHeight="15" x14ac:dyDescent="0.25"/>
  <cols>
    <col min="1" max="3" width="2.5703125" style="293" customWidth="1"/>
    <col min="4" max="5" width="2.5703125" style="98" customWidth="1"/>
    <col min="6" max="6" width="59.5703125" style="293" customWidth="1"/>
    <col min="7" max="8" width="20.5703125" style="293" customWidth="1"/>
    <col min="9" max="9" width="2.42578125" style="293" customWidth="1"/>
    <col min="10" max="41" width="17" style="293" customWidth="1"/>
    <col min="42" max="42" width="2.42578125" style="293" customWidth="1"/>
    <col min="43" max="43" width="50.5703125" style="293" customWidth="1"/>
    <col min="44" max="44" width="2.42578125" style="293" customWidth="1"/>
    <col min="45" max="45" width="24.5703125" style="293" hidden="1" customWidth="1"/>
    <col min="46" max="46" width="3.5703125" style="293" hidden="1" customWidth="1"/>
    <col min="47" max="47" width="15.42578125" style="293" hidden="1" customWidth="1"/>
    <col min="48" max="429" width="24.5703125" style="293" hidden="1" customWidth="1"/>
    <col min="430" max="16384" width="8.5703125" style="293" hidden="1"/>
  </cols>
  <sheetData>
    <row r="1" spans="1:43" s="10" customFormat="1" x14ac:dyDescent="0.25">
      <c r="A1" s="10" t="str">
        <f ca="1">MID(CELL("filename",A1),FIND("]",CELL("filename",A1))+1,255)</f>
        <v>Revenue matching</v>
      </c>
    </row>
    <row r="2" spans="1:43" s="10" customFormat="1" x14ac:dyDescent="0.25">
      <c r="A2" s="10" t="str">
        <f>Cover!D21&amp;" - "&amp;Cover!D23</f>
        <v>Southern Electric Power Distribution plc - Final</v>
      </c>
    </row>
    <row r="3" spans="1:43" s="46" customFormat="1" x14ac:dyDescent="0.25">
      <c r="A3" s="46" t="str">
        <f>Cover!D2&amp;" - "&amp;Cover!D8&amp;" v"&amp;Cover!D10&amp;" - "&amp;Cover!D19</f>
        <v>ARP model - Release for charge setting v7 - 2023/24</v>
      </c>
    </row>
    <row r="4" spans="1:43" x14ac:dyDescent="0.25">
      <c r="A4" s="366" t="str">
        <f>H433 &amp; IF(H433 = 1, " issue", " issues") &amp;" identified in checks on this sheet"</f>
        <v>0 issues identified in checks on this sheet</v>
      </c>
      <c r="B4" s="108"/>
      <c r="C4" s="108"/>
      <c r="D4" s="108"/>
      <c r="E4" s="108"/>
      <c r="F4" s="108"/>
      <c r="G4" s="108"/>
      <c r="H4" s="111"/>
      <c r="I4" s="111"/>
    </row>
    <row r="5" spans="1:43" ht="60" x14ac:dyDescent="0.25">
      <c r="B5" s="367" t="s">
        <v>451</v>
      </c>
      <c r="C5" s="368"/>
      <c r="D5" s="368"/>
      <c r="E5" s="368"/>
      <c r="F5" s="368"/>
      <c r="G5" s="368" t="s">
        <v>91</v>
      </c>
      <c r="H5" s="383" t="s">
        <v>92</v>
      </c>
      <c r="J5" s="383" t="s">
        <v>1002</v>
      </c>
      <c r="K5" s="383" t="s">
        <v>927</v>
      </c>
      <c r="L5" s="383" t="s">
        <v>1003</v>
      </c>
      <c r="M5" s="383" t="s">
        <v>1004</v>
      </c>
      <c r="N5" s="383" t="s">
        <v>1005</v>
      </c>
      <c r="O5" s="383" t="s">
        <v>1006</v>
      </c>
      <c r="P5" s="383" t="s">
        <v>1007</v>
      </c>
      <c r="Q5" s="383" t="s">
        <v>929</v>
      </c>
      <c r="R5" s="383" t="s">
        <v>1008</v>
      </c>
      <c r="S5" s="383" t="s">
        <v>1009</v>
      </c>
      <c r="T5" s="383" t="s">
        <v>1010</v>
      </c>
      <c r="U5" s="383" t="s">
        <v>1011</v>
      </c>
      <c r="V5" s="383" t="s">
        <v>1012</v>
      </c>
      <c r="W5" s="383" t="s">
        <v>1013</v>
      </c>
      <c r="X5" s="383" t="s">
        <v>1014</v>
      </c>
      <c r="Y5" s="383" t="s">
        <v>1015</v>
      </c>
      <c r="Z5" s="383" t="s">
        <v>1016</v>
      </c>
      <c r="AA5" s="383" t="s">
        <v>1017</v>
      </c>
      <c r="AB5" s="383" t="s">
        <v>1018</v>
      </c>
      <c r="AC5" s="383" t="s">
        <v>1019</v>
      </c>
      <c r="AD5" s="383" t="s">
        <v>1020</v>
      </c>
      <c r="AE5" s="383" t="s">
        <v>1021</v>
      </c>
      <c r="AF5" s="383" t="s">
        <v>1022</v>
      </c>
      <c r="AG5" s="383" t="s">
        <v>933</v>
      </c>
      <c r="AH5" s="383" t="s">
        <v>934</v>
      </c>
      <c r="AI5" s="383" t="s">
        <v>935</v>
      </c>
      <c r="AJ5" s="383" t="s">
        <v>936</v>
      </c>
      <c r="AK5" s="383" t="s">
        <v>937</v>
      </c>
      <c r="AL5" s="383" t="s">
        <v>938</v>
      </c>
      <c r="AM5" s="383" t="s">
        <v>939</v>
      </c>
      <c r="AN5" s="383" t="s">
        <v>940</v>
      </c>
      <c r="AO5" s="383" t="s">
        <v>941</v>
      </c>
      <c r="AQ5" s="1" t="s">
        <v>93</v>
      </c>
    </row>
    <row r="6" spans="1:43" x14ac:dyDescent="0.25">
      <c r="C6" s="86"/>
    </row>
    <row r="7" spans="1:43" x14ac:dyDescent="0.25">
      <c r="B7" s="95" t="s">
        <v>90</v>
      </c>
      <c r="C7" s="95"/>
      <c r="D7" s="95"/>
      <c r="E7" s="95"/>
      <c r="F7" s="95"/>
      <c r="G7" s="95"/>
      <c r="H7" s="95"/>
      <c r="I7" s="95"/>
      <c r="J7" s="95"/>
      <c r="K7" s="95"/>
      <c r="L7" s="95"/>
      <c r="M7" s="95"/>
      <c r="N7" s="95"/>
      <c r="O7" s="95"/>
      <c r="P7" s="95"/>
      <c r="Q7" s="95"/>
      <c r="R7" s="95"/>
      <c r="S7" s="95"/>
      <c r="T7" s="95"/>
      <c r="U7" s="95"/>
      <c r="V7" s="95"/>
      <c r="W7" s="95"/>
      <c r="X7" s="95"/>
      <c r="Y7" s="95"/>
      <c r="Z7" s="95"/>
      <c r="AA7" s="95"/>
      <c r="AB7" s="95"/>
      <c r="AC7" s="95"/>
      <c r="AD7" s="95"/>
      <c r="AE7" s="95"/>
      <c r="AF7" s="95"/>
      <c r="AG7" s="95"/>
      <c r="AH7" s="95"/>
      <c r="AI7" s="95"/>
      <c r="AJ7" s="95"/>
      <c r="AK7" s="95"/>
      <c r="AL7" s="95"/>
      <c r="AM7" s="95"/>
      <c r="AN7" s="95"/>
      <c r="AO7" s="95"/>
      <c r="AP7" s="72"/>
      <c r="AQ7" s="72"/>
    </row>
    <row r="9" spans="1:43" x14ac:dyDescent="0.25">
      <c r="D9" s="82" t="s">
        <v>409</v>
      </c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O9" s="3"/>
    </row>
    <row r="10" spans="1:43" x14ac:dyDescent="0.25">
      <c r="D10" s="82" t="s">
        <v>410</v>
      </c>
      <c r="E10" s="293"/>
    </row>
    <row r="11" spans="1:43" x14ac:dyDescent="0.25">
      <c r="D11" s="82" t="s">
        <v>743</v>
      </c>
    </row>
    <row r="13" spans="1:43" x14ac:dyDescent="0.25">
      <c r="B13" s="95" t="s">
        <v>282</v>
      </c>
      <c r="C13" s="95"/>
      <c r="D13" s="95"/>
      <c r="E13" s="95"/>
      <c r="F13" s="95"/>
      <c r="G13" s="95"/>
      <c r="H13" s="95"/>
      <c r="I13" s="95"/>
      <c r="J13" s="95"/>
      <c r="K13" s="95"/>
      <c r="L13" s="95"/>
      <c r="M13" s="95"/>
      <c r="N13" s="95"/>
      <c r="O13" s="95"/>
      <c r="P13" s="95"/>
      <c r="Q13" s="95"/>
      <c r="R13" s="95"/>
      <c r="S13" s="95"/>
      <c r="T13" s="95"/>
      <c r="U13" s="95"/>
      <c r="V13" s="95"/>
      <c r="W13" s="95"/>
      <c r="X13" s="95"/>
      <c r="Y13" s="95"/>
      <c r="Z13" s="95"/>
      <c r="AA13" s="95"/>
      <c r="AB13" s="95"/>
      <c r="AC13" s="95"/>
      <c r="AD13" s="95"/>
      <c r="AE13" s="95"/>
      <c r="AF13" s="95"/>
      <c r="AG13" s="95"/>
      <c r="AH13" s="95"/>
      <c r="AI13" s="95"/>
      <c r="AJ13" s="95"/>
      <c r="AK13" s="95"/>
      <c r="AL13" s="95"/>
      <c r="AM13" s="95"/>
      <c r="AN13" s="95"/>
      <c r="AO13" s="95"/>
      <c r="AP13" s="72"/>
      <c r="AQ13" s="72"/>
    </row>
    <row r="14" spans="1:43" x14ac:dyDescent="0.25">
      <c r="C14" s="86"/>
    </row>
    <row r="15" spans="1:43" x14ac:dyDescent="0.25">
      <c r="C15" s="7" t="str">
        <f ca="1">INDEX('Version control'!$H$35:$H$61,MATCH($A$1,'Version control'!$F$35:$F$61,0),1)&amp;"-A: Inputs to revenue matching"</f>
        <v>Section 519-A: Inputs to revenue matching</v>
      </c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</row>
    <row r="16" spans="1:43" x14ac:dyDescent="0.25">
      <c r="C16" s="82"/>
      <c r="J16" s="90"/>
      <c r="K16" s="90"/>
      <c r="L16" s="90"/>
      <c r="M16" s="90"/>
      <c r="N16" s="90"/>
      <c r="O16" s="90"/>
      <c r="P16" s="90"/>
      <c r="Q16" s="90"/>
      <c r="R16" s="90"/>
      <c r="S16" s="90"/>
      <c r="T16" s="90"/>
      <c r="U16" s="90"/>
      <c r="V16" s="90"/>
      <c r="W16" s="90"/>
      <c r="X16" s="90"/>
      <c r="Y16" s="90"/>
      <c r="Z16" s="90"/>
      <c r="AA16" s="90"/>
      <c r="AB16" s="90"/>
      <c r="AC16" s="90"/>
      <c r="AD16" s="90"/>
      <c r="AE16" s="90"/>
      <c r="AF16" s="90"/>
      <c r="AG16" s="90"/>
      <c r="AH16" s="90"/>
      <c r="AI16" s="90"/>
      <c r="AJ16" s="90"/>
      <c r="AK16" s="90"/>
      <c r="AL16" s="90"/>
      <c r="AM16" s="90"/>
      <c r="AN16" s="90"/>
      <c r="AO16" s="90"/>
    </row>
    <row r="17" spans="3:43" x14ac:dyDescent="0.25">
      <c r="D17" s="82" t="s">
        <v>1105</v>
      </c>
      <c r="F17" s="98"/>
    </row>
    <row r="18" spans="3:43" x14ac:dyDescent="0.25">
      <c r="D18" s="86"/>
      <c r="F18" s="98"/>
    </row>
    <row r="19" spans="3:43" ht="60" x14ac:dyDescent="0.25">
      <c r="D19" s="293"/>
      <c r="E19" s="96" t="s">
        <v>253</v>
      </c>
      <c r="F19" s="96"/>
      <c r="J19" s="486" t="s">
        <v>926</v>
      </c>
      <c r="K19" s="486" t="s">
        <v>927</v>
      </c>
      <c r="L19" s="486" t="s">
        <v>928</v>
      </c>
      <c r="M19" s="486" t="s">
        <v>929</v>
      </c>
      <c r="N19" s="486" t="s">
        <v>930</v>
      </c>
      <c r="O19" s="486" t="s">
        <v>931</v>
      </c>
      <c r="P19" s="486" t="s">
        <v>932</v>
      </c>
      <c r="Q19" s="486" t="s">
        <v>933</v>
      </c>
      <c r="R19" s="486" t="s">
        <v>934</v>
      </c>
      <c r="S19" s="486" t="s">
        <v>935</v>
      </c>
      <c r="T19" s="486" t="s">
        <v>936</v>
      </c>
      <c r="U19" s="486" t="s">
        <v>937</v>
      </c>
      <c r="V19" s="486" t="s">
        <v>938</v>
      </c>
      <c r="W19" s="486" t="s">
        <v>939</v>
      </c>
      <c r="X19" s="486" t="s">
        <v>940</v>
      </c>
      <c r="Y19" s="486" t="s">
        <v>941</v>
      </c>
      <c r="Z19" s="237"/>
      <c r="AA19" s="237"/>
      <c r="AB19" s="237"/>
      <c r="AC19" s="237"/>
      <c r="AD19" s="237"/>
      <c r="AE19" s="237"/>
      <c r="AF19" s="237"/>
      <c r="AG19" s="237"/>
      <c r="AH19" s="237"/>
      <c r="AI19" s="237"/>
      <c r="AJ19" s="237"/>
      <c r="AK19" s="237"/>
      <c r="AL19" s="237"/>
      <c r="AM19" s="237"/>
      <c r="AN19" s="237"/>
      <c r="AO19" s="237"/>
    </row>
    <row r="20" spans="3:43" x14ac:dyDescent="0.25">
      <c r="D20" s="293"/>
      <c r="E20" s="86"/>
      <c r="F20" s="91" t="s">
        <v>134</v>
      </c>
      <c r="G20" s="91" t="s">
        <v>183</v>
      </c>
      <c r="H20" s="347"/>
      <c r="I20" s="347"/>
      <c r="J20" s="358">
        <f>'Unit rate charges'!J217</f>
        <v>8.5989408053984455</v>
      </c>
      <c r="K20" s="358">
        <f>'Unit rate charges'!K217</f>
        <v>8.5989408053984455</v>
      </c>
      <c r="L20" s="358">
        <f>'Unit rate charges'!L217</f>
        <v>7.5789555486440312</v>
      </c>
      <c r="M20" s="358">
        <f>'Unit rate charges'!M217</f>
        <v>7.5789555486440312</v>
      </c>
      <c r="N20" s="358">
        <f>'Unit rate charges'!N217</f>
        <v>5.9204564495108425</v>
      </c>
      <c r="O20" s="358">
        <f>'Unit rate charges'!O217</f>
        <v>3.9038218301509833</v>
      </c>
      <c r="P20" s="358">
        <f>'Unit rate charges'!P217</f>
        <v>3.1819974844838343</v>
      </c>
      <c r="Q20" s="358">
        <f>'Unit rate charges'!Q217</f>
        <v>19.148182617811354</v>
      </c>
      <c r="R20" s="358">
        <f>'Unit rate charges'!R217</f>
        <v>-5.8360481944946567</v>
      </c>
      <c r="S20" s="358">
        <f>'Unit rate charges'!S217</f>
        <v>-5.2137444437929998</v>
      </c>
      <c r="T20" s="358">
        <f>'Unit rate charges'!T217</f>
        <v>-5.8360481944946567</v>
      </c>
      <c r="U20" s="358">
        <f>'Unit rate charges'!U217</f>
        <v>-5.8360481944946567</v>
      </c>
      <c r="V20" s="358">
        <f>'Unit rate charges'!V217</f>
        <v>-5.2137444437929998</v>
      </c>
      <c r="W20" s="358">
        <f>'Unit rate charges'!W217</f>
        <v>-5.2137444437929998</v>
      </c>
      <c r="X20" s="358">
        <f>'Unit rate charges'!X217</f>
        <v>-4.0256541373289458</v>
      </c>
      <c r="Y20" s="358">
        <f>'Unit rate charges'!Y217</f>
        <v>-4.0256541373289458</v>
      </c>
      <c r="Z20" s="237"/>
      <c r="AA20" s="237"/>
      <c r="AB20" s="237"/>
      <c r="AC20" s="237"/>
      <c r="AD20" s="237"/>
      <c r="AE20" s="237"/>
      <c r="AF20" s="237"/>
      <c r="AG20" s="237"/>
      <c r="AH20" s="237"/>
      <c r="AI20" s="237"/>
      <c r="AJ20" s="237"/>
      <c r="AK20" s="237"/>
      <c r="AL20" s="237"/>
      <c r="AM20" s="237"/>
      <c r="AN20" s="237"/>
      <c r="AO20" s="237"/>
      <c r="AP20" s="349"/>
      <c r="AQ20" s="349"/>
    </row>
    <row r="21" spans="3:43" x14ac:dyDescent="0.25">
      <c r="D21" s="293"/>
      <c r="E21" s="86"/>
      <c r="F21" s="293" t="s">
        <v>135</v>
      </c>
      <c r="G21" s="293" t="s">
        <v>183</v>
      </c>
      <c r="H21" s="349"/>
      <c r="I21" s="349"/>
      <c r="J21" s="487">
        <f>'Unit rate charges'!J218</f>
        <v>1.1153673022347455</v>
      </c>
      <c r="K21" s="487">
        <f>'Unit rate charges'!K218</f>
        <v>1.1153673022347455</v>
      </c>
      <c r="L21" s="487">
        <f>'Unit rate charges'!L218</f>
        <v>0.98306516992664039</v>
      </c>
      <c r="M21" s="487">
        <f>'Unit rate charges'!M218</f>
        <v>0.98306516992664039</v>
      </c>
      <c r="N21" s="487">
        <f>'Unit rate charges'!N218</f>
        <v>0.66178237649677973</v>
      </c>
      <c r="O21" s="487">
        <f>'Unit rate charges'!O218</f>
        <v>0.2984634805719768</v>
      </c>
      <c r="P21" s="487">
        <f>'Unit rate charges'!P218</f>
        <v>0.21573751303447605</v>
      </c>
      <c r="Q21" s="487">
        <f>'Unit rate charges'!Q218</f>
        <v>3.0935343821070407</v>
      </c>
      <c r="R21" s="487">
        <f>'Unit rate charges'!R218</f>
        <v>-0.75699292246771566</v>
      </c>
      <c r="S21" s="487">
        <f>'Unit rate charges'!S218</f>
        <v>-0.61914773795816491</v>
      </c>
      <c r="T21" s="487">
        <f>'Unit rate charges'!T218</f>
        <v>-0.75699292246771566</v>
      </c>
      <c r="U21" s="487">
        <f>'Unit rate charges'!U218</f>
        <v>-0.75699292246771566</v>
      </c>
      <c r="V21" s="487">
        <f>'Unit rate charges'!V218</f>
        <v>-0.61914773795816491</v>
      </c>
      <c r="W21" s="487">
        <f>'Unit rate charges'!W218</f>
        <v>-0.61914773795816491</v>
      </c>
      <c r="X21" s="487">
        <f>'Unit rate charges'!X218</f>
        <v>-0.30677292562270519</v>
      </c>
      <c r="Y21" s="487">
        <f>'Unit rate charges'!Y218</f>
        <v>-0.30677292562270519</v>
      </c>
      <c r="Z21" s="237"/>
      <c r="AA21" s="237"/>
      <c r="AB21" s="237"/>
      <c r="AC21" s="237"/>
      <c r="AD21" s="237"/>
      <c r="AE21" s="237"/>
      <c r="AF21" s="237"/>
      <c r="AG21" s="237"/>
      <c r="AH21" s="237"/>
      <c r="AI21" s="237"/>
      <c r="AJ21" s="237"/>
      <c r="AK21" s="237"/>
      <c r="AL21" s="237"/>
      <c r="AM21" s="237"/>
      <c r="AN21" s="237"/>
      <c r="AO21" s="237"/>
      <c r="AP21" s="349"/>
      <c r="AQ21" s="349"/>
    </row>
    <row r="22" spans="3:43" x14ac:dyDescent="0.25">
      <c r="D22" s="293"/>
      <c r="E22" s="86"/>
      <c r="F22" s="293" t="s">
        <v>136</v>
      </c>
      <c r="G22" s="293" t="s">
        <v>183</v>
      </c>
      <c r="H22" s="349"/>
      <c r="I22" s="349"/>
      <c r="J22" s="487">
        <f>'Unit rate charges'!J219</f>
        <v>5.4036633774757072E-2</v>
      </c>
      <c r="K22" s="487">
        <f>'Unit rate charges'!K219</f>
        <v>5.4036633774757072E-2</v>
      </c>
      <c r="L22" s="487">
        <f>'Unit rate charges'!L219</f>
        <v>4.7626940880919788E-2</v>
      </c>
      <c r="M22" s="487">
        <f>'Unit rate charges'!M219</f>
        <v>4.7626940880919788E-2</v>
      </c>
      <c r="N22" s="487">
        <f>'Unit rate charges'!N219</f>
        <v>3.1035197909388225E-2</v>
      </c>
      <c r="O22" s="487">
        <f>'Unit rate charges'!O219</f>
        <v>1.2449628384906991E-2</v>
      </c>
      <c r="P22" s="487">
        <f>'Unit rate charges'!P219</f>
        <v>8.8557083461529313E-3</v>
      </c>
      <c r="Q22" s="487">
        <f>'Unit rate charges'!Q219</f>
        <v>2.2516877263377024</v>
      </c>
      <c r="R22" s="487">
        <f>'Unit rate charges'!R219</f>
        <v>-3.6674330724518492E-2</v>
      </c>
      <c r="S22" s="487">
        <f>'Unit rate charges'!S219</f>
        <v>-2.9443749546248729E-2</v>
      </c>
      <c r="T22" s="487">
        <f>'Unit rate charges'!T219</f>
        <v>-3.6674330724518492E-2</v>
      </c>
      <c r="U22" s="487">
        <f>'Unit rate charges'!U219</f>
        <v>-3.6674330724518492E-2</v>
      </c>
      <c r="V22" s="487">
        <f>'Unit rate charges'!V219</f>
        <v>-2.9443749546248729E-2</v>
      </c>
      <c r="W22" s="487">
        <f>'Unit rate charges'!W219</f>
        <v>-2.9443749546248729E-2</v>
      </c>
      <c r="X22" s="487">
        <f>'Unit rate charges'!X219</f>
        <v>-1.2791007958297398E-2</v>
      </c>
      <c r="Y22" s="487">
        <f>'Unit rate charges'!Y219</f>
        <v>-1.2791007958297398E-2</v>
      </c>
      <c r="Z22" s="237"/>
      <c r="AA22" s="237"/>
      <c r="AB22" s="237"/>
      <c r="AC22" s="237"/>
      <c r="AD22" s="237"/>
      <c r="AE22" s="237"/>
      <c r="AF22" s="237"/>
      <c r="AG22" s="237"/>
      <c r="AH22" s="237"/>
      <c r="AI22" s="237"/>
      <c r="AJ22" s="237"/>
      <c r="AK22" s="237"/>
      <c r="AL22" s="237"/>
      <c r="AM22" s="237"/>
      <c r="AN22" s="237"/>
      <c r="AO22" s="237"/>
      <c r="AP22" s="349"/>
      <c r="AQ22" s="349"/>
    </row>
    <row r="23" spans="3:43" x14ac:dyDescent="0.25">
      <c r="D23" s="293"/>
      <c r="E23" s="86"/>
      <c r="F23" s="293" t="s">
        <v>254</v>
      </c>
      <c r="G23" s="293" t="s">
        <v>252</v>
      </c>
      <c r="J23" s="272">
        <f>'Fixed charges'!J161</f>
        <v>4.9279307983675391</v>
      </c>
      <c r="K23" s="272">
        <f>'Fixed charges'!K161</f>
        <v>0</v>
      </c>
      <c r="L23" s="272">
        <f>'Fixed charges'!L161</f>
        <v>7.9896450085368196</v>
      </c>
      <c r="M23" s="272">
        <f>'Fixed charges'!M161</f>
        <v>0</v>
      </c>
      <c r="N23" s="272">
        <f>'Fixed charges'!N161</f>
        <v>17.100837763983357</v>
      </c>
      <c r="O23" s="272">
        <f>'Fixed charges'!O161</f>
        <v>40.100013861515436</v>
      </c>
      <c r="P23" s="272">
        <f>'Fixed charges'!P161</f>
        <v>174.18069137616291</v>
      </c>
      <c r="Q23" s="272">
        <f>'Fixed charges'!Q161</f>
        <v>0</v>
      </c>
      <c r="R23" s="272">
        <f>'Fixed charges'!R161</f>
        <v>0</v>
      </c>
      <c r="S23" s="272">
        <f>'Fixed charges'!S161</f>
        <v>0</v>
      </c>
      <c r="T23" s="272">
        <f>'Fixed charges'!T161</f>
        <v>0</v>
      </c>
      <c r="U23" s="272">
        <f>'Fixed charges'!U161</f>
        <v>0</v>
      </c>
      <c r="V23" s="272">
        <f>'Fixed charges'!V161</f>
        <v>0</v>
      </c>
      <c r="W23" s="272">
        <f>'Fixed charges'!W161</f>
        <v>0</v>
      </c>
      <c r="X23" s="272">
        <f>'Fixed charges'!X161</f>
        <v>348.54955153486407</v>
      </c>
      <c r="Y23" s="272">
        <f>'Fixed charges'!Y161</f>
        <v>348.54955153486407</v>
      </c>
      <c r="Z23" s="237"/>
      <c r="AA23" s="237"/>
      <c r="AB23" s="237"/>
      <c r="AC23" s="237"/>
      <c r="AD23" s="237"/>
      <c r="AE23" s="237"/>
      <c r="AF23" s="237"/>
      <c r="AG23" s="237"/>
      <c r="AH23" s="237"/>
      <c r="AI23" s="237"/>
      <c r="AJ23" s="237"/>
      <c r="AK23" s="237"/>
      <c r="AL23" s="237"/>
      <c r="AM23" s="237"/>
      <c r="AN23" s="237"/>
      <c r="AO23" s="237"/>
    </row>
    <row r="24" spans="3:43" x14ac:dyDescent="0.25">
      <c r="D24" s="293"/>
      <c r="E24" s="86"/>
      <c r="F24" s="293" t="s">
        <v>255</v>
      </c>
      <c r="G24" s="293" t="s">
        <v>251</v>
      </c>
      <c r="J24" s="272">
        <f>'Capacity charges'!J256</f>
        <v>0</v>
      </c>
      <c r="K24" s="272">
        <f>'Capacity charges'!K256</f>
        <v>0</v>
      </c>
      <c r="L24" s="272">
        <f>'Capacity charges'!L256</f>
        <v>0</v>
      </c>
      <c r="M24" s="272">
        <f>'Capacity charges'!M256</f>
        <v>0</v>
      </c>
      <c r="N24" s="272">
        <f>'Capacity charges'!N256</f>
        <v>3.6596972672004675</v>
      </c>
      <c r="O24" s="272">
        <f>'Capacity charges'!O256</f>
        <v>4.9214500674876485</v>
      </c>
      <c r="P24" s="272">
        <f>'Capacity charges'!P256</f>
        <v>5.8732158802325856</v>
      </c>
      <c r="Q24" s="272">
        <f>'Capacity charges'!Q256</f>
        <v>0</v>
      </c>
      <c r="R24" s="272">
        <f>'Capacity charges'!R256</f>
        <v>0</v>
      </c>
      <c r="S24" s="272">
        <f>'Capacity charges'!S256</f>
        <v>0</v>
      </c>
      <c r="T24" s="272">
        <f>'Capacity charges'!T256</f>
        <v>0</v>
      </c>
      <c r="U24" s="272">
        <f>'Capacity charges'!U256</f>
        <v>0</v>
      </c>
      <c r="V24" s="272">
        <f>'Capacity charges'!V256</f>
        <v>0</v>
      </c>
      <c r="W24" s="272">
        <f>'Capacity charges'!W256</f>
        <v>0</v>
      </c>
      <c r="X24" s="272">
        <f>'Capacity charges'!X256</f>
        <v>0</v>
      </c>
      <c r="Y24" s="272">
        <f>'Capacity charges'!Y256</f>
        <v>0</v>
      </c>
      <c r="Z24" s="237"/>
      <c r="AA24" s="237"/>
      <c r="AB24" s="237"/>
      <c r="AC24" s="237"/>
      <c r="AD24" s="237"/>
      <c r="AE24" s="237"/>
      <c r="AF24" s="237"/>
      <c r="AG24" s="237"/>
      <c r="AH24" s="237"/>
      <c r="AI24" s="237"/>
      <c r="AJ24" s="237"/>
      <c r="AK24" s="237"/>
      <c r="AL24" s="237"/>
      <c r="AM24" s="237"/>
      <c r="AN24" s="237"/>
      <c r="AO24" s="237"/>
    </row>
    <row r="25" spans="3:43" x14ac:dyDescent="0.25">
      <c r="D25" s="293"/>
      <c r="E25" s="86"/>
      <c r="F25" s="293" t="s">
        <v>256</v>
      </c>
      <c r="G25" s="293" t="s">
        <v>251</v>
      </c>
      <c r="J25" s="274">
        <f>'Capacity charges'!J257</f>
        <v>0</v>
      </c>
      <c r="K25" s="274">
        <f>'Capacity charges'!K257</f>
        <v>0</v>
      </c>
      <c r="L25" s="274">
        <f>'Capacity charges'!L257</f>
        <v>0</v>
      </c>
      <c r="M25" s="274">
        <f>'Capacity charges'!M257</f>
        <v>0</v>
      </c>
      <c r="N25" s="274">
        <f>'Capacity charges'!N257</f>
        <v>6.8377600807265617</v>
      </c>
      <c r="O25" s="274">
        <f>'Capacity charges'!O257</f>
        <v>6.4250662718968972</v>
      </c>
      <c r="P25" s="274">
        <f>'Capacity charges'!P257</f>
        <v>7.0962072937622995</v>
      </c>
      <c r="Q25" s="274">
        <f>'Capacity charges'!Q257</f>
        <v>0</v>
      </c>
      <c r="R25" s="274">
        <f>'Capacity charges'!R257</f>
        <v>0</v>
      </c>
      <c r="S25" s="274">
        <f>'Capacity charges'!S257</f>
        <v>0</v>
      </c>
      <c r="T25" s="274">
        <f>'Capacity charges'!T257</f>
        <v>0</v>
      </c>
      <c r="U25" s="274">
        <f>'Capacity charges'!U257</f>
        <v>0</v>
      </c>
      <c r="V25" s="274">
        <f>'Capacity charges'!V257</f>
        <v>0</v>
      </c>
      <c r="W25" s="274">
        <f>'Capacity charges'!W257</f>
        <v>0</v>
      </c>
      <c r="X25" s="274">
        <f>'Capacity charges'!X257</f>
        <v>0</v>
      </c>
      <c r="Y25" s="274">
        <f>'Capacity charges'!Y257</f>
        <v>0</v>
      </c>
      <c r="Z25" s="237"/>
      <c r="AA25" s="237"/>
      <c r="AB25" s="237"/>
      <c r="AC25" s="237"/>
      <c r="AD25" s="237"/>
      <c r="AE25" s="237"/>
      <c r="AF25" s="237"/>
      <c r="AG25" s="237"/>
      <c r="AH25" s="237"/>
      <c r="AI25" s="237"/>
      <c r="AJ25" s="237"/>
      <c r="AK25" s="237"/>
      <c r="AL25" s="237"/>
      <c r="AM25" s="237"/>
      <c r="AN25" s="237"/>
      <c r="AO25" s="237"/>
    </row>
    <row r="26" spans="3:43" x14ac:dyDescent="0.25">
      <c r="D26" s="293"/>
      <c r="E26" s="86"/>
      <c r="F26" s="93" t="s">
        <v>257</v>
      </c>
      <c r="G26" s="93" t="s">
        <v>258</v>
      </c>
      <c r="H26" s="351"/>
      <c r="I26" s="351"/>
      <c r="J26" s="361">
        <f>'Reactive power charges'!J250</f>
        <v>0</v>
      </c>
      <c r="K26" s="361">
        <f>'Reactive power charges'!K250</f>
        <v>0</v>
      </c>
      <c r="L26" s="361">
        <f>'Reactive power charges'!L250</f>
        <v>0</v>
      </c>
      <c r="M26" s="361">
        <f>'Reactive power charges'!M250</f>
        <v>0</v>
      </c>
      <c r="N26" s="361">
        <f>'Reactive power charges'!N250</f>
        <v>0.22036731235800763</v>
      </c>
      <c r="O26" s="361">
        <f>'Reactive power charges'!O250</f>
        <v>0.12269322893536748</v>
      </c>
      <c r="P26" s="361">
        <f>'Reactive power charges'!P250</f>
        <v>9.3090604229866633E-2</v>
      </c>
      <c r="Q26" s="361">
        <f>'Reactive power charges'!Q250</f>
        <v>0</v>
      </c>
      <c r="R26" s="361">
        <f>'Reactive power charges'!R250</f>
        <v>0</v>
      </c>
      <c r="S26" s="361">
        <f>'Reactive power charges'!S250</f>
        <v>0</v>
      </c>
      <c r="T26" s="361">
        <f>'Reactive power charges'!T250</f>
        <v>0.22775582195180466</v>
      </c>
      <c r="U26" s="361">
        <f>'Reactive power charges'!U250</f>
        <v>0</v>
      </c>
      <c r="V26" s="361">
        <f>'Reactive power charges'!V250</f>
        <v>0.19093175752897684</v>
      </c>
      <c r="W26" s="361">
        <f>'Reactive power charges'!W250</f>
        <v>0</v>
      </c>
      <c r="X26" s="361">
        <f>'Reactive power charges'!X250</f>
        <v>0.16596197763913481</v>
      </c>
      <c r="Y26" s="361">
        <f>'Reactive power charges'!Y250</f>
        <v>0</v>
      </c>
      <c r="Z26" s="237"/>
      <c r="AA26" s="237"/>
      <c r="AB26" s="237"/>
      <c r="AC26" s="237"/>
      <c r="AD26" s="237"/>
      <c r="AE26" s="237"/>
      <c r="AF26" s="237"/>
      <c r="AG26" s="237"/>
      <c r="AH26" s="237"/>
      <c r="AI26" s="237"/>
      <c r="AJ26" s="237"/>
      <c r="AK26" s="237"/>
      <c r="AL26" s="237"/>
      <c r="AM26" s="237"/>
      <c r="AN26" s="237"/>
      <c r="AO26" s="237"/>
      <c r="AP26" s="349"/>
      <c r="AQ26" s="349"/>
    </row>
    <row r="27" spans="3:43" x14ac:dyDescent="0.25">
      <c r="D27" s="293"/>
      <c r="E27" s="86"/>
      <c r="J27" s="237"/>
      <c r="K27" s="237"/>
      <c r="L27" s="237"/>
      <c r="M27" s="237"/>
      <c r="N27" s="237"/>
      <c r="O27" s="237"/>
      <c r="P27" s="237"/>
      <c r="Q27" s="237"/>
      <c r="R27" s="237"/>
      <c r="S27" s="237"/>
      <c r="T27" s="237"/>
      <c r="U27" s="237"/>
      <c r="V27" s="237"/>
      <c r="W27" s="237"/>
      <c r="X27" s="237"/>
      <c r="Y27" s="237"/>
      <c r="Z27" s="237"/>
      <c r="AA27" s="237"/>
      <c r="AB27" s="237"/>
      <c r="AC27" s="237"/>
      <c r="AD27" s="237"/>
      <c r="AE27" s="237"/>
      <c r="AF27" s="237"/>
      <c r="AG27" s="237"/>
      <c r="AH27" s="237"/>
      <c r="AI27" s="237"/>
      <c r="AJ27" s="237"/>
      <c r="AK27" s="237"/>
      <c r="AL27" s="237"/>
      <c r="AM27" s="237"/>
      <c r="AN27" s="237"/>
      <c r="AO27" s="237"/>
    </row>
    <row r="28" spans="3:43" ht="60" x14ac:dyDescent="0.25">
      <c r="D28" s="293"/>
      <c r="E28" s="86"/>
      <c r="J28" s="486" t="s">
        <v>926</v>
      </c>
      <c r="K28" s="486" t="s">
        <v>927</v>
      </c>
      <c r="L28" s="486" t="s">
        <v>928</v>
      </c>
      <c r="M28" s="486" t="s">
        <v>929</v>
      </c>
      <c r="N28" s="486" t="s">
        <v>930</v>
      </c>
      <c r="O28" s="486" t="s">
        <v>931</v>
      </c>
      <c r="P28" s="486" t="s">
        <v>932</v>
      </c>
      <c r="Q28" s="486" t="s">
        <v>933</v>
      </c>
      <c r="R28" s="486" t="s">
        <v>934</v>
      </c>
      <c r="S28" s="486" t="s">
        <v>935</v>
      </c>
      <c r="T28" s="486" t="s">
        <v>936</v>
      </c>
      <c r="U28" s="486" t="s">
        <v>937</v>
      </c>
      <c r="V28" s="486" t="s">
        <v>938</v>
      </c>
      <c r="W28" s="486" t="s">
        <v>939</v>
      </c>
      <c r="X28" s="486" t="s">
        <v>940</v>
      </c>
      <c r="Y28" s="486" t="s">
        <v>941</v>
      </c>
      <c r="Z28" s="237"/>
      <c r="AA28" s="237"/>
      <c r="AB28" s="237"/>
      <c r="AC28" s="237"/>
      <c r="AD28" s="237"/>
      <c r="AE28" s="237"/>
      <c r="AF28" s="237"/>
      <c r="AG28" s="237"/>
      <c r="AH28" s="237"/>
      <c r="AI28" s="237"/>
      <c r="AJ28" s="237"/>
      <c r="AK28" s="237"/>
      <c r="AL28" s="237"/>
      <c r="AM28" s="237"/>
      <c r="AN28" s="237"/>
      <c r="AO28" s="237"/>
    </row>
    <row r="29" spans="3:43" x14ac:dyDescent="0.25">
      <c r="D29" s="293"/>
      <c r="E29" s="14" t="s">
        <v>972</v>
      </c>
      <c r="F29" s="472"/>
      <c r="G29" s="293" t="s">
        <v>252</v>
      </c>
      <c r="J29" s="488">
        <f>'SoLR &amp; bad debt adders'!J51</f>
        <v>0.26473327004897218</v>
      </c>
      <c r="K29" s="488">
        <f>'SoLR &amp; bad debt adders'!K51</f>
        <v>0</v>
      </c>
      <c r="L29" s="488">
        <f>'SoLR &amp; bad debt adders'!L51</f>
        <v>0.16438117795441043</v>
      </c>
      <c r="M29" s="488">
        <f>'SoLR &amp; bad debt adders'!M51</f>
        <v>0</v>
      </c>
      <c r="N29" s="488">
        <f>'SoLR &amp; bad debt adders'!N51</f>
        <v>0.16438117795441043</v>
      </c>
      <c r="O29" s="488">
        <f>'SoLR &amp; bad debt adders'!O51</f>
        <v>0.16438117795441043</v>
      </c>
      <c r="P29" s="488">
        <f>'SoLR &amp; bad debt adders'!P51</f>
        <v>0.16438117795441043</v>
      </c>
      <c r="Q29" s="488">
        <f>'SoLR &amp; bad debt adders'!Q51</f>
        <v>0</v>
      </c>
      <c r="R29" s="488">
        <f>'SoLR &amp; bad debt adders'!R51</f>
        <v>0</v>
      </c>
      <c r="S29" s="488">
        <f>'SoLR &amp; bad debt adders'!S51</f>
        <v>0</v>
      </c>
      <c r="T29" s="488">
        <f>'SoLR &amp; bad debt adders'!T51</f>
        <v>0</v>
      </c>
      <c r="U29" s="488">
        <f>'SoLR &amp; bad debt adders'!U51</f>
        <v>0</v>
      </c>
      <c r="V29" s="488">
        <f>'SoLR &amp; bad debt adders'!V51</f>
        <v>0</v>
      </c>
      <c r="W29" s="488">
        <f>'SoLR &amp; bad debt adders'!W51</f>
        <v>0</v>
      </c>
      <c r="X29" s="488">
        <f>'SoLR &amp; bad debt adders'!X51</f>
        <v>0</v>
      </c>
      <c r="Y29" s="488">
        <f>'SoLR &amp; bad debt adders'!Y51</f>
        <v>0</v>
      </c>
      <c r="Z29" s="237"/>
      <c r="AA29" s="237"/>
      <c r="AB29" s="237"/>
      <c r="AC29" s="237"/>
      <c r="AD29" s="237"/>
      <c r="AE29" s="237"/>
      <c r="AF29" s="237"/>
      <c r="AG29" s="237"/>
      <c r="AH29" s="237"/>
      <c r="AI29" s="237"/>
      <c r="AJ29" s="237"/>
      <c r="AK29" s="237"/>
      <c r="AL29" s="237"/>
      <c r="AM29" s="237"/>
      <c r="AN29" s="237"/>
      <c r="AO29" s="237"/>
    </row>
    <row r="30" spans="3:43" x14ac:dyDescent="0.25">
      <c r="D30" s="293"/>
      <c r="E30" s="86"/>
      <c r="J30" s="237"/>
      <c r="K30" s="237"/>
      <c r="L30" s="237"/>
      <c r="M30" s="237"/>
      <c r="N30" s="237"/>
      <c r="O30" s="237"/>
      <c r="P30" s="237"/>
      <c r="Q30" s="237"/>
      <c r="R30" s="237"/>
      <c r="S30" s="237"/>
      <c r="T30" s="237"/>
      <c r="U30" s="237"/>
      <c r="V30" s="237"/>
      <c r="W30" s="237"/>
      <c r="X30" s="237"/>
      <c r="Y30" s="237"/>
      <c r="Z30" s="237"/>
      <c r="AA30" s="237"/>
      <c r="AB30" s="237"/>
      <c r="AC30" s="237"/>
      <c r="AD30" s="237"/>
      <c r="AE30" s="237"/>
      <c r="AF30" s="237"/>
      <c r="AG30" s="237"/>
      <c r="AH30" s="237"/>
      <c r="AI30" s="237"/>
      <c r="AJ30" s="237"/>
      <c r="AK30" s="237"/>
      <c r="AL30" s="237"/>
      <c r="AM30" s="237"/>
      <c r="AN30" s="237"/>
      <c r="AO30" s="237"/>
    </row>
    <row r="31" spans="3:43" x14ac:dyDescent="0.25">
      <c r="D31" s="293"/>
      <c r="E31" s="489" t="str">
        <f>'Fixed inputs'!E164</f>
        <v>Flags for calculation of revenue matching</v>
      </c>
    </row>
    <row r="32" spans="3:43" x14ac:dyDescent="0.25">
      <c r="C32" s="82"/>
      <c r="F32" s="91" t="s">
        <v>1106</v>
      </c>
      <c r="G32" s="91" t="s">
        <v>1024</v>
      </c>
      <c r="H32" s="91"/>
      <c r="I32" s="91"/>
      <c r="J32" s="199" t="b">
        <f>'Fixed inputs'!J165</f>
        <v>1</v>
      </c>
      <c r="K32" s="199" t="b">
        <f>'Fixed inputs'!K165</f>
        <v>0</v>
      </c>
      <c r="L32" s="199" t="b">
        <f>'Fixed inputs'!L165</f>
        <v>0</v>
      </c>
      <c r="M32" s="199" t="b">
        <f>'Fixed inputs'!M165</f>
        <v>1</v>
      </c>
      <c r="N32" s="199" t="b">
        <f>'Fixed inputs'!N165</f>
        <v>1</v>
      </c>
      <c r="O32" s="199" t="b">
        <f>'Fixed inputs'!O165</f>
        <v>1</v>
      </c>
      <c r="P32" s="199" t="b">
        <f>'Fixed inputs'!P165</f>
        <v>1</v>
      </c>
      <c r="Q32" s="199" t="b">
        <f>'Fixed inputs'!Q165</f>
        <v>0</v>
      </c>
      <c r="R32" s="199" t="b">
        <f>'Fixed inputs'!R165</f>
        <v>0</v>
      </c>
      <c r="S32" s="199" t="b">
        <f>'Fixed inputs'!S165</f>
        <v>1</v>
      </c>
      <c r="T32" s="199" t="b">
        <f>'Fixed inputs'!T165</f>
        <v>1</v>
      </c>
      <c r="U32" s="199" t="b">
        <f>'Fixed inputs'!U165</f>
        <v>1</v>
      </c>
      <c r="V32" s="199" t="b">
        <f>'Fixed inputs'!V165</f>
        <v>1</v>
      </c>
      <c r="W32" s="199" t="b">
        <f>'Fixed inputs'!W165</f>
        <v>0</v>
      </c>
      <c r="X32" s="199" t="b">
        <f>'Fixed inputs'!X165</f>
        <v>1</v>
      </c>
      <c r="Y32" s="199" t="b">
        <f>'Fixed inputs'!Y165</f>
        <v>1</v>
      </c>
      <c r="Z32" s="199" t="b">
        <f>'Fixed inputs'!Z165</f>
        <v>1</v>
      </c>
      <c r="AA32" s="199" t="b">
        <f>'Fixed inputs'!AA165</f>
        <v>1</v>
      </c>
      <c r="AB32" s="199" t="b">
        <f>'Fixed inputs'!AB165</f>
        <v>0</v>
      </c>
      <c r="AC32" s="199" t="b">
        <f>'Fixed inputs'!AC165</f>
        <v>1</v>
      </c>
      <c r="AD32" s="199" t="b">
        <f>'Fixed inputs'!AD165</f>
        <v>1</v>
      </c>
      <c r="AE32" s="199" t="b">
        <f>'Fixed inputs'!AE165</f>
        <v>1</v>
      </c>
      <c r="AF32" s="199" t="b">
        <f>'Fixed inputs'!AF165</f>
        <v>1</v>
      </c>
      <c r="AG32" s="199" t="b">
        <f>'Fixed inputs'!AG165</f>
        <v>1</v>
      </c>
      <c r="AH32" s="199" t="b">
        <f>'Fixed inputs'!AH165</f>
        <v>0</v>
      </c>
      <c r="AI32" s="199" t="b">
        <f>'Fixed inputs'!AI165</f>
        <v>0</v>
      </c>
      <c r="AJ32" s="199" t="b">
        <f>'Fixed inputs'!AJ165</f>
        <v>0</v>
      </c>
      <c r="AK32" s="199" t="b">
        <f>'Fixed inputs'!AK165</f>
        <v>0</v>
      </c>
      <c r="AL32" s="199" t="b">
        <f>'Fixed inputs'!AL165</f>
        <v>0</v>
      </c>
      <c r="AM32" s="199" t="b">
        <f>'Fixed inputs'!AM165</f>
        <v>0</v>
      </c>
      <c r="AN32" s="199" t="b">
        <f>'Fixed inputs'!AN165</f>
        <v>0</v>
      </c>
      <c r="AO32" s="199" t="b">
        <f>'Fixed inputs'!AO165</f>
        <v>0</v>
      </c>
    </row>
    <row r="33" spans="3:43" x14ac:dyDescent="0.25">
      <c r="C33" s="82"/>
      <c r="D33" s="293"/>
      <c r="F33" s="196" t="s">
        <v>1107</v>
      </c>
      <c r="G33" s="196" t="s">
        <v>1024</v>
      </c>
      <c r="H33" s="196"/>
      <c r="I33" s="196"/>
      <c r="J33" s="84" t="b">
        <f>'Fixed inputs'!J166</f>
        <v>1</v>
      </c>
      <c r="K33" s="101"/>
      <c r="L33" s="101"/>
      <c r="M33" s="84" t="b">
        <f>'Fixed inputs'!M166</f>
        <v>1</v>
      </c>
      <c r="N33" s="84" t="b">
        <f>'Fixed inputs'!N166</f>
        <v>1</v>
      </c>
      <c r="O33" s="84" t="b">
        <f>'Fixed inputs'!O166</f>
        <v>1</v>
      </c>
      <c r="P33" s="84" t="b">
        <f>'Fixed inputs'!P166</f>
        <v>1</v>
      </c>
      <c r="Q33" s="101"/>
      <c r="R33" s="101"/>
      <c r="S33" s="84" t="b">
        <f>'Fixed inputs'!S166</f>
        <v>1</v>
      </c>
      <c r="T33" s="84" t="b">
        <f>'Fixed inputs'!T166</f>
        <v>1</v>
      </c>
      <c r="U33" s="84" t="b">
        <f>'Fixed inputs'!U166</f>
        <v>1</v>
      </c>
      <c r="V33" s="84" t="b">
        <f>'Fixed inputs'!V166</f>
        <v>1</v>
      </c>
      <c r="W33" s="101"/>
      <c r="X33" s="84" t="b">
        <f>'Fixed inputs'!X166</f>
        <v>1</v>
      </c>
      <c r="Y33" s="84" t="b">
        <f>'Fixed inputs'!Y166</f>
        <v>1</v>
      </c>
      <c r="Z33" s="84" t="b">
        <f>'Fixed inputs'!Z166</f>
        <v>1</v>
      </c>
      <c r="AA33" s="84" t="b">
        <f>'Fixed inputs'!AA166</f>
        <v>1</v>
      </c>
      <c r="AB33" s="101"/>
      <c r="AC33" s="84" t="b">
        <f>'Fixed inputs'!AC166</f>
        <v>1</v>
      </c>
      <c r="AD33" s="84" t="b">
        <f>'Fixed inputs'!AD166</f>
        <v>1</v>
      </c>
      <c r="AE33" s="84" t="b">
        <f>'Fixed inputs'!AE166</f>
        <v>1</v>
      </c>
      <c r="AF33" s="84" t="b">
        <f>'Fixed inputs'!AF166</f>
        <v>1</v>
      </c>
      <c r="AG33" s="84" t="b">
        <f>'Fixed inputs'!AG166</f>
        <v>0</v>
      </c>
      <c r="AH33" s="101"/>
      <c r="AI33" s="101"/>
      <c r="AJ33" s="101"/>
      <c r="AK33" s="101"/>
      <c r="AL33" s="101"/>
      <c r="AM33" s="101"/>
      <c r="AN33" s="101"/>
      <c r="AO33" s="101"/>
    </row>
    <row r="34" spans="3:43" x14ac:dyDescent="0.25">
      <c r="C34" s="82"/>
      <c r="D34" s="293"/>
      <c r="F34" s="196" t="s">
        <v>1108</v>
      </c>
      <c r="G34" s="196" t="s">
        <v>1024</v>
      </c>
      <c r="H34" s="196"/>
      <c r="I34" s="196"/>
      <c r="J34" s="84" t="b">
        <f>'Fixed inputs'!J167</f>
        <v>0</v>
      </c>
      <c r="K34" s="101"/>
      <c r="L34" s="101"/>
      <c r="M34" s="84" t="b">
        <f>'Fixed inputs'!M167</f>
        <v>0</v>
      </c>
      <c r="N34" s="84" t="b">
        <f>'Fixed inputs'!N167</f>
        <v>0</v>
      </c>
      <c r="O34" s="84" t="b">
        <f>'Fixed inputs'!O167</f>
        <v>0</v>
      </c>
      <c r="P34" s="84" t="b">
        <f>'Fixed inputs'!P167</f>
        <v>0</v>
      </c>
      <c r="Q34" s="101"/>
      <c r="R34" s="101"/>
      <c r="S34" s="84" t="b">
        <f>'Fixed inputs'!S167</f>
        <v>0</v>
      </c>
      <c r="T34" s="84" t="b">
        <f>'Fixed inputs'!T167</f>
        <v>0</v>
      </c>
      <c r="U34" s="84" t="b">
        <f>'Fixed inputs'!U167</f>
        <v>0</v>
      </c>
      <c r="V34" s="84" t="b">
        <f>'Fixed inputs'!V167</f>
        <v>0</v>
      </c>
      <c r="W34" s="101"/>
      <c r="X34" s="84" t="b">
        <f>'Fixed inputs'!X167</f>
        <v>0</v>
      </c>
      <c r="Y34" s="84" t="b">
        <f>'Fixed inputs'!Y167</f>
        <v>0</v>
      </c>
      <c r="Z34" s="84" t="b">
        <f>'Fixed inputs'!Z167</f>
        <v>0</v>
      </c>
      <c r="AA34" s="84" t="b">
        <f>'Fixed inputs'!AA167</f>
        <v>0</v>
      </c>
      <c r="AB34" s="101"/>
      <c r="AC34" s="84" t="b">
        <f>'Fixed inputs'!AC167</f>
        <v>0</v>
      </c>
      <c r="AD34" s="84" t="b">
        <f>'Fixed inputs'!AD167</f>
        <v>0</v>
      </c>
      <c r="AE34" s="84" t="b">
        <f>'Fixed inputs'!AE167</f>
        <v>0</v>
      </c>
      <c r="AF34" s="84" t="b">
        <f>'Fixed inputs'!AF167</f>
        <v>0</v>
      </c>
      <c r="AG34" s="84" t="b">
        <f>'Fixed inputs'!AG167</f>
        <v>1</v>
      </c>
      <c r="AH34" s="101"/>
      <c r="AI34" s="101"/>
      <c r="AJ34" s="101"/>
      <c r="AK34" s="101"/>
      <c r="AL34" s="101"/>
      <c r="AM34" s="101"/>
      <c r="AN34" s="101"/>
      <c r="AO34" s="101"/>
    </row>
    <row r="35" spans="3:43" x14ac:dyDescent="0.25">
      <c r="F35" s="196" t="s">
        <v>1027</v>
      </c>
      <c r="G35" s="196" t="s">
        <v>426</v>
      </c>
      <c r="H35" s="196"/>
      <c r="I35" s="196"/>
      <c r="J35" s="84">
        <f>'Fixed inputs'!J168</f>
        <v>1</v>
      </c>
      <c r="K35" s="101"/>
      <c r="L35" s="101"/>
      <c r="M35" s="84">
        <f>'Fixed inputs'!M168</f>
        <v>2</v>
      </c>
      <c r="N35" s="84">
        <f>'Fixed inputs'!N168</f>
        <v>2</v>
      </c>
      <c r="O35" s="84">
        <f>'Fixed inputs'!O168</f>
        <v>2</v>
      </c>
      <c r="P35" s="84">
        <f>'Fixed inputs'!P168</f>
        <v>2</v>
      </c>
      <c r="Q35" s="101"/>
      <c r="R35" s="101"/>
      <c r="S35" s="84">
        <f>'Fixed inputs'!S168</f>
        <v>3</v>
      </c>
      <c r="T35" s="84">
        <f>'Fixed inputs'!T168</f>
        <v>3</v>
      </c>
      <c r="U35" s="84">
        <f>'Fixed inputs'!U168</f>
        <v>3</v>
      </c>
      <c r="V35" s="84">
        <f>'Fixed inputs'!V168</f>
        <v>3</v>
      </c>
      <c r="W35" s="101"/>
      <c r="X35" s="84">
        <f>'Fixed inputs'!X168</f>
        <v>3</v>
      </c>
      <c r="Y35" s="84">
        <f>'Fixed inputs'!Y168</f>
        <v>3</v>
      </c>
      <c r="Z35" s="84">
        <f>'Fixed inputs'!Z168</f>
        <v>3</v>
      </c>
      <c r="AA35" s="84">
        <f>'Fixed inputs'!AA168</f>
        <v>3</v>
      </c>
      <c r="AB35" s="101"/>
      <c r="AC35" s="84">
        <f>'Fixed inputs'!AC168</f>
        <v>4</v>
      </c>
      <c r="AD35" s="84">
        <f>'Fixed inputs'!AD168</f>
        <v>4</v>
      </c>
      <c r="AE35" s="84">
        <f>'Fixed inputs'!AE168</f>
        <v>4</v>
      </c>
      <c r="AF35" s="84">
        <f>'Fixed inputs'!AF168</f>
        <v>4</v>
      </c>
      <c r="AG35" s="84">
        <f>'Fixed inputs'!AG168</f>
        <v>5</v>
      </c>
      <c r="AH35" s="101"/>
      <c r="AI35" s="101"/>
      <c r="AJ35" s="101"/>
      <c r="AK35" s="101"/>
      <c r="AL35" s="101"/>
      <c r="AM35" s="101"/>
      <c r="AN35" s="101"/>
      <c r="AO35" s="101"/>
    </row>
    <row r="36" spans="3:43" x14ac:dyDescent="0.25">
      <c r="C36" s="82"/>
      <c r="F36" s="196" t="s">
        <v>1028</v>
      </c>
      <c r="G36" s="196" t="s">
        <v>426</v>
      </c>
      <c r="H36" s="196"/>
      <c r="I36" s="196"/>
      <c r="J36" s="84">
        <f>'Fixed inputs'!J169</f>
        <v>1</v>
      </c>
      <c r="K36" s="101"/>
      <c r="L36" s="101"/>
      <c r="M36" s="84">
        <f>'Fixed inputs'!M169</f>
        <v>1</v>
      </c>
      <c r="N36" s="84">
        <f>'Fixed inputs'!N169</f>
        <v>2</v>
      </c>
      <c r="O36" s="84">
        <f>'Fixed inputs'!O169</f>
        <v>3</v>
      </c>
      <c r="P36" s="84">
        <f>'Fixed inputs'!P169</f>
        <v>4</v>
      </c>
      <c r="Q36" s="101"/>
      <c r="R36" s="101"/>
      <c r="S36" s="84">
        <f>'Fixed inputs'!S169</f>
        <v>1</v>
      </c>
      <c r="T36" s="84">
        <f>'Fixed inputs'!T169</f>
        <v>2</v>
      </c>
      <c r="U36" s="84">
        <f>'Fixed inputs'!U169</f>
        <v>3</v>
      </c>
      <c r="V36" s="84">
        <f>'Fixed inputs'!V169</f>
        <v>4</v>
      </c>
      <c r="W36" s="101"/>
      <c r="X36" s="84">
        <f>'Fixed inputs'!X169</f>
        <v>1</v>
      </c>
      <c r="Y36" s="84">
        <f>'Fixed inputs'!Y169</f>
        <v>2</v>
      </c>
      <c r="Z36" s="84">
        <f>'Fixed inputs'!Z169</f>
        <v>3</v>
      </c>
      <c r="AA36" s="84">
        <f>'Fixed inputs'!AA169</f>
        <v>4</v>
      </c>
      <c r="AB36" s="101"/>
      <c r="AC36" s="84">
        <f>'Fixed inputs'!AC169</f>
        <v>1</v>
      </c>
      <c r="AD36" s="84">
        <f>'Fixed inputs'!AD169</f>
        <v>2</v>
      </c>
      <c r="AE36" s="84">
        <f>'Fixed inputs'!AE169</f>
        <v>3</v>
      </c>
      <c r="AF36" s="84">
        <f>'Fixed inputs'!AF169</f>
        <v>4</v>
      </c>
      <c r="AG36" s="84">
        <f>'Fixed inputs'!AG169</f>
        <v>1</v>
      </c>
      <c r="AH36" s="101"/>
      <c r="AI36" s="101"/>
      <c r="AJ36" s="101"/>
      <c r="AK36" s="101"/>
      <c r="AL36" s="101"/>
      <c r="AM36" s="101"/>
      <c r="AN36" s="101"/>
      <c r="AO36" s="101"/>
    </row>
    <row r="37" spans="3:43" x14ac:dyDescent="0.25">
      <c r="D37" s="86"/>
      <c r="F37" s="15" t="s">
        <v>1109</v>
      </c>
      <c r="G37" s="93" t="s">
        <v>426</v>
      </c>
      <c r="H37" s="93"/>
      <c r="I37" s="93"/>
      <c r="J37" s="115">
        <f>'Fixed inputs'!J170</f>
        <v>1</v>
      </c>
      <c r="K37" s="115">
        <f>'Fixed inputs'!K170</f>
        <v>2</v>
      </c>
      <c r="L37" s="115">
        <f>'Fixed inputs'!L170</f>
        <v>3</v>
      </c>
      <c r="M37" s="115">
        <f>'Fixed inputs'!M170</f>
        <v>3</v>
      </c>
      <c r="N37" s="115">
        <f>'Fixed inputs'!N170</f>
        <v>3</v>
      </c>
      <c r="O37" s="115">
        <f>'Fixed inputs'!O170</f>
        <v>3</v>
      </c>
      <c r="P37" s="115">
        <f>'Fixed inputs'!P170</f>
        <v>3</v>
      </c>
      <c r="Q37" s="115">
        <f>'Fixed inputs'!Q170</f>
        <v>4</v>
      </c>
      <c r="R37" s="115">
        <f>'Fixed inputs'!R170</f>
        <v>5</v>
      </c>
      <c r="S37" s="115">
        <f>'Fixed inputs'!S170</f>
        <v>5</v>
      </c>
      <c r="T37" s="115">
        <f>'Fixed inputs'!T170</f>
        <v>5</v>
      </c>
      <c r="U37" s="115">
        <f>'Fixed inputs'!U170</f>
        <v>5</v>
      </c>
      <c r="V37" s="115">
        <f>'Fixed inputs'!V170</f>
        <v>5</v>
      </c>
      <c r="W37" s="115">
        <f>'Fixed inputs'!W170</f>
        <v>6</v>
      </c>
      <c r="X37" s="115">
        <f>'Fixed inputs'!X170</f>
        <v>6</v>
      </c>
      <c r="Y37" s="115">
        <f>'Fixed inputs'!Y170</f>
        <v>6</v>
      </c>
      <c r="Z37" s="115">
        <f>'Fixed inputs'!Z170</f>
        <v>6</v>
      </c>
      <c r="AA37" s="115">
        <f>'Fixed inputs'!AA170</f>
        <v>6</v>
      </c>
      <c r="AB37" s="115">
        <f>'Fixed inputs'!AB170</f>
        <v>7</v>
      </c>
      <c r="AC37" s="115">
        <f>'Fixed inputs'!AC170</f>
        <v>7</v>
      </c>
      <c r="AD37" s="115">
        <f>'Fixed inputs'!AD170</f>
        <v>7</v>
      </c>
      <c r="AE37" s="115">
        <f>'Fixed inputs'!AE170</f>
        <v>7</v>
      </c>
      <c r="AF37" s="115">
        <f>'Fixed inputs'!AF170</f>
        <v>7</v>
      </c>
      <c r="AG37" s="115">
        <f>'Fixed inputs'!AG170</f>
        <v>8</v>
      </c>
      <c r="AH37" s="115">
        <f>'Fixed inputs'!AH170</f>
        <v>9</v>
      </c>
      <c r="AI37" s="115">
        <f>'Fixed inputs'!AI170</f>
        <v>10</v>
      </c>
      <c r="AJ37" s="115">
        <f>'Fixed inputs'!AJ170</f>
        <v>11</v>
      </c>
      <c r="AK37" s="115">
        <f>'Fixed inputs'!AK170</f>
        <v>12</v>
      </c>
      <c r="AL37" s="115">
        <f>'Fixed inputs'!AL170</f>
        <v>13</v>
      </c>
      <c r="AM37" s="115">
        <f>'Fixed inputs'!AM170</f>
        <v>14</v>
      </c>
      <c r="AN37" s="115">
        <f>'Fixed inputs'!AN170</f>
        <v>15</v>
      </c>
      <c r="AO37" s="115">
        <f>'Fixed inputs'!AO170</f>
        <v>16</v>
      </c>
    </row>
    <row r="38" spans="3:43" x14ac:dyDescent="0.25">
      <c r="C38" s="82"/>
      <c r="J38" s="397"/>
      <c r="K38" s="397"/>
      <c r="L38" s="397"/>
      <c r="M38" s="397"/>
      <c r="N38" s="397"/>
      <c r="O38" s="397"/>
      <c r="P38" s="397"/>
      <c r="Q38" s="397"/>
      <c r="R38" s="397"/>
      <c r="S38" s="397"/>
      <c r="T38" s="397"/>
      <c r="U38" s="397"/>
      <c r="V38" s="397"/>
      <c r="W38" s="397"/>
      <c r="X38" s="397"/>
      <c r="Y38" s="397"/>
      <c r="Z38" s="397"/>
      <c r="AA38" s="397"/>
      <c r="AB38" s="397"/>
      <c r="AC38" s="397"/>
      <c r="AD38" s="397"/>
      <c r="AE38" s="397"/>
      <c r="AF38" s="397"/>
      <c r="AG38" s="397"/>
      <c r="AH38" s="397"/>
      <c r="AI38" s="397"/>
      <c r="AJ38" s="397"/>
      <c r="AK38" s="397"/>
      <c r="AL38" s="397"/>
      <c r="AM38" s="397"/>
      <c r="AN38" s="397"/>
      <c r="AO38" s="397"/>
    </row>
    <row r="39" spans="3:43" x14ac:dyDescent="0.25">
      <c r="D39" s="293"/>
      <c r="E39" s="96" t="s">
        <v>253</v>
      </c>
      <c r="F39" s="96"/>
      <c r="J39" s="111"/>
      <c r="K39" s="111"/>
      <c r="L39" s="111"/>
      <c r="M39" s="111"/>
      <c r="N39" s="111"/>
      <c r="O39" s="111"/>
      <c r="P39" s="111"/>
      <c r="Q39" s="111"/>
      <c r="R39" s="111"/>
      <c r="S39" s="111"/>
      <c r="T39" s="111"/>
      <c r="U39" s="111"/>
      <c r="V39" s="111"/>
      <c r="W39" s="111"/>
      <c r="X39" s="111"/>
      <c r="Y39" s="111"/>
      <c r="Z39" s="111"/>
      <c r="AA39" s="111"/>
      <c r="AB39" s="111"/>
      <c r="AC39" s="111"/>
      <c r="AD39" s="111"/>
      <c r="AE39" s="111"/>
      <c r="AF39" s="111"/>
      <c r="AG39" s="111"/>
      <c r="AH39" s="111"/>
      <c r="AI39" s="111"/>
      <c r="AJ39" s="111"/>
      <c r="AK39" s="111"/>
      <c r="AL39" s="111"/>
      <c r="AM39" s="111"/>
      <c r="AN39" s="111"/>
      <c r="AO39" s="111"/>
    </row>
    <row r="40" spans="3:43" x14ac:dyDescent="0.25">
      <c r="D40" s="293"/>
      <c r="E40" s="86"/>
      <c r="F40" s="91" t="s">
        <v>134</v>
      </c>
      <c r="G40" s="91" t="s">
        <v>183</v>
      </c>
      <c r="H40" s="347"/>
      <c r="I40" s="347"/>
      <c r="J40" s="353">
        <f t="shared" ref="J40:AO46" si="0">INDEX($J20:$Y20,J$37)</f>
        <v>8.5989408053984455</v>
      </c>
      <c r="K40" s="353">
        <f t="shared" si="0"/>
        <v>8.5989408053984455</v>
      </c>
      <c r="L40" s="353">
        <f t="shared" si="0"/>
        <v>7.5789555486440312</v>
      </c>
      <c r="M40" s="353">
        <f t="shared" si="0"/>
        <v>7.5789555486440312</v>
      </c>
      <c r="N40" s="353">
        <f t="shared" si="0"/>
        <v>7.5789555486440312</v>
      </c>
      <c r="O40" s="353">
        <f t="shared" si="0"/>
        <v>7.5789555486440312</v>
      </c>
      <c r="P40" s="353">
        <f t="shared" si="0"/>
        <v>7.5789555486440312</v>
      </c>
      <c r="Q40" s="353">
        <f t="shared" si="0"/>
        <v>7.5789555486440312</v>
      </c>
      <c r="R40" s="353">
        <f t="shared" si="0"/>
        <v>5.9204564495108425</v>
      </c>
      <c r="S40" s="353">
        <f t="shared" si="0"/>
        <v>5.9204564495108425</v>
      </c>
      <c r="T40" s="353">
        <f t="shared" si="0"/>
        <v>5.9204564495108425</v>
      </c>
      <c r="U40" s="353">
        <f t="shared" si="0"/>
        <v>5.9204564495108425</v>
      </c>
      <c r="V40" s="353">
        <f t="shared" si="0"/>
        <v>5.9204564495108425</v>
      </c>
      <c r="W40" s="353">
        <f t="shared" si="0"/>
        <v>3.9038218301509833</v>
      </c>
      <c r="X40" s="353">
        <f t="shared" si="0"/>
        <v>3.9038218301509833</v>
      </c>
      <c r="Y40" s="353">
        <f t="shared" si="0"/>
        <v>3.9038218301509833</v>
      </c>
      <c r="Z40" s="353">
        <f t="shared" si="0"/>
        <v>3.9038218301509833</v>
      </c>
      <c r="AA40" s="353">
        <f t="shared" si="0"/>
        <v>3.9038218301509833</v>
      </c>
      <c r="AB40" s="353">
        <f t="shared" si="0"/>
        <v>3.1819974844838343</v>
      </c>
      <c r="AC40" s="353">
        <f t="shared" si="0"/>
        <v>3.1819974844838343</v>
      </c>
      <c r="AD40" s="353">
        <f t="shared" si="0"/>
        <v>3.1819974844838343</v>
      </c>
      <c r="AE40" s="353">
        <f t="shared" si="0"/>
        <v>3.1819974844838343</v>
      </c>
      <c r="AF40" s="353">
        <f t="shared" si="0"/>
        <v>3.1819974844838343</v>
      </c>
      <c r="AG40" s="353">
        <f t="shared" si="0"/>
        <v>19.148182617811354</v>
      </c>
      <c r="AH40" s="353">
        <f t="shared" si="0"/>
        <v>-5.8360481944946567</v>
      </c>
      <c r="AI40" s="353">
        <f t="shared" si="0"/>
        <v>-5.2137444437929998</v>
      </c>
      <c r="AJ40" s="353">
        <f t="shared" si="0"/>
        <v>-5.8360481944946567</v>
      </c>
      <c r="AK40" s="353">
        <f t="shared" si="0"/>
        <v>-5.8360481944946567</v>
      </c>
      <c r="AL40" s="353">
        <f t="shared" si="0"/>
        <v>-5.2137444437929998</v>
      </c>
      <c r="AM40" s="353">
        <f t="shared" si="0"/>
        <v>-5.2137444437929998</v>
      </c>
      <c r="AN40" s="353">
        <f t="shared" si="0"/>
        <v>-4.0256541373289458</v>
      </c>
      <c r="AO40" s="353">
        <f t="shared" si="0"/>
        <v>-4.0256541373289458</v>
      </c>
      <c r="AP40" s="349"/>
      <c r="AQ40" s="349"/>
    </row>
    <row r="41" spans="3:43" x14ac:dyDescent="0.25">
      <c r="D41" s="293"/>
      <c r="E41" s="86"/>
      <c r="F41" s="293" t="s">
        <v>135</v>
      </c>
      <c r="G41" s="293" t="s">
        <v>183</v>
      </c>
      <c r="H41" s="349"/>
      <c r="I41" s="349"/>
      <c r="J41" s="354">
        <f t="shared" si="0"/>
        <v>1.1153673022347455</v>
      </c>
      <c r="K41" s="354">
        <f t="shared" si="0"/>
        <v>1.1153673022347455</v>
      </c>
      <c r="L41" s="354">
        <f t="shared" si="0"/>
        <v>0.98306516992664039</v>
      </c>
      <c r="M41" s="354">
        <f t="shared" si="0"/>
        <v>0.98306516992664039</v>
      </c>
      <c r="N41" s="354">
        <f t="shared" si="0"/>
        <v>0.98306516992664039</v>
      </c>
      <c r="O41" s="354">
        <f t="shared" si="0"/>
        <v>0.98306516992664039</v>
      </c>
      <c r="P41" s="354">
        <f t="shared" si="0"/>
        <v>0.98306516992664039</v>
      </c>
      <c r="Q41" s="354">
        <f t="shared" si="0"/>
        <v>0.98306516992664039</v>
      </c>
      <c r="R41" s="354">
        <f t="shared" si="0"/>
        <v>0.66178237649677973</v>
      </c>
      <c r="S41" s="354">
        <f t="shared" si="0"/>
        <v>0.66178237649677973</v>
      </c>
      <c r="T41" s="354">
        <f t="shared" si="0"/>
        <v>0.66178237649677973</v>
      </c>
      <c r="U41" s="354">
        <f t="shared" si="0"/>
        <v>0.66178237649677973</v>
      </c>
      <c r="V41" s="354">
        <f t="shared" si="0"/>
        <v>0.66178237649677973</v>
      </c>
      <c r="W41" s="354">
        <f t="shared" si="0"/>
        <v>0.2984634805719768</v>
      </c>
      <c r="X41" s="354">
        <f t="shared" si="0"/>
        <v>0.2984634805719768</v>
      </c>
      <c r="Y41" s="354">
        <f t="shared" si="0"/>
        <v>0.2984634805719768</v>
      </c>
      <c r="Z41" s="354">
        <f t="shared" si="0"/>
        <v>0.2984634805719768</v>
      </c>
      <c r="AA41" s="354">
        <f t="shared" si="0"/>
        <v>0.2984634805719768</v>
      </c>
      <c r="AB41" s="354">
        <f t="shared" si="0"/>
        <v>0.21573751303447605</v>
      </c>
      <c r="AC41" s="354">
        <f t="shared" si="0"/>
        <v>0.21573751303447605</v>
      </c>
      <c r="AD41" s="354">
        <f t="shared" si="0"/>
        <v>0.21573751303447605</v>
      </c>
      <c r="AE41" s="354">
        <f t="shared" si="0"/>
        <v>0.21573751303447605</v>
      </c>
      <c r="AF41" s="354">
        <f t="shared" si="0"/>
        <v>0.21573751303447605</v>
      </c>
      <c r="AG41" s="354">
        <f t="shared" si="0"/>
        <v>3.0935343821070407</v>
      </c>
      <c r="AH41" s="354">
        <f t="shared" si="0"/>
        <v>-0.75699292246771566</v>
      </c>
      <c r="AI41" s="354">
        <f t="shared" si="0"/>
        <v>-0.61914773795816491</v>
      </c>
      <c r="AJ41" s="354">
        <f t="shared" si="0"/>
        <v>-0.75699292246771566</v>
      </c>
      <c r="AK41" s="354">
        <f t="shared" si="0"/>
        <v>-0.75699292246771566</v>
      </c>
      <c r="AL41" s="354">
        <f t="shared" si="0"/>
        <v>-0.61914773795816491</v>
      </c>
      <c r="AM41" s="354">
        <f t="shared" si="0"/>
        <v>-0.61914773795816491</v>
      </c>
      <c r="AN41" s="354">
        <f t="shared" si="0"/>
        <v>-0.30677292562270519</v>
      </c>
      <c r="AO41" s="354">
        <f t="shared" si="0"/>
        <v>-0.30677292562270519</v>
      </c>
      <c r="AP41" s="349"/>
      <c r="AQ41" s="349"/>
    </row>
    <row r="42" spans="3:43" x14ac:dyDescent="0.25">
      <c r="D42" s="293"/>
      <c r="E42" s="86"/>
      <c r="F42" s="293" t="s">
        <v>136</v>
      </c>
      <c r="G42" s="293" t="s">
        <v>183</v>
      </c>
      <c r="H42" s="349"/>
      <c r="I42" s="349"/>
      <c r="J42" s="354">
        <f t="shared" si="0"/>
        <v>5.4036633774757072E-2</v>
      </c>
      <c r="K42" s="354">
        <f t="shared" si="0"/>
        <v>5.4036633774757072E-2</v>
      </c>
      <c r="L42" s="354">
        <f t="shared" si="0"/>
        <v>4.7626940880919788E-2</v>
      </c>
      <c r="M42" s="354">
        <f t="shared" si="0"/>
        <v>4.7626940880919788E-2</v>
      </c>
      <c r="N42" s="354">
        <f t="shared" si="0"/>
        <v>4.7626940880919788E-2</v>
      </c>
      <c r="O42" s="354">
        <f t="shared" si="0"/>
        <v>4.7626940880919788E-2</v>
      </c>
      <c r="P42" s="354">
        <f t="shared" si="0"/>
        <v>4.7626940880919788E-2</v>
      </c>
      <c r="Q42" s="354">
        <f t="shared" si="0"/>
        <v>4.7626940880919788E-2</v>
      </c>
      <c r="R42" s="354">
        <f t="shared" si="0"/>
        <v>3.1035197909388225E-2</v>
      </c>
      <c r="S42" s="354">
        <f t="shared" si="0"/>
        <v>3.1035197909388225E-2</v>
      </c>
      <c r="T42" s="354">
        <f t="shared" si="0"/>
        <v>3.1035197909388225E-2</v>
      </c>
      <c r="U42" s="354">
        <f t="shared" si="0"/>
        <v>3.1035197909388225E-2</v>
      </c>
      <c r="V42" s="354">
        <f t="shared" si="0"/>
        <v>3.1035197909388225E-2</v>
      </c>
      <c r="W42" s="354">
        <f t="shared" si="0"/>
        <v>1.2449628384906991E-2</v>
      </c>
      <c r="X42" s="354">
        <f t="shared" si="0"/>
        <v>1.2449628384906991E-2</v>
      </c>
      <c r="Y42" s="354">
        <f t="shared" si="0"/>
        <v>1.2449628384906991E-2</v>
      </c>
      <c r="Z42" s="354">
        <f t="shared" si="0"/>
        <v>1.2449628384906991E-2</v>
      </c>
      <c r="AA42" s="354">
        <f t="shared" si="0"/>
        <v>1.2449628384906991E-2</v>
      </c>
      <c r="AB42" s="354">
        <f t="shared" si="0"/>
        <v>8.8557083461529313E-3</v>
      </c>
      <c r="AC42" s="354">
        <f t="shared" si="0"/>
        <v>8.8557083461529313E-3</v>
      </c>
      <c r="AD42" s="354">
        <f t="shared" si="0"/>
        <v>8.8557083461529313E-3</v>
      </c>
      <c r="AE42" s="354">
        <f t="shared" si="0"/>
        <v>8.8557083461529313E-3</v>
      </c>
      <c r="AF42" s="354">
        <f t="shared" si="0"/>
        <v>8.8557083461529313E-3</v>
      </c>
      <c r="AG42" s="354">
        <f t="shared" si="0"/>
        <v>2.2516877263377024</v>
      </c>
      <c r="AH42" s="354">
        <f t="shared" si="0"/>
        <v>-3.6674330724518492E-2</v>
      </c>
      <c r="AI42" s="354">
        <f t="shared" si="0"/>
        <v>-2.9443749546248729E-2</v>
      </c>
      <c r="AJ42" s="354">
        <f t="shared" si="0"/>
        <v>-3.6674330724518492E-2</v>
      </c>
      <c r="AK42" s="354">
        <f t="shared" si="0"/>
        <v>-3.6674330724518492E-2</v>
      </c>
      <c r="AL42" s="354">
        <f t="shared" si="0"/>
        <v>-2.9443749546248729E-2</v>
      </c>
      <c r="AM42" s="354">
        <f t="shared" si="0"/>
        <v>-2.9443749546248729E-2</v>
      </c>
      <c r="AN42" s="354">
        <f t="shared" si="0"/>
        <v>-1.2791007958297398E-2</v>
      </c>
      <c r="AO42" s="354">
        <f t="shared" si="0"/>
        <v>-1.2791007958297398E-2</v>
      </c>
      <c r="AP42" s="349"/>
      <c r="AQ42" s="349"/>
    </row>
    <row r="43" spans="3:43" x14ac:dyDescent="0.25">
      <c r="D43" s="293"/>
      <c r="E43" s="86"/>
      <c r="F43" s="293" t="s">
        <v>254</v>
      </c>
      <c r="G43" s="293" t="s">
        <v>252</v>
      </c>
      <c r="J43" s="233">
        <f t="shared" si="0"/>
        <v>4.9279307983675391</v>
      </c>
      <c r="K43" s="233">
        <f t="shared" si="0"/>
        <v>0</v>
      </c>
      <c r="L43" s="233">
        <f t="shared" si="0"/>
        <v>7.9896450085368196</v>
      </c>
      <c r="M43" s="233">
        <f t="shared" si="0"/>
        <v>7.9896450085368196</v>
      </c>
      <c r="N43" s="233">
        <f t="shared" si="0"/>
        <v>7.9896450085368196</v>
      </c>
      <c r="O43" s="233">
        <f t="shared" si="0"/>
        <v>7.9896450085368196</v>
      </c>
      <c r="P43" s="233">
        <f t="shared" si="0"/>
        <v>7.9896450085368196</v>
      </c>
      <c r="Q43" s="233">
        <f t="shared" si="0"/>
        <v>0</v>
      </c>
      <c r="R43" s="233">
        <f t="shared" si="0"/>
        <v>17.100837763983357</v>
      </c>
      <c r="S43" s="233">
        <f t="shared" si="0"/>
        <v>17.100837763983357</v>
      </c>
      <c r="T43" s="233">
        <f t="shared" si="0"/>
        <v>17.100837763983357</v>
      </c>
      <c r="U43" s="233">
        <f t="shared" si="0"/>
        <v>17.100837763983357</v>
      </c>
      <c r="V43" s="233">
        <f t="shared" si="0"/>
        <v>17.100837763983357</v>
      </c>
      <c r="W43" s="233">
        <f t="shared" si="0"/>
        <v>40.100013861515436</v>
      </c>
      <c r="X43" s="233">
        <f t="shared" si="0"/>
        <v>40.100013861515436</v>
      </c>
      <c r="Y43" s="233">
        <f t="shared" si="0"/>
        <v>40.100013861515436</v>
      </c>
      <c r="Z43" s="233">
        <f t="shared" si="0"/>
        <v>40.100013861515436</v>
      </c>
      <c r="AA43" s="233">
        <f t="shared" si="0"/>
        <v>40.100013861515436</v>
      </c>
      <c r="AB43" s="233">
        <f t="shared" si="0"/>
        <v>174.18069137616291</v>
      </c>
      <c r="AC43" s="233">
        <f t="shared" si="0"/>
        <v>174.18069137616291</v>
      </c>
      <c r="AD43" s="233">
        <f t="shared" si="0"/>
        <v>174.18069137616291</v>
      </c>
      <c r="AE43" s="233">
        <f t="shared" si="0"/>
        <v>174.18069137616291</v>
      </c>
      <c r="AF43" s="233">
        <f t="shared" si="0"/>
        <v>174.18069137616291</v>
      </c>
      <c r="AG43" s="233">
        <f t="shared" si="0"/>
        <v>0</v>
      </c>
      <c r="AH43" s="233">
        <f t="shared" si="0"/>
        <v>0</v>
      </c>
      <c r="AI43" s="233">
        <f t="shared" si="0"/>
        <v>0</v>
      </c>
      <c r="AJ43" s="233">
        <f t="shared" si="0"/>
        <v>0</v>
      </c>
      <c r="AK43" s="233">
        <f t="shared" si="0"/>
        <v>0</v>
      </c>
      <c r="AL43" s="233">
        <f t="shared" si="0"/>
        <v>0</v>
      </c>
      <c r="AM43" s="233">
        <f t="shared" si="0"/>
        <v>0</v>
      </c>
      <c r="AN43" s="233">
        <f t="shared" si="0"/>
        <v>348.54955153486407</v>
      </c>
      <c r="AO43" s="233">
        <f t="shared" si="0"/>
        <v>348.54955153486407</v>
      </c>
    </row>
    <row r="44" spans="3:43" x14ac:dyDescent="0.25">
      <c r="D44" s="293"/>
      <c r="E44" s="86"/>
      <c r="F44" s="293" t="s">
        <v>255</v>
      </c>
      <c r="G44" s="293" t="s">
        <v>251</v>
      </c>
      <c r="J44" s="233">
        <f t="shared" si="0"/>
        <v>0</v>
      </c>
      <c r="K44" s="233">
        <f t="shared" si="0"/>
        <v>0</v>
      </c>
      <c r="L44" s="233">
        <f t="shared" si="0"/>
        <v>0</v>
      </c>
      <c r="M44" s="233">
        <f t="shared" si="0"/>
        <v>0</v>
      </c>
      <c r="N44" s="233">
        <f t="shared" si="0"/>
        <v>0</v>
      </c>
      <c r="O44" s="233">
        <f t="shared" si="0"/>
        <v>0</v>
      </c>
      <c r="P44" s="233">
        <f t="shared" si="0"/>
        <v>0</v>
      </c>
      <c r="Q44" s="233">
        <f t="shared" si="0"/>
        <v>0</v>
      </c>
      <c r="R44" s="233">
        <f t="shared" si="0"/>
        <v>3.6596972672004675</v>
      </c>
      <c r="S44" s="233">
        <f t="shared" si="0"/>
        <v>3.6596972672004675</v>
      </c>
      <c r="T44" s="233">
        <f t="shared" si="0"/>
        <v>3.6596972672004675</v>
      </c>
      <c r="U44" s="233">
        <f t="shared" si="0"/>
        <v>3.6596972672004675</v>
      </c>
      <c r="V44" s="233">
        <f t="shared" si="0"/>
        <v>3.6596972672004675</v>
      </c>
      <c r="W44" s="233">
        <f t="shared" si="0"/>
        <v>4.9214500674876485</v>
      </c>
      <c r="X44" s="233">
        <f t="shared" si="0"/>
        <v>4.9214500674876485</v>
      </c>
      <c r="Y44" s="233">
        <f t="shared" si="0"/>
        <v>4.9214500674876485</v>
      </c>
      <c r="Z44" s="233">
        <f t="shared" si="0"/>
        <v>4.9214500674876485</v>
      </c>
      <c r="AA44" s="233">
        <f t="shared" si="0"/>
        <v>4.9214500674876485</v>
      </c>
      <c r="AB44" s="233">
        <f t="shared" si="0"/>
        <v>5.8732158802325856</v>
      </c>
      <c r="AC44" s="233">
        <f t="shared" si="0"/>
        <v>5.8732158802325856</v>
      </c>
      <c r="AD44" s="233">
        <f t="shared" si="0"/>
        <v>5.8732158802325856</v>
      </c>
      <c r="AE44" s="233">
        <f t="shared" si="0"/>
        <v>5.8732158802325856</v>
      </c>
      <c r="AF44" s="233">
        <f t="shared" si="0"/>
        <v>5.8732158802325856</v>
      </c>
      <c r="AG44" s="233">
        <f t="shared" si="0"/>
        <v>0</v>
      </c>
      <c r="AH44" s="233">
        <f t="shared" si="0"/>
        <v>0</v>
      </c>
      <c r="AI44" s="233">
        <f t="shared" si="0"/>
        <v>0</v>
      </c>
      <c r="AJ44" s="233">
        <f t="shared" si="0"/>
        <v>0</v>
      </c>
      <c r="AK44" s="233">
        <f t="shared" si="0"/>
        <v>0</v>
      </c>
      <c r="AL44" s="233">
        <f t="shared" si="0"/>
        <v>0</v>
      </c>
      <c r="AM44" s="233">
        <f t="shared" si="0"/>
        <v>0</v>
      </c>
      <c r="AN44" s="233">
        <f t="shared" si="0"/>
        <v>0</v>
      </c>
      <c r="AO44" s="233">
        <f t="shared" si="0"/>
        <v>0</v>
      </c>
    </row>
    <row r="45" spans="3:43" x14ac:dyDescent="0.25">
      <c r="D45" s="293"/>
      <c r="E45" s="86"/>
      <c r="F45" s="293" t="s">
        <v>256</v>
      </c>
      <c r="G45" s="293" t="s">
        <v>251</v>
      </c>
      <c r="J45" s="233">
        <f t="shared" si="0"/>
        <v>0</v>
      </c>
      <c r="K45" s="233">
        <f t="shared" si="0"/>
        <v>0</v>
      </c>
      <c r="L45" s="233">
        <f t="shared" si="0"/>
        <v>0</v>
      </c>
      <c r="M45" s="233">
        <f t="shared" si="0"/>
        <v>0</v>
      </c>
      <c r="N45" s="233">
        <f t="shared" si="0"/>
        <v>0</v>
      </c>
      <c r="O45" s="233">
        <f t="shared" si="0"/>
        <v>0</v>
      </c>
      <c r="P45" s="233">
        <f t="shared" si="0"/>
        <v>0</v>
      </c>
      <c r="Q45" s="233">
        <f t="shared" si="0"/>
        <v>0</v>
      </c>
      <c r="R45" s="233">
        <f t="shared" si="0"/>
        <v>6.8377600807265617</v>
      </c>
      <c r="S45" s="233">
        <f t="shared" si="0"/>
        <v>6.8377600807265617</v>
      </c>
      <c r="T45" s="233">
        <f t="shared" si="0"/>
        <v>6.8377600807265617</v>
      </c>
      <c r="U45" s="233">
        <f t="shared" si="0"/>
        <v>6.8377600807265617</v>
      </c>
      <c r="V45" s="233">
        <f t="shared" si="0"/>
        <v>6.8377600807265617</v>
      </c>
      <c r="W45" s="233">
        <f t="shared" si="0"/>
        <v>6.4250662718968972</v>
      </c>
      <c r="X45" s="233">
        <f t="shared" si="0"/>
        <v>6.4250662718968972</v>
      </c>
      <c r="Y45" s="233">
        <f t="shared" si="0"/>
        <v>6.4250662718968972</v>
      </c>
      <c r="Z45" s="233">
        <f t="shared" si="0"/>
        <v>6.4250662718968972</v>
      </c>
      <c r="AA45" s="233">
        <f t="shared" si="0"/>
        <v>6.4250662718968972</v>
      </c>
      <c r="AB45" s="233">
        <f t="shared" si="0"/>
        <v>7.0962072937622995</v>
      </c>
      <c r="AC45" s="233">
        <f t="shared" si="0"/>
        <v>7.0962072937622995</v>
      </c>
      <c r="AD45" s="233">
        <f t="shared" si="0"/>
        <v>7.0962072937622995</v>
      </c>
      <c r="AE45" s="233">
        <f t="shared" si="0"/>
        <v>7.0962072937622995</v>
      </c>
      <c r="AF45" s="233">
        <f t="shared" si="0"/>
        <v>7.0962072937622995</v>
      </c>
      <c r="AG45" s="233">
        <f t="shared" si="0"/>
        <v>0</v>
      </c>
      <c r="AH45" s="233">
        <f t="shared" si="0"/>
        <v>0</v>
      </c>
      <c r="AI45" s="233">
        <f t="shared" si="0"/>
        <v>0</v>
      </c>
      <c r="AJ45" s="233">
        <f t="shared" si="0"/>
        <v>0</v>
      </c>
      <c r="AK45" s="233">
        <f t="shared" si="0"/>
        <v>0</v>
      </c>
      <c r="AL45" s="233">
        <f t="shared" si="0"/>
        <v>0</v>
      </c>
      <c r="AM45" s="233">
        <f t="shared" si="0"/>
        <v>0</v>
      </c>
      <c r="AN45" s="233">
        <f t="shared" si="0"/>
        <v>0</v>
      </c>
      <c r="AO45" s="233">
        <f t="shared" si="0"/>
        <v>0</v>
      </c>
    </row>
    <row r="46" spans="3:43" x14ac:dyDescent="0.25">
      <c r="D46" s="293"/>
      <c r="E46" s="86"/>
      <c r="F46" s="93" t="s">
        <v>257</v>
      </c>
      <c r="G46" s="93" t="s">
        <v>258</v>
      </c>
      <c r="H46" s="351"/>
      <c r="I46" s="351"/>
      <c r="J46" s="355">
        <f t="shared" si="0"/>
        <v>0</v>
      </c>
      <c r="K46" s="355">
        <f t="shared" si="0"/>
        <v>0</v>
      </c>
      <c r="L46" s="355">
        <f t="shared" si="0"/>
        <v>0</v>
      </c>
      <c r="M46" s="355">
        <f t="shared" si="0"/>
        <v>0</v>
      </c>
      <c r="N46" s="355">
        <f t="shared" si="0"/>
        <v>0</v>
      </c>
      <c r="O46" s="355">
        <f t="shared" si="0"/>
        <v>0</v>
      </c>
      <c r="P46" s="355">
        <f t="shared" si="0"/>
        <v>0</v>
      </c>
      <c r="Q46" s="355">
        <f t="shared" si="0"/>
        <v>0</v>
      </c>
      <c r="R46" s="355">
        <f t="shared" si="0"/>
        <v>0.22036731235800763</v>
      </c>
      <c r="S46" s="355">
        <f t="shared" si="0"/>
        <v>0.22036731235800763</v>
      </c>
      <c r="T46" s="355">
        <f t="shared" si="0"/>
        <v>0.22036731235800763</v>
      </c>
      <c r="U46" s="355">
        <f t="shared" si="0"/>
        <v>0.22036731235800763</v>
      </c>
      <c r="V46" s="355">
        <f t="shared" si="0"/>
        <v>0.22036731235800763</v>
      </c>
      <c r="W46" s="355">
        <f t="shared" si="0"/>
        <v>0.12269322893536748</v>
      </c>
      <c r="X46" s="355">
        <f t="shared" si="0"/>
        <v>0.12269322893536748</v>
      </c>
      <c r="Y46" s="355">
        <f t="shared" si="0"/>
        <v>0.12269322893536748</v>
      </c>
      <c r="Z46" s="355">
        <f t="shared" si="0"/>
        <v>0.12269322893536748</v>
      </c>
      <c r="AA46" s="355">
        <f t="shared" si="0"/>
        <v>0.12269322893536748</v>
      </c>
      <c r="AB46" s="355">
        <f t="shared" si="0"/>
        <v>9.3090604229866633E-2</v>
      </c>
      <c r="AC46" s="355">
        <f t="shared" si="0"/>
        <v>9.3090604229866633E-2</v>
      </c>
      <c r="AD46" s="355">
        <f t="shared" si="0"/>
        <v>9.3090604229866633E-2</v>
      </c>
      <c r="AE46" s="355">
        <f t="shared" si="0"/>
        <v>9.3090604229866633E-2</v>
      </c>
      <c r="AF46" s="355">
        <f t="shared" si="0"/>
        <v>9.3090604229866633E-2</v>
      </c>
      <c r="AG46" s="355">
        <f t="shared" si="0"/>
        <v>0</v>
      </c>
      <c r="AH46" s="355">
        <f t="shared" si="0"/>
        <v>0</v>
      </c>
      <c r="AI46" s="355">
        <f t="shared" si="0"/>
        <v>0</v>
      </c>
      <c r="AJ46" s="355">
        <f t="shared" si="0"/>
        <v>0.22775582195180466</v>
      </c>
      <c r="AK46" s="355">
        <f t="shared" si="0"/>
        <v>0</v>
      </c>
      <c r="AL46" s="355">
        <f t="shared" si="0"/>
        <v>0.19093175752897684</v>
      </c>
      <c r="AM46" s="355">
        <f t="shared" si="0"/>
        <v>0</v>
      </c>
      <c r="AN46" s="355">
        <f t="shared" si="0"/>
        <v>0.16596197763913481</v>
      </c>
      <c r="AO46" s="355">
        <f t="shared" si="0"/>
        <v>0</v>
      </c>
      <c r="AP46" s="349"/>
      <c r="AQ46" s="349"/>
    </row>
    <row r="47" spans="3:43" x14ac:dyDescent="0.25">
      <c r="D47" s="293"/>
      <c r="E47" s="86"/>
      <c r="J47" s="237"/>
      <c r="K47" s="237"/>
      <c r="L47" s="237"/>
      <c r="M47" s="237"/>
      <c r="N47" s="237"/>
      <c r="O47" s="237"/>
      <c r="P47" s="237"/>
      <c r="Q47" s="237"/>
      <c r="R47" s="237"/>
      <c r="S47" s="237"/>
      <c r="T47" s="237"/>
      <c r="U47" s="237"/>
      <c r="V47" s="237"/>
      <c r="W47" s="237"/>
      <c r="X47" s="237"/>
      <c r="Y47" s="237"/>
      <c r="Z47" s="237"/>
      <c r="AA47" s="237"/>
      <c r="AB47" s="237"/>
      <c r="AC47" s="237"/>
      <c r="AD47" s="237"/>
      <c r="AE47" s="237"/>
      <c r="AF47" s="237"/>
      <c r="AG47" s="237"/>
      <c r="AH47" s="237"/>
      <c r="AI47" s="237"/>
      <c r="AJ47" s="237"/>
      <c r="AK47" s="237"/>
      <c r="AL47" s="237"/>
      <c r="AM47" s="237"/>
      <c r="AN47" s="237"/>
      <c r="AO47" s="237"/>
    </row>
    <row r="48" spans="3:43" x14ac:dyDescent="0.25">
      <c r="D48" s="293"/>
      <c r="E48" s="14" t="s">
        <v>972</v>
      </c>
      <c r="F48" s="472"/>
      <c r="G48" s="293" t="s">
        <v>252</v>
      </c>
      <c r="J48" s="233">
        <f t="shared" ref="J48:AO48" si="1">INDEX($J29:$Y29,J$37)</f>
        <v>0.26473327004897218</v>
      </c>
      <c r="K48" s="233">
        <f t="shared" si="1"/>
        <v>0</v>
      </c>
      <c r="L48" s="233">
        <f t="shared" si="1"/>
        <v>0.16438117795441043</v>
      </c>
      <c r="M48" s="233">
        <f t="shared" si="1"/>
        <v>0.16438117795441043</v>
      </c>
      <c r="N48" s="233">
        <f t="shared" si="1"/>
        <v>0.16438117795441043</v>
      </c>
      <c r="O48" s="233">
        <f t="shared" si="1"/>
        <v>0.16438117795441043</v>
      </c>
      <c r="P48" s="233">
        <f t="shared" si="1"/>
        <v>0.16438117795441043</v>
      </c>
      <c r="Q48" s="233">
        <f t="shared" si="1"/>
        <v>0</v>
      </c>
      <c r="R48" s="233">
        <f t="shared" si="1"/>
        <v>0.16438117795441043</v>
      </c>
      <c r="S48" s="233">
        <f t="shared" si="1"/>
        <v>0.16438117795441043</v>
      </c>
      <c r="T48" s="233">
        <f t="shared" si="1"/>
        <v>0.16438117795441043</v>
      </c>
      <c r="U48" s="233">
        <f t="shared" si="1"/>
        <v>0.16438117795441043</v>
      </c>
      <c r="V48" s="233">
        <f t="shared" si="1"/>
        <v>0.16438117795441043</v>
      </c>
      <c r="W48" s="233">
        <f t="shared" si="1"/>
        <v>0.16438117795441043</v>
      </c>
      <c r="X48" s="233">
        <f t="shared" si="1"/>
        <v>0.16438117795441043</v>
      </c>
      <c r="Y48" s="233">
        <f t="shared" si="1"/>
        <v>0.16438117795441043</v>
      </c>
      <c r="Z48" s="233">
        <f t="shared" si="1"/>
        <v>0.16438117795441043</v>
      </c>
      <c r="AA48" s="233">
        <f t="shared" si="1"/>
        <v>0.16438117795441043</v>
      </c>
      <c r="AB48" s="233">
        <f t="shared" si="1"/>
        <v>0.16438117795441043</v>
      </c>
      <c r="AC48" s="233">
        <f t="shared" si="1"/>
        <v>0.16438117795441043</v>
      </c>
      <c r="AD48" s="233">
        <f t="shared" si="1"/>
        <v>0.16438117795441043</v>
      </c>
      <c r="AE48" s="233">
        <f t="shared" si="1"/>
        <v>0.16438117795441043</v>
      </c>
      <c r="AF48" s="233">
        <f t="shared" si="1"/>
        <v>0.16438117795441043</v>
      </c>
      <c r="AG48" s="233">
        <f t="shared" si="1"/>
        <v>0</v>
      </c>
      <c r="AH48" s="233">
        <f t="shared" si="1"/>
        <v>0</v>
      </c>
      <c r="AI48" s="233">
        <f t="shared" si="1"/>
        <v>0</v>
      </c>
      <c r="AJ48" s="233">
        <f t="shared" si="1"/>
        <v>0</v>
      </c>
      <c r="AK48" s="233">
        <f t="shared" si="1"/>
        <v>0</v>
      </c>
      <c r="AL48" s="233">
        <f t="shared" si="1"/>
        <v>0</v>
      </c>
      <c r="AM48" s="233">
        <f t="shared" si="1"/>
        <v>0</v>
      </c>
      <c r="AN48" s="233">
        <f t="shared" si="1"/>
        <v>0</v>
      </c>
      <c r="AO48" s="233">
        <f t="shared" si="1"/>
        <v>0</v>
      </c>
    </row>
    <row r="49" spans="4:41" x14ac:dyDescent="0.25">
      <c r="D49" s="293"/>
      <c r="E49" s="86"/>
      <c r="J49" s="237"/>
      <c r="K49" s="237"/>
      <c r="L49" s="237"/>
      <c r="M49" s="237"/>
      <c r="N49" s="237"/>
      <c r="O49" s="237"/>
      <c r="P49" s="237"/>
      <c r="Q49" s="237"/>
      <c r="R49" s="237"/>
      <c r="S49" s="237"/>
      <c r="T49" s="237"/>
      <c r="U49" s="237"/>
      <c r="V49" s="237"/>
      <c r="W49" s="237"/>
      <c r="X49" s="237"/>
      <c r="Y49" s="237"/>
      <c r="Z49" s="237"/>
      <c r="AA49" s="237"/>
      <c r="AB49" s="237"/>
      <c r="AC49" s="237"/>
      <c r="AD49" s="237"/>
      <c r="AE49" s="237"/>
      <c r="AF49" s="237"/>
      <c r="AG49" s="237"/>
      <c r="AH49" s="237"/>
      <c r="AI49" s="237"/>
      <c r="AJ49" s="237"/>
      <c r="AK49" s="237"/>
      <c r="AL49" s="237"/>
      <c r="AM49" s="237"/>
      <c r="AN49" s="237"/>
      <c r="AO49" s="237"/>
    </row>
    <row r="50" spans="4:41" x14ac:dyDescent="0.25">
      <c r="D50" s="293"/>
      <c r="E50" s="96" t="s">
        <v>272</v>
      </c>
      <c r="J50" s="237"/>
      <c r="K50" s="237"/>
      <c r="L50" s="237"/>
      <c r="M50" s="237"/>
      <c r="N50" s="237"/>
      <c r="O50" s="237"/>
      <c r="P50" s="237"/>
      <c r="Q50" s="237"/>
      <c r="R50" s="237"/>
      <c r="S50" s="237"/>
      <c r="T50" s="237"/>
      <c r="U50" s="237"/>
      <c r="V50" s="237"/>
      <c r="W50" s="237"/>
      <c r="X50" s="237"/>
      <c r="Y50" s="237"/>
      <c r="Z50" s="237"/>
      <c r="AA50" s="237"/>
      <c r="AB50" s="237"/>
      <c r="AC50" s="237"/>
      <c r="AD50" s="237"/>
      <c r="AE50" s="237"/>
      <c r="AF50" s="237"/>
      <c r="AG50" s="237"/>
      <c r="AH50" s="237"/>
      <c r="AI50" s="237"/>
      <c r="AJ50" s="237"/>
      <c r="AK50" s="237"/>
      <c r="AL50" s="237"/>
      <c r="AM50" s="237"/>
      <c r="AN50" s="237"/>
      <c r="AO50" s="237"/>
    </row>
    <row r="51" spans="4:41" x14ac:dyDescent="0.25">
      <c r="D51" s="293"/>
      <c r="E51" s="96"/>
      <c r="F51" s="82" t="s">
        <v>1110</v>
      </c>
      <c r="J51" s="237"/>
      <c r="K51" s="237"/>
      <c r="L51" s="237"/>
      <c r="M51" s="237"/>
      <c r="N51" s="237"/>
      <c r="O51" s="237"/>
      <c r="P51" s="237"/>
      <c r="Q51" s="237"/>
      <c r="R51" s="237"/>
      <c r="S51" s="237"/>
      <c r="T51" s="237"/>
      <c r="U51" s="237"/>
      <c r="V51" s="237"/>
      <c r="W51" s="237"/>
      <c r="X51" s="237"/>
      <c r="Y51" s="237"/>
      <c r="Z51" s="237"/>
      <c r="AA51" s="237"/>
      <c r="AB51" s="237"/>
      <c r="AC51" s="237"/>
      <c r="AD51" s="237"/>
      <c r="AE51" s="237"/>
      <c r="AF51" s="237"/>
      <c r="AG51" s="237"/>
      <c r="AH51" s="237"/>
      <c r="AI51" s="237"/>
      <c r="AJ51" s="237"/>
      <c r="AK51" s="237"/>
      <c r="AL51" s="237"/>
      <c r="AM51" s="237"/>
      <c r="AN51" s="237"/>
      <c r="AO51" s="237"/>
    </row>
    <row r="52" spans="4:41" x14ac:dyDescent="0.25">
      <c r="D52" s="293"/>
      <c r="E52" s="96"/>
      <c r="F52" s="82" t="s">
        <v>1111</v>
      </c>
      <c r="J52" s="237"/>
      <c r="K52" s="237"/>
      <c r="L52" s="237"/>
      <c r="M52" s="237"/>
      <c r="N52" s="237"/>
      <c r="O52" s="237"/>
      <c r="P52" s="237"/>
      <c r="Q52" s="237"/>
      <c r="R52" s="237"/>
      <c r="S52" s="237"/>
      <c r="T52" s="237"/>
      <c r="U52" s="237"/>
      <c r="V52" s="237"/>
      <c r="W52" s="237"/>
      <c r="X52" s="237"/>
      <c r="Y52" s="237"/>
      <c r="Z52" s="237"/>
      <c r="AA52" s="237"/>
      <c r="AB52" s="237"/>
      <c r="AC52" s="237"/>
      <c r="AD52" s="237"/>
      <c r="AE52" s="237"/>
      <c r="AF52" s="237"/>
      <c r="AG52" s="237"/>
      <c r="AH52" s="237"/>
      <c r="AI52" s="237"/>
      <c r="AJ52" s="237"/>
      <c r="AK52" s="237"/>
      <c r="AL52" s="237"/>
      <c r="AM52" s="237"/>
      <c r="AN52" s="237"/>
      <c r="AO52" s="237"/>
    </row>
    <row r="53" spans="4:41" x14ac:dyDescent="0.25">
      <c r="D53" s="86"/>
      <c r="F53" s="91" t="s">
        <v>134</v>
      </c>
      <c r="G53" s="91" t="s">
        <v>120</v>
      </c>
      <c r="H53" s="455">
        <v>0</v>
      </c>
      <c r="I53" s="91"/>
      <c r="J53" s="283">
        <f>INDEX('Volume adjustments'!$J$481:$Y$521, J$36 + 1 + $H53*$H$59, J$37)</f>
        <v>1548246.7463325649</v>
      </c>
      <c r="K53" s="283">
        <f>INDEX('Volume adjustments'!$J$481:$Y$521, K$36 + 1 + $H53*$H$59, K$37)</f>
        <v>435.37279303514384</v>
      </c>
      <c r="L53" s="283">
        <f>INDEX('Volume adjustments'!$J$481:$Y$521, L$36 + 1 + $H53*$H$59, L$37)</f>
        <v>17.733819669284152</v>
      </c>
      <c r="M53" s="283">
        <f>INDEX('Volume adjustments'!$J$481:$Y$521, M$36 + 1 + $H53*$H$59, M$37)</f>
        <v>22110.670883755516</v>
      </c>
      <c r="N53" s="283">
        <f>INDEX('Volume adjustments'!$J$481:$Y$521, N$36 + 1 + $H53*$H$59, N$37)</f>
        <v>54576.937093186287</v>
      </c>
      <c r="O53" s="283">
        <f>INDEX('Volume adjustments'!$J$481:$Y$521, O$36 + 1 + $H53*$H$59, O$37)</f>
        <v>65482.507799267478</v>
      </c>
      <c r="P53" s="283">
        <f>INDEX('Volume adjustments'!$J$481:$Y$521, P$36 + 1 + $H53*$H$59, P$37)</f>
        <v>164808.1194012186</v>
      </c>
      <c r="Q53" s="283">
        <f>INDEX('Volume adjustments'!$J$481:$Y$521, Q$36 + 1 + $H53*$H$59, Q$37)</f>
        <v>594.16318180266921</v>
      </c>
      <c r="R53" s="283">
        <f>INDEX('Volume adjustments'!$J$481:$Y$521, R$36 + 1 + $H53*$H$59, R$37)</f>
        <v>98.834459594343414</v>
      </c>
      <c r="S53" s="283">
        <f>INDEX('Volume adjustments'!$J$481:$Y$521, S$36 + 1 + $H53*$H$59, S$37)</f>
        <v>98534.09740932149</v>
      </c>
      <c r="T53" s="283">
        <f>INDEX('Volume adjustments'!$J$481:$Y$521, T$36 + 1 + $H53*$H$59, T$37)</f>
        <v>93596.335622191487</v>
      </c>
      <c r="U53" s="283">
        <f>INDEX('Volume adjustments'!$J$481:$Y$521, U$36 + 1 + $H53*$H$59, U$37)</f>
        <v>77111.473714870997</v>
      </c>
      <c r="V53" s="283">
        <f>INDEX('Volume adjustments'!$J$481:$Y$521, V$36 + 1 + $H53*$H$59, V$37)</f>
        <v>253688.89052303429</v>
      </c>
      <c r="W53" s="283">
        <f>INDEX('Volume adjustments'!$J$481:$Y$521, W$36 + 1 + $H53*$H$59, W$37)</f>
        <v>0</v>
      </c>
      <c r="X53" s="283">
        <f>INDEX('Volume adjustments'!$J$481:$Y$521, X$36 + 1 + $H53*$H$59, X$37)</f>
        <v>146.4518577239503</v>
      </c>
      <c r="Y53" s="283">
        <f>INDEX('Volume adjustments'!$J$481:$Y$521, Y$36 + 1 + $H53*$H$59, Y$37)</f>
        <v>1857.249611986759</v>
      </c>
      <c r="Z53" s="283">
        <f>INDEX('Volume adjustments'!$J$481:$Y$521, Z$36 + 1 + $H53*$H$59, Z$37)</f>
        <v>2291.9943525472272</v>
      </c>
      <c r="AA53" s="283">
        <f>INDEX('Volume adjustments'!$J$481:$Y$521, AA$36 + 1 + $H53*$H$59, AA$37)</f>
        <v>30492.23231944914</v>
      </c>
      <c r="AB53" s="283">
        <f>INDEX('Volume adjustments'!$J$481:$Y$521, AB$36 + 1 + $H53*$H$59, AB$37)</f>
        <v>284.16291966849406</v>
      </c>
      <c r="AC53" s="283">
        <f>INDEX('Volume adjustments'!$J$481:$Y$521, AC$36 + 1 + $H53*$H$59, AC$37)</f>
        <v>29044.618361672641</v>
      </c>
      <c r="AD53" s="283">
        <f>INDEX('Volume adjustments'!$J$481:$Y$521, AD$36 + 1 + $H53*$H$59, AD$37)</f>
        <v>100741.60862427407</v>
      </c>
      <c r="AE53" s="283">
        <f>INDEX('Volume adjustments'!$J$481:$Y$521, AE$36 + 1 + $H53*$H$59, AE$37)</f>
        <v>79960.050053069965</v>
      </c>
      <c r="AF53" s="283">
        <f>INDEX('Volume adjustments'!$J$481:$Y$521, AF$36 + 1 + $H53*$H$59, AF$37)</f>
        <v>212331.32640716422</v>
      </c>
      <c r="AG53" s="283">
        <f>INDEX('Volume adjustments'!$J$481:$Y$521, AG$36 + 1 + $H53*$H$59, AG$37)</f>
        <v>11566.823241177972</v>
      </c>
      <c r="AH53" s="283">
        <f>INDEX('Volume adjustments'!$J$481:$Y$521, AH$36 + 1 + $H53*$H$59, AH$37)</f>
        <v>706.86922004560074</v>
      </c>
      <c r="AI53" s="283">
        <f>INDEX('Volume adjustments'!$J$481:$Y$521, AI$36 + 1 + $H53*$H$59, AI$37)</f>
        <v>29.01977587792658</v>
      </c>
      <c r="AJ53" s="283">
        <f>INDEX('Volume adjustments'!$J$481:$Y$521, AJ$36 + 1 + $H53*$H$59, AJ$37)</f>
        <v>3481.3327942733295</v>
      </c>
      <c r="AK53" s="283">
        <f>INDEX('Volume adjustments'!$J$481:$Y$521, AK$36 + 1 + $H53*$H$59, AK$37)</f>
        <v>0</v>
      </c>
      <c r="AL53" s="283">
        <f>INDEX('Volume adjustments'!$J$481:$Y$521, AL$36 + 1 + $H53*$H$59, AL$37)</f>
        <v>0</v>
      </c>
      <c r="AM53" s="283">
        <f>INDEX('Volume adjustments'!$J$481:$Y$521, AM$36 + 1 + $H53*$H$59, AM$37)</f>
        <v>0</v>
      </c>
      <c r="AN53" s="283">
        <f>INDEX('Volume adjustments'!$J$481:$Y$521, AN$36 + 1 + $H53*$H$59, AN$37)</f>
        <v>86115.829832224859</v>
      </c>
      <c r="AO53" s="283">
        <f>INDEX('Volume adjustments'!$J$481:$Y$521, AO$36 + 1 + $H53*$H$59, AO$37)</f>
        <v>0</v>
      </c>
    </row>
    <row r="54" spans="4:41" x14ac:dyDescent="0.25">
      <c r="D54" s="86"/>
      <c r="F54" s="293" t="s">
        <v>135</v>
      </c>
      <c r="G54" s="293" t="s">
        <v>120</v>
      </c>
      <c r="H54" s="490">
        <v>1</v>
      </c>
      <c r="J54" s="488">
        <f>INDEX('Volume adjustments'!$J$481:$Y$521, J$36 + 1 + $H54*$H$59, J$37)</f>
        <v>6825324.1723649437</v>
      </c>
      <c r="K54" s="488">
        <f>INDEX('Volume adjustments'!$J$481:$Y$521, K$36 + 1 + $H54*$H$59, K$37)</f>
        <v>43540.865318654403</v>
      </c>
      <c r="L54" s="488">
        <f>INDEX('Volume adjustments'!$J$481:$Y$521, L$36 + 1 + $H54*$H$59, L$37)</f>
        <v>111.55134382269362</v>
      </c>
      <c r="M54" s="488">
        <f>INDEX('Volume adjustments'!$J$481:$Y$521, M$36 + 1 + $H54*$H$59, M$37)</f>
        <v>139083.12455529749</v>
      </c>
      <c r="N54" s="488">
        <f>INDEX('Volume adjustments'!$J$481:$Y$521, N$36 + 1 + $H54*$H$59, N$37)</f>
        <v>343306.22437852377</v>
      </c>
      <c r="O54" s="488">
        <f>INDEX('Volume adjustments'!$J$481:$Y$521, O$36 + 1 + $H54*$H$59, O$37)</f>
        <v>411905.71902230044</v>
      </c>
      <c r="P54" s="488">
        <f>INDEX('Volume adjustments'!$J$481:$Y$521, P$36 + 1 + $H54*$H$59, P$37)</f>
        <v>1036695.2825137753</v>
      </c>
      <c r="Q54" s="488">
        <f>INDEX('Volume adjustments'!$J$481:$Y$521, Q$36 + 1 + $H54*$H$59, Q$37)</f>
        <v>8224.4305478900278</v>
      </c>
      <c r="R54" s="488">
        <f>INDEX('Volume adjustments'!$J$481:$Y$521, R$36 + 1 + $H54*$H$59, R$37)</f>
        <v>563.61871319504337</v>
      </c>
      <c r="S54" s="488">
        <f>INDEX('Volume adjustments'!$J$481:$Y$521, S$36 + 1 + $H54*$H$59, S$37)</f>
        <v>561905.85161913838</v>
      </c>
      <c r="T54" s="488">
        <f>INDEX('Volume adjustments'!$J$481:$Y$521, T$36 + 1 + $H54*$H$59, T$37)</f>
        <v>533747.50526961102</v>
      </c>
      <c r="U54" s="488">
        <f>INDEX('Volume adjustments'!$J$481:$Y$521, U$36 + 1 + $H54*$H$59, U$37)</f>
        <v>439740.04376745177</v>
      </c>
      <c r="V54" s="488">
        <f>INDEX('Volume adjustments'!$J$481:$Y$521, V$36 + 1 + $H54*$H$59, V$37)</f>
        <v>1446699.9325471518</v>
      </c>
      <c r="W54" s="488">
        <f>INDEX('Volume adjustments'!$J$481:$Y$521, W$36 + 1 + $H54*$H$59, W$37)</f>
        <v>0</v>
      </c>
      <c r="X54" s="488">
        <f>INDEX('Volume adjustments'!$J$481:$Y$521, X$36 + 1 + $H54*$H$59, X$37)</f>
        <v>802.19760485238828</v>
      </c>
      <c r="Y54" s="488">
        <f>INDEX('Volume adjustments'!$J$481:$Y$521, Y$36 + 1 + $H54*$H$59, Y$37)</f>
        <v>10173.180548908495</v>
      </c>
      <c r="Z54" s="488">
        <f>INDEX('Volume adjustments'!$J$481:$Y$521, Z$36 + 1 + $H54*$H$59, Z$37)</f>
        <v>12554.517290004314</v>
      </c>
      <c r="AA54" s="488">
        <f>INDEX('Volume adjustments'!$J$481:$Y$521, AA$36 + 1 + $H54*$H$59, AA$37)</f>
        <v>167022.77535715024</v>
      </c>
      <c r="AB54" s="488">
        <f>INDEX('Volume adjustments'!$J$481:$Y$521, AB$36 + 1 + $H54*$H$59, AB$37)</f>
        <v>4361.7267835514176</v>
      </c>
      <c r="AC54" s="488">
        <f>INDEX('Volume adjustments'!$J$481:$Y$521, AC$36 + 1 + $H54*$H$59, AC$37)</f>
        <v>161830.5168075379</v>
      </c>
      <c r="AD54" s="488">
        <f>INDEX('Volume adjustments'!$J$481:$Y$521, AD$36 + 1 + $H54*$H$59, AD$37)</f>
        <v>561311.09676423098</v>
      </c>
      <c r="AE54" s="488">
        <f>INDEX('Volume adjustments'!$J$481:$Y$521, AE$36 + 1 + $H54*$H$59, AE$37)</f>
        <v>445520.61462513614</v>
      </c>
      <c r="AF54" s="488">
        <f>INDEX('Volume adjustments'!$J$481:$Y$521, AF$36 + 1 + $H54*$H$59, AF$37)</f>
        <v>1183065.5806531508</v>
      </c>
      <c r="AG54" s="488">
        <f>INDEX('Volume adjustments'!$J$481:$Y$521, AG$36 + 1 + $H54*$H$59, AG$37)</f>
        <v>73426.845575958097</v>
      </c>
      <c r="AH54" s="488">
        <f>INDEX('Volume adjustments'!$J$481:$Y$521, AH$36 + 1 + $H54*$H$59, AH$37)</f>
        <v>5559.3658561006987</v>
      </c>
      <c r="AI54" s="488">
        <f>INDEX('Volume adjustments'!$J$481:$Y$521, AI$36 + 1 + $H54*$H$59, AI$37)</f>
        <v>212.7237809687463</v>
      </c>
      <c r="AJ54" s="488">
        <f>INDEX('Volume adjustments'!$J$481:$Y$521, AJ$36 + 1 + $H54*$H$59, AJ$37)</f>
        <v>32597.519770789342</v>
      </c>
      <c r="AK54" s="488">
        <f>INDEX('Volume adjustments'!$J$481:$Y$521, AK$36 + 1 + $H54*$H$59, AK$37)</f>
        <v>0</v>
      </c>
      <c r="AL54" s="488">
        <f>INDEX('Volume adjustments'!$J$481:$Y$521, AL$36 + 1 + $H54*$H$59, AL$37)</f>
        <v>0</v>
      </c>
      <c r="AM54" s="488">
        <f>INDEX('Volume adjustments'!$J$481:$Y$521, AM$36 + 1 + $H54*$H$59, AM$37)</f>
        <v>0</v>
      </c>
      <c r="AN54" s="488">
        <f>INDEX('Volume adjustments'!$J$481:$Y$521, AN$36 + 1 + $H54*$H$59, AN$37)</f>
        <v>532779.51789718622</v>
      </c>
      <c r="AO54" s="488">
        <f>INDEX('Volume adjustments'!$J$481:$Y$521, AO$36 + 1 + $H54*$H$59, AO$37)</f>
        <v>0</v>
      </c>
    </row>
    <row r="55" spans="4:41" x14ac:dyDescent="0.25">
      <c r="D55" s="86"/>
      <c r="F55" s="293" t="s">
        <v>136</v>
      </c>
      <c r="G55" s="293" t="s">
        <v>120</v>
      </c>
      <c r="H55" s="490">
        <v>2</v>
      </c>
      <c r="J55" s="488">
        <f>INDEX('Volume adjustments'!$J$481:$Y$521, J$36 + 1 + $H55*$H$59, J$37)</f>
        <v>3770396.0827899273</v>
      </c>
      <c r="K55" s="488">
        <f>INDEX('Volume adjustments'!$J$481:$Y$521, K$36 + 1 + $H55*$H$59, K$37)</f>
        <v>106470.4323701735</v>
      </c>
      <c r="L55" s="488">
        <f>INDEX('Volume adjustments'!$J$481:$Y$521, L$36 + 1 + $H55*$H$59, L$37)</f>
        <v>49.54941373752159</v>
      </c>
      <c r="M55" s="488">
        <f>INDEX('Volume adjustments'!$J$481:$Y$521, M$36 + 1 + $H55*$H$59, M$37)</f>
        <v>61778.612846219286</v>
      </c>
      <c r="N55" s="488">
        <f>INDEX('Volume adjustments'!$J$481:$Y$521, N$36 + 1 + $H55*$H$59, N$37)</f>
        <v>152491.41397557341</v>
      </c>
      <c r="O55" s="488">
        <f>INDEX('Volume adjustments'!$J$481:$Y$521, O$36 + 1 + $H55*$H$59, O$37)</f>
        <v>182962.26825494511</v>
      </c>
      <c r="P55" s="488">
        <f>INDEX('Volume adjustments'!$J$481:$Y$521, P$36 + 1 + $H55*$H$59, P$37)</f>
        <v>460484.30895336129</v>
      </c>
      <c r="Q55" s="488">
        <f>INDEX('Volume adjustments'!$J$481:$Y$521, Q$36 + 1 + $H55*$H$59, Q$37)</f>
        <v>23085.290394924617</v>
      </c>
      <c r="R55" s="488">
        <f>INDEX('Volume adjustments'!$J$481:$Y$521, R$36 + 1 + $H55*$H$59, R$37)</f>
        <v>295.7801728981205</v>
      </c>
      <c r="S55" s="488">
        <f>INDEX('Volume adjustments'!$J$481:$Y$521, S$36 + 1 + $H55*$H$59, S$37)</f>
        <v>294881.28419692785</v>
      </c>
      <c r="T55" s="488">
        <f>INDEX('Volume adjustments'!$J$481:$Y$521, T$36 + 1 + $H55*$H$59, T$37)</f>
        <v>280104.13014436862</v>
      </c>
      <c r="U55" s="488">
        <f>INDEX('Volume adjustments'!$J$481:$Y$521, U$36 + 1 + $H55*$H$59, U$37)</f>
        <v>230770.16985196114</v>
      </c>
      <c r="V55" s="488">
        <f>INDEX('Volume adjustments'!$J$481:$Y$521, V$36 + 1 + $H55*$H$59, V$37)</f>
        <v>759210.3423159708</v>
      </c>
      <c r="W55" s="488">
        <f>INDEX('Volume adjustments'!$J$481:$Y$521, W$36 + 1 + $H55*$H$59, W$37)</f>
        <v>0</v>
      </c>
      <c r="X55" s="488">
        <f>INDEX('Volume adjustments'!$J$481:$Y$521, X$36 + 1 + $H55*$H$59, X$37)</f>
        <v>521.00696258987796</v>
      </c>
      <c r="Y55" s="488">
        <f>INDEX('Volume adjustments'!$J$481:$Y$521, Y$36 + 1 + $H55*$H$59, Y$37)</f>
        <v>6607.2222923684067</v>
      </c>
      <c r="Z55" s="488">
        <f>INDEX('Volume adjustments'!$J$481:$Y$521, Z$36 + 1 + $H55*$H$59, Z$37)</f>
        <v>8153.840002116257</v>
      </c>
      <c r="AA55" s="488">
        <f>INDEX('Volume adjustments'!$J$481:$Y$521, AA$36 + 1 + $H55*$H$59, AA$37)</f>
        <v>108477.04897869006</v>
      </c>
      <c r="AB55" s="488">
        <f>INDEX('Volume adjustments'!$J$481:$Y$521, AB$36 + 1 + $H55*$H$59, AB$37)</f>
        <v>3615.5359355757823</v>
      </c>
      <c r="AC55" s="488">
        <f>INDEX('Volume adjustments'!$J$481:$Y$521, AC$36 + 1 + $H55*$H$59, AC$37)</f>
        <v>110914.57647911321</v>
      </c>
      <c r="AD55" s="488">
        <f>INDEX('Volume adjustments'!$J$481:$Y$521, AD$36 + 1 + $H55*$H$59, AD$37)</f>
        <v>384708.54446243303</v>
      </c>
      <c r="AE55" s="488">
        <f>INDEX('Volume adjustments'!$J$481:$Y$521, AE$36 + 1 + $H55*$H$59, AE$37)</f>
        <v>305348.65276756935</v>
      </c>
      <c r="AF55" s="488">
        <f>INDEX('Volume adjustments'!$J$481:$Y$521, AF$36 + 1 + $H55*$H$59, AF$37)</f>
        <v>810843.47015474841</v>
      </c>
      <c r="AG55" s="488">
        <f>INDEX('Volume adjustments'!$J$481:$Y$521, AG$36 + 1 + $H55*$H$59, AG$37)</f>
        <v>110236.46164591011</v>
      </c>
      <c r="AH55" s="488">
        <f>INDEX('Volume adjustments'!$J$481:$Y$521, AH$36 + 1 + $H55*$H$59, AH$37)</f>
        <v>731.31989617895306</v>
      </c>
      <c r="AI55" s="488">
        <f>INDEX('Volume adjustments'!$J$481:$Y$521, AI$36 + 1 + $H55*$H$59, AI$37)</f>
        <v>33.176553672411458</v>
      </c>
      <c r="AJ55" s="488">
        <f>INDEX('Volume adjustments'!$J$481:$Y$521, AJ$36 + 1 + $H55*$H$59, AJ$37)</f>
        <v>8546.3926012214506</v>
      </c>
      <c r="AK55" s="488">
        <f>INDEX('Volume adjustments'!$J$481:$Y$521, AK$36 + 1 + $H55*$H$59, AK$37)</f>
        <v>0</v>
      </c>
      <c r="AL55" s="488">
        <f>INDEX('Volume adjustments'!$J$481:$Y$521, AL$36 + 1 + $H55*$H$59, AL$37)</f>
        <v>0</v>
      </c>
      <c r="AM55" s="488">
        <f>INDEX('Volume adjustments'!$J$481:$Y$521, AM$36 + 1 + $H55*$H$59, AM$37)</f>
        <v>0</v>
      </c>
      <c r="AN55" s="488">
        <f>INDEX('Volume adjustments'!$J$481:$Y$521, AN$36 + 1 + $H55*$H$59, AN$37)</f>
        <v>260951.76676867288</v>
      </c>
      <c r="AO55" s="488">
        <f>INDEX('Volume adjustments'!$J$481:$Y$521, AO$36 + 1 + $H55*$H$59, AO$37)</f>
        <v>0</v>
      </c>
    </row>
    <row r="56" spans="4:41" x14ac:dyDescent="0.25">
      <c r="D56" s="86"/>
      <c r="F56" s="293" t="s">
        <v>74</v>
      </c>
      <c r="G56" s="293" t="s">
        <v>74</v>
      </c>
      <c r="H56" s="490">
        <v>3</v>
      </c>
      <c r="J56" s="488">
        <f>INDEX('Volume adjustments'!$J$481:$Y$521, J$36 + 1 + $H56*$H$59, J$37)</f>
        <v>2974344.8025927823</v>
      </c>
      <c r="K56" s="488">
        <f>INDEX('Volume adjustments'!$J$481:$Y$521, K$36 + 1 + $H56*$H$59, K$37)</f>
        <v>34009.139902491879</v>
      </c>
      <c r="L56" s="488">
        <f>INDEX('Volume adjustments'!$J$481:$Y$521, L$36 + 1 + $H56*$H$59, L$37)</f>
        <v>8.4757949807835899</v>
      </c>
      <c r="M56" s="488">
        <f>INDEX('Volume adjustments'!$J$481:$Y$521, M$36 + 1 + $H56*$H$59, M$37)</f>
        <v>92882.682828770194</v>
      </c>
      <c r="N56" s="488">
        <f>INDEX('Volume adjustments'!$J$481:$Y$521, N$36 + 1 + $H56*$H$59, N$37)</f>
        <v>69794.959067042349</v>
      </c>
      <c r="O56" s="488">
        <f>INDEX('Volume adjustments'!$J$481:$Y$521, O$36 + 1 + $H56*$H$59, O$37)</f>
        <v>36948.348506129492</v>
      </c>
      <c r="P56" s="488">
        <f>INDEX('Volume adjustments'!$J$481:$Y$521, P$36 + 1 + $H56*$H$59, P$37)</f>
        <v>34179.566028011744</v>
      </c>
      <c r="Q56" s="488">
        <f>INDEX('Volume adjustments'!$J$481:$Y$521, Q$36 + 1 + $H56*$H$59, Q$37)</f>
        <v>4763.1029684859122</v>
      </c>
      <c r="R56" s="488">
        <f>INDEX('Volume adjustments'!$J$481:$Y$521, R$36 + 1 + $H56*$H$59, R$37)</f>
        <v>12.846543756610266</v>
      </c>
      <c r="S56" s="488">
        <f>INDEX('Volume adjustments'!$J$481:$Y$521, S$36 + 1 + $H56*$H$59, S$37)</f>
        <v>10609.863794169047</v>
      </c>
      <c r="T56" s="488">
        <f>INDEX('Volume adjustments'!$J$481:$Y$521, T$36 + 1 + $H56*$H$59, T$37)</f>
        <v>5484.4381724793084</v>
      </c>
      <c r="U56" s="488">
        <f>INDEX('Volume adjustments'!$J$481:$Y$521, U$36 + 1 + $H56*$H$59, U$37)</f>
        <v>2920.9310860795954</v>
      </c>
      <c r="V56" s="488">
        <f>INDEX('Volume adjustments'!$J$481:$Y$521, V$36 + 1 + $H56*$H$59, V$37)</f>
        <v>3975.1074159567052</v>
      </c>
      <c r="W56" s="488">
        <f>INDEX('Volume adjustments'!$J$481:$Y$521, W$36 + 1 + $H56*$H$59, W$37)</f>
        <v>0</v>
      </c>
      <c r="X56" s="488">
        <f>INDEX('Volume adjustments'!$J$481:$Y$521, X$36 + 1 + $H56*$H$59, X$37)</f>
        <v>5.7051220680170491</v>
      </c>
      <c r="Y56" s="488">
        <f>INDEX('Volume adjustments'!$J$481:$Y$521, Y$36 + 1 + $H56*$H$59, Y$37)</f>
        <v>43.358927716929571</v>
      </c>
      <c r="Z56" s="488">
        <f>INDEX('Volume adjustments'!$J$481:$Y$521, Z$36 + 1 + $H56*$H$59, Z$37)</f>
        <v>51.346098612153433</v>
      </c>
      <c r="AA56" s="488">
        <f>INDEX('Volume adjustments'!$J$481:$Y$521, AA$36 + 1 + $H56*$H$59, AA$37)</f>
        <v>196.25619913978647</v>
      </c>
      <c r="AB56" s="488">
        <f>INDEX('Volume adjustments'!$J$481:$Y$521, AB$36 + 1 + $H56*$H$59, AB$37)</f>
        <v>85.610126891316582</v>
      </c>
      <c r="AC56" s="488">
        <f>INDEX('Volume adjustments'!$J$481:$Y$521, AC$36 + 1 + $H56*$H$59, AC$37)</f>
        <v>546.13806531578371</v>
      </c>
      <c r="AD56" s="488">
        <f>INDEX('Volume adjustments'!$J$481:$Y$521, AD$36 + 1 + $H56*$H$59, AD$37)</f>
        <v>649.2545771605113</v>
      </c>
      <c r="AE56" s="488">
        <f>INDEX('Volume adjustments'!$J$481:$Y$521, AE$36 + 1 + $H56*$H$59, AE$37)</f>
        <v>280.7578364784639</v>
      </c>
      <c r="AF56" s="488">
        <f>INDEX('Volume adjustments'!$J$481:$Y$521, AF$36 + 1 + $H56*$H$59, AF$37)</f>
        <v>283.78675919565893</v>
      </c>
      <c r="AG56" s="488">
        <f>INDEX('Volume adjustments'!$J$481:$Y$521, AG$36 + 1 + $H56*$H$59, AG$37)</f>
        <v>4315.823371813919</v>
      </c>
      <c r="AH56" s="488">
        <f>INDEX('Volume adjustments'!$J$481:$Y$521, AH$36 + 1 + $H56*$H$59, AH$37)</f>
        <v>1884.9999999999998</v>
      </c>
      <c r="AI56" s="488">
        <f>INDEX('Volume adjustments'!$J$481:$Y$521, AI$36 + 1 + $H56*$H$59, AI$37)</f>
        <v>38.935483870967744</v>
      </c>
      <c r="AJ56" s="488">
        <f>INDEX('Volume adjustments'!$J$481:$Y$521, AJ$36 + 1 + $H56*$H$59, AJ$37)</f>
        <v>836.76967715751107</v>
      </c>
      <c r="AK56" s="488">
        <f>INDEX('Volume adjustments'!$J$481:$Y$521, AK$36 + 1 + $H56*$H$59, AK$37)</f>
        <v>0</v>
      </c>
      <c r="AL56" s="488">
        <f>INDEX('Volume adjustments'!$J$481:$Y$521, AL$36 + 1 + $H56*$H$59, AL$37)</f>
        <v>1</v>
      </c>
      <c r="AM56" s="488">
        <f>INDEX('Volume adjustments'!$J$481:$Y$521, AM$36 + 1 + $H56*$H$59, AM$37)</f>
        <v>0</v>
      </c>
      <c r="AN56" s="488">
        <f>INDEX('Volume adjustments'!$J$481:$Y$521, AN$36 + 1 + $H56*$H$59, AN$37)</f>
        <v>232.35483870967744</v>
      </c>
      <c r="AO56" s="488">
        <f>INDEX('Volume adjustments'!$J$481:$Y$521, AO$36 + 1 + $H56*$H$59, AO$37)</f>
        <v>0</v>
      </c>
    </row>
    <row r="57" spans="4:41" x14ac:dyDescent="0.25">
      <c r="D57" s="86"/>
      <c r="F57" s="293" t="s">
        <v>273</v>
      </c>
      <c r="G57" s="293" t="s">
        <v>169</v>
      </c>
      <c r="H57" s="490">
        <v>4</v>
      </c>
      <c r="J57" s="488">
        <f>INDEX('Volume adjustments'!$J$481:$Y$521, J$36 + 1 + $H57*$H$59, J$37)</f>
        <v>0</v>
      </c>
      <c r="K57" s="488">
        <f>INDEX('Volume adjustments'!$J$481:$Y$521, K$36 + 1 + $H57*$H$59, K$37)</f>
        <v>0</v>
      </c>
      <c r="L57" s="488">
        <f>INDEX('Volume adjustments'!$J$481:$Y$521, L$36 + 1 + $H57*$H$59, L$37)</f>
        <v>0</v>
      </c>
      <c r="M57" s="488">
        <f>INDEX('Volume adjustments'!$J$481:$Y$521, M$36 + 1 + $H57*$H$59, M$37)</f>
        <v>0</v>
      </c>
      <c r="N57" s="488">
        <f>INDEX('Volume adjustments'!$J$481:$Y$521, N$36 + 1 + $H57*$H$59, N$37)</f>
        <v>0</v>
      </c>
      <c r="O57" s="488">
        <f>INDEX('Volume adjustments'!$J$481:$Y$521, O$36 + 1 + $H57*$H$59, O$37)</f>
        <v>0</v>
      </c>
      <c r="P57" s="488">
        <f>INDEX('Volume adjustments'!$J$481:$Y$521, P$36 + 1 + $H57*$H$59, P$37)</f>
        <v>0</v>
      </c>
      <c r="Q57" s="488">
        <f>INDEX('Volume adjustments'!$J$481:$Y$521, Q$36 + 1 + $H57*$H$59, Q$37)</f>
        <v>0</v>
      </c>
      <c r="R57" s="488">
        <f>INDEX('Volume adjustments'!$J$481:$Y$521, R$36 + 1 + $H57*$H$59, R$37)</f>
        <v>642.049257872917</v>
      </c>
      <c r="S57" s="488">
        <f>INDEX('Volume adjustments'!$J$481:$Y$521, S$36 + 1 + $H57*$H$59, S$37)</f>
        <v>640098.04248935636</v>
      </c>
      <c r="T57" s="488">
        <f>INDEX('Volume adjustments'!$J$481:$Y$521, T$36 + 1 + $H57*$H$59, T$37)</f>
        <v>608021.31232871988</v>
      </c>
      <c r="U57" s="488">
        <f>INDEX('Volume adjustments'!$J$481:$Y$521, U$36 + 1 + $H57*$H$59, U$37)</f>
        <v>500932.21205768047</v>
      </c>
      <c r="V57" s="488">
        <f>INDEX('Volume adjustments'!$J$481:$Y$521, V$36 + 1 + $H57*$H$59, V$37)</f>
        <v>1648015.9304704696</v>
      </c>
      <c r="W57" s="488">
        <f>INDEX('Volume adjustments'!$J$481:$Y$521, W$36 + 1 + $H57*$H$59, W$37)</f>
        <v>0</v>
      </c>
      <c r="X57" s="488">
        <f>INDEX('Volume adjustments'!$J$481:$Y$521, X$36 + 1 + $H57*$H$59, X$37)</f>
        <v>577.69584961494263</v>
      </c>
      <c r="Y57" s="488">
        <f>INDEX('Volume adjustments'!$J$481:$Y$521, Y$36 + 1 + $H57*$H$59, Y$37)</f>
        <v>7326.1303012358449</v>
      </c>
      <c r="Z57" s="488">
        <f>INDEX('Volume adjustments'!$J$481:$Y$521, Z$36 + 1 + $H57*$H$59, Z$37)</f>
        <v>9041.0299014656011</v>
      </c>
      <c r="AA57" s="488">
        <f>INDEX('Volume adjustments'!$J$481:$Y$521, AA$36 + 1 + $H57*$H$59, AA$37)</f>
        <v>120280.04513021372</v>
      </c>
      <c r="AB57" s="488">
        <f>INDEX('Volume adjustments'!$J$481:$Y$521, AB$36 + 1 + $H57*$H$59, AB$37)</f>
        <v>8742.4345778191509</v>
      </c>
      <c r="AC57" s="488">
        <f>INDEX('Volume adjustments'!$J$481:$Y$521, AC$36 + 1 + $H57*$H$59, AC$37)</f>
        <v>137610.63331683088</v>
      </c>
      <c r="AD57" s="488">
        <f>INDEX('Volume adjustments'!$J$481:$Y$521, AD$36 + 1 + $H57*$H$59, AD$37)</f>
        <v>477304.13915289985</v>
      </c>
      <c r="AE57" s="488">
        <f>INDEX('Volume adjustments'!$J$481:$Y$521, AE$36 + 1 + $H57*$H$59, AE$37)</f>
        <v>378843.09550331393</v>
      </c>
      <c r="AF57" s="488">
        <f>INDEX('Volume adjustments'!$J$481:$Y$521, AF$36 + 1 + $H57*$H$59, AF$37)</f>
        <v>1006005.5854770722</v>
      </c>
      <c r="AG57" s="488">
        <f>INDEX('Volume adjustments'!$J$481:$Y$521, AG$36 + 1 + $H57*$H$59, AG$37)</f>
        <v>0</v>
      </c>
      <c r="AH57" s="488">
        <f>INDEX('Volume adjustments'!$J$481:$Y$521, AH$36 + 1 + $H57*$H$59, AH$37)</f>
        <v>0</v>
      </c>
      <c r="AI57" s="488">
        <f>INDEX('Volume adjustments'!$J$481:$Y$521, AI$36 + 1 + $H57*$H$59, AI$37)</f>
        <v>0</v>
      </c>
      <c r="AJ57" s="488">
        <f>INDEX('Volume adjustments'!$J$481:$Y$521, AJ$36 + 1 + $H57*$H$59, AJ$37)</f>
        <v>0</v>
      </c>
      <c r="AK57" s="488">
        <f>INDEX('Volume adjustments'!$J$481:$Y$521, AK$36 + 1 + $H57*$H$59, AK$37)</f>
        <v>0</v>
      </c>
      <c r="AL57" s="488">
        <f>INDEX('Volume adjustments'!$J$481:$Y$521, AL$36 + 1 + $H57*$H$59, AL$37)</f>
        <v>0</v>
      </c>
      <c r="AM57" s="488">
        <f>INDEX('Volume adjustments'!$J$481:$Y$521, AM$36 + 1 + $H57*$H$59, AM$37)</f>
        <v>0</v>
      </c>
      <c r="AN57" s="488">
        <f>INDEX('Volume adjustments'!$J$481:$Y$521, AN$36 + 1 + $H57*$H$59, AN$37)</f>
        <v>0</v>
      </c>
      <c r="AO57" s="488">
        <f>INDEX('Volume adjustments'!$J$481:$Y$521, AO$36 + 1 + $H57*$H$59, AO$37)</f>
        <v>0</v>
      </c>
    </row>
    <row r="58" spans="4:41" x14ac:dyDescent="0.25">
      <c r="D58" s="86"/>
      <c r="F58" s="293" t="s">
        <v>203</v>
      </c>
      <c r="G58" s="293" t="s">
        <v>169</v>
      </c>
      <c r="H58" s="490">
        <v>5</v>
      </c>
      <c r="J58" s="488">
        <f>INDEX('Volume adjustments'!$J$481:$Y$521, J$36 + 1 + $H58*$H$59, J$37)</f>
        <v>0</v>
      </c>
      <c r="K58" s="488">
        <f>INDEX('Volume adjustments'!$J$481:$Y$521, K$36 + 1 + $H58*$H$59, K$37)</f>
        <v>0</v>
      </c>
      <c r="L58" s="488">
        <f>INDEX('Volume adjustments'!$J$481:$Y$521, L$36 + 1 + $H58*$H$59, L$37)</f>
        <v>0</v>
      </c>
      <c r="M58" s="488">
        <f>INDEX('Volume adjustments'!$J$481:$Y$521, M$36 + 1 + $H58*$H$59, M$37)</f>
        <v>0</v>
      </c>
      <c r="N58" s="488">
        <f>INDEX('Volume adjustments'!$J$481:$Y$521, N$36 + 1 + $H58*$H$59, N$37)</f>
        <v>0</v>
      </c>
      <c r="O58" s="488">
        <f>INDEX('Volume adjustments'!$J$481:$Y$521, O$36 + 1 + $H58*$H$59, O$37)</f>
        <v>0</v>
      </c>
      <c r="P58" s="488">
        <f>INDEX('Volume adjustments'!$J$481:$Y$521, P$36 + 1 + $H58*$H$59, P$37)</f>
        <v>0</v>
      </c>
      <c r="Q58" s="488">
        <f>INDEX('Volume adjustments'!$J$481:$Y$521, Q$36 + 1 + $H58*$H$59, Q$37)</f>
        <v>0</v>
      </c>
      <c r="R58" s="488">
        <f>INDEX('Volume adjustments'!$J$481:$Y$521, R$36 + 1 + $H58*$H$59, R$37)</f>
        <v>8.5516269885839673</v>
      </c>
      <c r="S58" s="488">
        <f>INDEX('Volume adjustments'!$J$481:$Y$521, S$36 + 1 + $H58*$H$59, S$37)</f>
        <v>8525.638225369943</v>
      </c>
      <c r="T58" s="488">
        <f>INDEX('Volume adjustments'!$J$481:$Y$521, T$36 + 1 + $H58*$H$59, T$37)</f>
        <v>8098.3996171422887</v>
      </c>
      <c r="U58" s="488">
        <f>INDEX('Volume adjustments'!$J$481:$Y$521, U$36 + 1 + $H58*$H$59, U$37)</f>
        <v>6672.0510483502985</v>
      </c>
      <c r="V58" s="488">
        <f>INDEX('Volume adjustments'!$J$481:$Y$521, V$36 + 1 + $H58*$H$59, V$37)</f>
        <v>21950.368037676482</v>
      </c>
      <c r="W58" s="488">
        <f>INDEX('Volume adjustments'!$J$481:$Y$521, W$36 + 1 + $H58*$H$59, W$37)</f>
        <v>0</v>
      </c>
      <c r="X58" s="488">
        <f>INDEX('Volume adjustments'!$J$481:$Y$521, X$36 + 1 + $H58*$H$59, X$37)</f>
        <v>3.8269548144699144</v>
      </c>
      <c r="Y58" s="488">
        <f>INDEX('Volume adjustments'!$J$481:$Y$521, Y$36 + 1 + $H58*$H$59, Y$37)</f>
        <v>48.532059986991541</v>
      </c>
      <c r="Z58" s="488">
        <f>INDEX('Volume adjustments'!$J$481:$Y$521, Z$36 + 1 + $H58*$H$59, Z$37)</f>
        <v>59.892438092193778</v>
      </c>
      <c r="AA58" s="488">
        <f>INDEX('Volume adjustments'!$J$481:$Y$521, AA$36 + 1 + $H58*$H$59, AA$37)</f>
        <v>796.79696176204573</v>
      </c>
      <c r="AB58" s="488">
        <f>INDEX('Volume adjustments'!$J$481:$Y$521, AB$36 + 1 + $H58*$H$59, AB$37)</f>
        <v>14.762971455818592</v>
      </c>
      <c r="AC58" s="488">
        <f>INDEX('Volume adjustments'!$J$481:$Y$521, AC$36 + 1 + $H58*$H$59, AC$37)</f>
        <v>1635.1298393831448</v>
      </c>
      <c r="AD58" s="488">
        <f>INDEX('Volume adjustments'!$J$481:$Y$521, AD$36 + 1 + $H58*$H$59, AD$37)</f>
        <v>5671.4675427232078</v>
      </c>
      <c r="AE58" s="488">
        <f>INDEX('Volume adjustments'!$J$481:$Y$521, AE$36 + 1 + $H58*$H$59, AE$37)</f>
        <v>4501.5245913121053</v>
      </c>
      <c r="AF58" s="488">
        <f>INDEX('Volume adjustments'!$J$481:$Y$521, AF$36 + 1 + $H58*$H$59, AF$37)</f>
        <v>11953.652939103808</v>
      </c>
      <c r="AG58" s="488">
        <f>INDEX('Volume adjustments'!$J$481:$Y$521, AG$36 + 1 + $H58*$H$59, AG$37)</f>
        <v>0</v>
      </c>
      <c r="AH58" s="488">
        <f>INDEX('Volume adjustments'!$J$481:$Y$521, AH$36 + 1 + $H58*$H$59, AH$37)</f>
        <v>0</v>
      </c>
      <c r="AI58" s="488">
        <f>INDEX('Volume adjustments'!$J$481:$Y$521, AI$36 + 1 + $H58*$H$59, AI$37)</f>
        <v>0</v>
      </c>
      <c r="AJ58" s="488">
        <f>INDEX('Volume adjustments'!$J$481:$Y$521, AJ$36 + 1 + $H58*$H$59, AJ$37)</f>
        <v>0</v>
      </c>
      <c r="AK58" s="488">
        <f>INDEX('Volume adjustments'!$J$481:$Y$521, AK$36 + 1 + $H58*$H$59, AK$37)</f>
        <v>0</v>
      </c>
      <c r="AL58" s="488">
        <f>INDEX('Volume adjustments'!$J$481:$Y$521, AL$36 + 1 + $H58*$H$59, AL$37)</f>
        <v>0</v>
      </c>
      <c r="AM58" s="488">
        <f>INDEX('Volume adjustments'!$J$481:$Y$521, AM$36 + 1 + $H58*$H$59, AM$37)</f>
        <v>0</v>
      </c>
      <c r="AN58" s="488">
        <f>INDEX('Volume adjustments'!$J$481:$Y$521, AN$36 + 1 + $H58*$H$59, AN$37)</f>
        <v>0</v>
      </c>
      <c r="AO58" s="488">
        <f>INDEX('Volume adjustments'!$J$481:$Y$521, AO$36 + 1 + $H58*$H$59, AO$37)</f>
        <v>0</v>
      </c>
    </row>
    <row r="59" spans="4:41" x14ac:dyDescent="0.25">
      <c r="D59" s="86"/>
      <c r="F59" s="93" t="s">
        <v>77</v>
      </c>
      <c r="G59" s="15" t="s">
        <v>170</v>
      </c>
      <c r="H59" s="456">
        <v>6</v>
      </c>
      <c r="I59" s="93"/>
      <c r="J59" s="284">
        <f>INDEX('Volume adjustments'!$J$481:$Y$521, J$36 + 1 + $H59*$H$59, J$37)</f>
        <v>0</v>
      </c>
      <c r="K59" s="284">
        <f>INDEX('Volume adjustments'!$J$481:$Y$521, K$36 + 1 + $H59*$H$59, K$37)</f>
        <v>0</v>
      </c>
      <c r="L59" s="284">
        <f>INDEX('Volume adjustments'!$J$481:$Y$521, L$36 + 1 + $H59*$H$59, L$37)</f>
        <v>0</v>
      </c>
      <c r="M59" s="284">
        <f>INDEX('Volume adjustments'!$J$481:$Y$521, M$36 + 1 + $H59*$H$59, M$37)</f>
        <v>0</v>
      </c>
      <c r="N59" s="284">
        <f>INDEX('Volume adjustments'!$J$481:$Y$521, N$36 + 1 + $H59*$H$59, N$37)</f>
        <v>0</v>
      </c>
      <c r="O59" s="284">
        <f>INDEX('Volume adjustments'!$J$481:$Y$521, O$36 + 1 + $H59*$H$59, O$37)</f>
        <v>0</v>
      </c>
      <c r="P59" s="284">
        <f>INDEX('Volume adjustments'!$J$481:$Y$521, P$36 + 1 + $H59*$H$59, P$37)</f>
        <v>0</v>
      </c>
      <c r="Q59" s="284">
        <f>INDEX('Volume adjustments'!$J$481:$Y$521, Q$36 + 1 + $H59*$H$59, Q$37)</f>
        <v>0</v>
      </c>
      <c r="R59" s="284">
        <f>INDEX('Volume adjustments'!$J$481:$Y$521, R$36 + 1 + $H59*$H$59, R$37)</f>
        <v>80.647658930328404</v>
      </c>
      <c r="S59" s="284">
        <f>INDEX('Volume adjustments'!$J$481:$Y$521, S$36 + 1 + $H59*$H$59, S$37)</f>
        <v>80402.567216844691</v>
      </c>
      <c r="T59" s="284">
        <f>INDEX('Volume adjustments'!$J$481:$Y$521, T$36 + 1 + $H59*$H$59, T$37)</f>
        <v>76373.416552975803</v>
      </c>
      <c r="U59" s="284">
        <f>INDEX('Volume adjustments'!$J$481:$Y$521, U$36 + 1 + $H59*$H$59, U$37)</f>
        <v>62921.979411802487</v>
      </c>
      <c r="V59" s="284">
        <f>INDEX('Volume adjustments'!$J$481:$Y$521, V$36 + 1 + $H59*$H$59, V$37)</f>
        <v>207006.90023792107</v>
      </c>
      <c r="W59" s="284">
        <f>INDEX('Volume adjustments'!$J$481:$Y$521, W$36 + 1 + $H59*$H$59, W$37)</f>
        <v>0</v>
      </c>
      <c r="X59" s="284">
        <f>INDEX('Volume adjustments'!$J$481:$Y$521, X$36 + 1 + $H59*$H$59, X$37)</f>
        <v>104.69053383114345</v>
      </c>
      <c r="Y59" s="284">
        <f>INDEX('Volume adjustments'!$J$481:$Y$521, Y$36 + 1 + $H59*$H$59, Y$37)</f>
        <v>1327.6475720989113</v>
      </c>
      <c r="Z59" s="284">
        <f>INDEX('Volume adjustments'!$J$481:$Y$521, Z$36 + 1 + $H59*$H$59, Z$37)</f>
        <v>1638.42313805552</v>
      </c>
      <c r="AA59" s="284">
        <f>INDEX('Volume adjustments'!$J$481:$Y$521, AA$36 + 1 + $H59*$H$59, AA$37)</f>
        <v>21797.252208596088</v>
      </c>
      <c r="AB59" s="284">
        <f>INDEX('Volume adjustments'!$J$481:$Y$521, AB$36 + 1 + $H59*$H$59, AB$37)</f>
        <v>434.49770631320587</v>
      </c>
      <c r="AC59" s="284">
        <f>INDEX('Volume adjustments'!$J$481:$Y$521, AC$36 + 1 + $H59*$H$59, AC$37)</f>
        <v>21207.851827550981</v>
      </c>
      <c r="AD59" s="284">
        <f>INDEX('Volume adjustments'!$J$481:$Y$521, AD$36 + 1 + $H59*$H$59, AD$37)</f>
        <v>73559.689508335403</v>
      </c>
      <c r="AE59" s="284">
        <f>INDEX('Volume adjustments'!$J$481:$Y$521, AE$36 + 1 + $H59*$H$59, AE$37)</f>
        <v>58385.373583934743</v>
      </c>
      <c r="AF59" s="284">
        <f>INDEX('Volume adjustments'!$J$481:$Y$521, AF$36 + 1 + $H59*$H$59, AF$37)</f>
        <v>155040.47093050441</v>
      </c>
      <c r="AG59" s="284">
        <f>INDEX('Volume adjustments'!$J$481:$Y$521, AG$36 + 1 + $H59*$H$59, AG$37)</f>
        <v>0</v>
      </c>
      <c r="AH59" s="284">
        <f>INDEX('Volume adjustments'!$J$481:$Y$521, AH$36 + 1 + $H59*$H$59, AH$37)</f>
        <v>0</v>
      </c>
      <c r="AI59" s="284">
        <f>INDEX('Volume adjustments'!$J$481:$Y$521, AI$36 + 1 + $H59*$H$59, AI$37)</f>
        <v>0</v>
      </c>
      <c r="AJ59" s="284">
        <f>INDEX('Volume adjustments'!$J$481:$Y$521, AJ$36 + 1 + $H59*$H$59, AJ$37)</f>
        <v>5486.7326098670592</v>
      </c>
      <c r="AK59" s="284">
        <f>INDEX('Volume adjustments'!$J$481:$Y$521, AK$36 + 1 + $H59*$H$59, AK$37)</f>
        <v>0</v>
      </c>
      <c r="AL59" s="284">
        <f>INDEX('Volume adjustments'!$J$481:$Y$521, AL$36 + 1 + $H59*$H$59, AL$37)</f>
        <v>0</v>
      </c>
      <c r="AM59" s="284">
        <f>INDEX('Volume adjustments'!$J$481:$Y$521, AM$36 + 1 + $H59*$H$59, AM$37)</f>
        <v>0</v>
      </c>
      <c r="AN59" s="284">
        <f>INDEX('Volume adjustments'!$J$481:$Y$521, AN$36 + 1 + $H59*$H$59, AN$37)</f>
        <v>37970.304935278305</v>
      </c>
      <c r="AO59" s="284">
        <f>INDEX('Volume adjustments'!$J$481:$Y$521, AO$36 + 1 + $H59*$H$59, AO$37)</f>
        <v>0</v>
      </c>
    </row>
    <row r="60" spans="4:41" x14ac:dyDescent="0.25">
      <c r="D60" s="86"/>
      <c r="F60" s="98"/>
      <c r="J60" s="173"/>
      <c r="K60" s="173"/>
      <c r="L60" s="173"/>
      <c r="M60" s="173"/>
      <c r="N60" s="173"/>
      <c r="O60" s="173"/>
      <c r="P60" s="173"/>
      <c r="Q60" s="173"/>
      <c r="R60" s="173"/>
      <c r="S60" s="173"/>
      <c r="T60" s="173"/>
      <c r="U60" s="173"/>
      <c r="V60" s="173"/>
      <c r="W60" s="173"/>
      <c r="X60" s="173"/>
      <c r="Y60" s="173"/>
      <c r="Z60" s="173"/>
      <c r="AA60" s="173"/>
      <c r="AB60" s="173"/>
      <c r="AC60" s="173"/>
      <c r="AD60" s="173"/>
      <c r="AE60" s="173"/>
      <c r="AF60" s="173"/>
      <c r="AG60" s="173"/>
      <c r="AH60" s="173"/>
      <c r="AI60" s="173"/>
      <c r="AJ60" s="173"/>
      <c r="AK60" s="173"/>
      <c r="AL60" s="173"/>
      <c r="AM60" s="173"/>
      <c r="AN60" s="173"/>
      <c r="AO60" s="173"/>
    </row>
    <row r="61" spans="4:41" x14ac:dyDescent="0.25">
      <c r="D61" s="86"/>
      <c r="E61" s="293" t="s">
        <v>184</v>
      </c>
      <c r="G61" s="293" t="s">
        <v>107</v>
      </c>
      <c r="H61" s="273">
        <f>'General inputs'!$H$91</f>
        <v>612226791.48677313</v>
      </c>
      <c r="J61" s="173"/>
      <c r="K61" s="173"/>
      <c r="L61" s="173"/>
      <c r="M61" s="173"/>
      <c r="N61" s="173"/>
      <c r="O61" s="173"/>
      <c r="P61" s="173"/>
      <c r="Q61" s="173"/>
      <c r="R61" s="173"/>
      <c r="S61" s="173"/>
      <c r="T61" s="173"/>
      <c r="U61" s="173"/>
      <c r="V61" s="173"/>
      <c r="W61" s="173"/>
      <c r="X61" s="173"/>
      <c r="Y61" s="173"/>
      <c r="Z61" s="173"/>
      <c r="AA61" s="173"/>
      <c r="AB61" s="173"/>
      <c r="AC61" s="173"/>
      <c r="AD61" s="173"/>
      <c r="AE61" s="173"/>
      <c r="AF61" s="173"/>
      <c r="AG61" s="173"/>
      <c r="AH61" s="173"/>
      <c r="AI61" s="173"/>
      <c r="AJ61" s="173"/>
      <c r="AK61" s="173"/>
      <c r="AL61" s="173"/>
      <c r="AM61" s="173"/>
      <c r="AN61" s="173"/>
      <c r="AO61" s="173"/>
    </row>
    <row r="62" spans="4:41" x14ac:dyDescent="0.25">
      <c r="D62" s="86"/>
      <c r="E62" s="293"/>
      <c r="H62" s="273"/>
      <c r="J62" s="173"/>
      <c r="K62" s="173"/>
      <c r="L62" s="173"/>
      <c r="M62" s="173"/>
      <c r="N62" s="173"/>
      <c r="O62" s="173"/>
      <c r="P62" s="173"/>
      <c r="Q62" s="173"/>
      <c r="R62" s="173"/>
      <c r="S62" s="173"/>
      <c r="T62" s="173"/>
      <c r="U62" s="173"/>
      <c r="V62" s="173"/>
      <c r="W62" s="173"/>
      <c r="X62" s="173"/>
      <c r="Y62" s="173"/>
      <c r="Z62" s="173"/>
      <c r="AA62" s="173"/>
      <c r="AB62" s="173"/>
      <c r="AC62" s="173"/>
      <c r="AD62" s="173"/>
      <c r="AE62" s="173"/>
      <c r="AF62" s="173"/>
      <c r="AG62" s="173"/>
      <c r="AH62" s="173"/>
      <c r="AI62" s="173"/>
      <c r="AJ62" s="173"/>
      <c r="AK62" s="173"/>
      <c r="AL62" s="173"/>
      <c r="AM62" s="173"/>
      <c r="AN62" s="173"/>
      <c r="AO62" s="173"/>
    </row>
    <row r="63" spans="4:41" x14ac:dyDescent="0.25">
      <c r="D63" s="86"/>
      <c r="E63" s="96" t="s">
        <v>961</v>
      </c>
      <c r="H63" s="273"/>
      <c r="J63" s="173"/>
      <c r="K63" s="173"/>
      <c r="L63" s="173"/>
      <c r="M63" s="173"/>
      <c r="N63" s="173"/>
      <c r="O63" s="173"/>
      <c r="P63" s="173"/>
      <c r="Q63" s="173"/>
      <c r="R63" s="173"/>
      <c r="S63" s="173"/>
      <c r="T63" s="173"/>
      <c r="U63" s="173"/>
      <c r="V63" s="173"/>
      <c r="W63" s="173"/>
      <c r="X63" s="173"/>
      <c r="Y63" s="173"/>
      <c r="Z63" s="173"/>
      <c r="AA63" s="173"/>
      <c r="AB63" s="173"/>
      <c r="AC63" s="173"/>
      <c r="AD63" s="173"/>
      <c r="AE63" s="173"/>
      <c r="AF63" s="173"/>
      <c r="AG63" s="173"/>
      <c r="AH63" s="173"/>
      <c r="AI63" s="173"/>
      <c r="AJ63" s="173"/>
      <c r="AK63" s="173"/>
      <c r="AL63" s="173"/>
      <c r="AM63" s="173"/>
      <c r="AN63" s="173"/>
      <c r="AO63" s="173"/>
    </row>
    <row r="64" spans="4:41" x14ac:dyDescent="0.25">
      <c r="D64" s="86"/>
      <c r="F64" s="91" t="s">
        <v>958</v>
      </c>
      <c r="G64" s="91" t="s">
        <v>107</v>
      </c>
      <c r="H64" s="272">
        <f>'General inputs'!H56</f>
        <v>1119102.4670971127</v>
      </c>
      <c r="J64" s="173"/>
      <c r="K64" s="173"/>
      <c r="L64" s="173"/>
      <c r="M64" s="173"/>
      <c r="N64" s="173"/>
      <c r="O64" s="173"/>
      <c r="P64" s="173"/>
      <c r="Q64" s="173"/>
      <c r="R64" s="173"/>
      <c r="S64" s="173"/>
      <c r="T64" s="173"/>
      <c r="U64" s="173"/>
      <c r="V64" s="173"/>
      <c r="W64" s="173"/>
      <c r="X64" s="173"/>
      <c r="Y64" s="173"/>
      <c r="Z64" s="173"/>
      <c r="AA64" s="173"/>
      <c r="AB64" s="173"/>
      <c r="AC64" s="173"/>
      <c r="AD64" s="173"/>
      <c r="AE64" s="173"/>
      <c r="AF64" s="173"/>
      <c r="AG64" s="173"/>
      <c r="AH64" s="173"/>
      <c r="AI64" s="173"/>
      <c r="AJ64" s="173"/>
      <c r="AK64" s="173"/>
      <c r="AL64" s="173"/>
      <c r="AM64" s="173"/>
      <c r="AN64" s="173"/>
      <c r="AO64" s="173"/>
    </row>
    <row r="65" spans="2:43" s="533" customFormat="1" x14ac:dyDescent="0.25">
      <c r="D65" s="537"/>
      <c r="E65" s="538"/>
      <c r="F65" s="196" t="s">
        <v>959</v>
      </c>
      <c r="G65" s="534" t="s">
        <v>107</v>
      </c>
      <c r="H65" s="541">
        <f>'General inputs'!H57</f>
        <v>1989788.1281364006</v>
      </c>
      <c r="J65" s="548"/>
      <c r="K65" s="548"/>
      <c r="L65" s="548"/>
      <c r="M65" s="548"/>
      <c r="N65" s="548"/>
      <c r="O65" s="548"/>
      <c r="P65" s="548"/>
      <c r="Q65" s="548"/>
      <c r="R65" s="548"/>
      <c r="S65" s="548"/>
      <c r="T65" s="548"/>
      <c r="U65" s="548"/>
      <c r="V65" s="548"/>
      <c r="W65" s="548"/>
      <c r="X65" s="548"/>
      <c r="Y65" s="548"/>
      <c r="Z65" s="548"/>
      <c r="AA65" s="548"/>
      <c r="AB65" s="548"/>
      <c r="AC65" s="548"/>
      <c r="AD65" s="548"/>
      <c r="AE65" s="548"/>
      <c r="AF65" s="548"/>
      <c r="AG65" s="548"/>
      <c r="AH65" s="548"/>
      <c r="AI65" s="548"/>
      <c r="AJ65" s="548"/>
      <c r="AK65" s="548"/>
      <c r="AL65" s="548"/>
      <c r="AM65" s="548"/>
      <c r="AN65" s="548"/>
      <c r="AO65" s="548"/>
    </row>
    <row r="66" spans="2:43" x14ac:dyDescent="0.25">
      <c r="C66" s="86"/>
      <c r="F66" s="19" t="s">
        <v>1248</v>
      </c>
      <c r="G66" s="93" t="s">
        <v>107</v>
      </c>
      <c r="H66" s="274">
        <f>'General inputs'!H58</f>
        <v>0</v>
      </c>
      <c r="J66" s="173"/>
      <c r="K66" s="173"/>
      <c r="L66" s="173"/>
      <c r="M66" s="173"/>
      <c r="N66" s="173"/>
      <c r="O66" s="173"/>
      <c r="P66" s="173"/>
      <c r="Q66" s="173"/>
      <c r="R66" s="173"/>
      <c r="S66" s="173"/>
      <c r="T66" s="173"/>
      <c r="U66" s="173"/>
      <c r="V66" s="173"/>
      <c r="W66" s="173"/>
      <c r="X66" s="173"/>
      <c r="Y66" s="173"/>
      <c r="Z66" s="173"/>
      <c r="AA66" s="173"/>
      <c r="AB66" s="173"/>
      <c r="AC66" s="173"/>
      <c r="AD66" s="173"/>
      <c r="AE66" s="173"/>
      <c r="AF66" s="173"/>
      <c r="AG66" s="173"/>
      <c r="AH66" s="173"/>
      <c r="AI66" s="173"/>
      <c r="AJ66" s="173"/>
      <c r="AK66" s="173"/>
      <c r="AL66" s="173"/>
      <c r="AM66" s="173"/>
      <c r="AN66" s="173"/>
      <c r="AO66" s="173"/>
    </row>
    <row r="67" spans="2:43" x14ac:dyDescent="0.25">
      <c r="C67" s="86"/>
      <c r="J67" s="173"/>
      <c r="K67" s="173"/>
      <c r="L67" s="173"/>
      <c r="M67" s="173"/>
      <c r="N67" s="173"/>
      <c r="O67" s="173"/>
      <c r="P67" s="173"/>
      <c r="Q67" s="173"/>
      <c r="R67" s="173"/>
      <c r="S67" s="173"/>
      <c r="T67" s="173"/>
      <c r="U67" s="173"/>
      <c r="V67" s="173"/>
      <c r="W67" s="173"/>
      <c r="X67" s="173"/>
      <c r="Y67" s="173"/>
      <c r="Z67" s="173"/>
      <c r="AA67" s="173"/>
      <c r="AB67" s="173"/>
      <c r="AC67" s="173"/>
      <c r="AD67" s="173"/>
      <c r="AE67" s="173"/>
      <c r="AF67" s="173"/>
      <c r="AG67" s="173"/>
      <c r="AH67" s="173"/>
      <c r="AI67" s="173"/>
      <c r="AJ67" s="173"/>
      <c r="AK67" s="173"/>
      <c r="AL67" s="173"/>
      <c r="AM67" s="173"/>
      <c r="AN67" s="173"/>
      <c r="AO67" s="173"/>
    </row>
    <row r="68" spans="2:43" x14ac:dyDescent="0.25">
      <c r="C68" s="86"/>
      <c r="E68" s="5" t="s">
        <v>962</v>
      </c>
      <c r="G68" s="293" t="s">
        <v>107</v>
      </c>
      <c r="H68" s="275">
        <f>H61 - H64  - H65 - H66</f>
        <v>609117900.89153957</v>
      </c>
      <c r="I68" s="293" t="s">
        <v>359</v>
      </c>
      <c r="J68" s="173"/>
      <c r="K68" s="173"/>
      <c r="L68" s="173"/>
      <c r="M68" s="173"/>
      <c r="N68" s="173"/>
      <c r="O68" s="173"/>
      <c r="P68" s="173"/>
      <c r="Q68" s="173"/>
      <c r="R68" s="173"/>
      <c r="S68" s="173"/>
      <c r="T68" s="173"/>
      <c r="U68" s="173"/>
      <c r="V68" s="173"/>
      <c r="W68" s="173"/>
      <c r="X68" s="173"/>
      <c r="Y68" s="173"/>
      <c r="Z68" s="173"/>
      <c r="AA68" s="173"/>
      <c r="AB68" s="173"/>
      <c r="AC68" s="173"/>
      <c r="AD68" s="173"/>
      <c r="AE68" s="173"/>
      <c r="AF68" s="173"/>
      <c r="AG68" s="173"/>
      <c r="AH68" s="173"/>
      <c r="AI68" s="173"/>
      <c r="AJ68" s="173"/>
      <c r="AK68" s="173"/>
      <c r="AL68" s="173"/>
      <c r="AM68" s="173"/>
      <c r="AN68" s="173"/>
      <c r="AO68" s="173"/>
      <c r="AQ68" s="293" t="s">
        <v>963</v>
      </c>
    </row>
    <row r="69" spans="2:43" x14ac:dyDescent="0.25">
      <c r="C69" s="86"/>
      <c r="J69" s="173"/>
      <c r="K69" s="173"/>
      <c r="L69" s="173"/>
      <c r="M69" s="173"/>
      <c r="N69" s="173"/>
      <c r="O69" s="173"/>
      <c r="P69" s="173"/>
      <c r="Q69" s="173"/>
      <c r="R69" s="173"/>
      <c r="S69" s="173"/>
      <c r="T69" s="173"/>
      <c r="U69" s="173"/>
      <c r="V69" s="173"/>
      <c r="W69" s="173"/>
      <c r="X69" s="173"/>
      <c r="Y69" s="173"/>
      <c r="Z69" s="173"/>
      <c r="AA69" s="173"/>
      <c r="AB69" s="173"/>
      <c r="AC69" s="173"/>
      <c r="AD69" s="173"/>
      <c r="AE69" s="173"/>
      <c r="AF69" s="173"/>
      <c r="AG69" s="173"/>
      <c r="AH69" s="173"/>
      <c r="AI69" s="173"/>
      <c r="AJ69" s="173"/>
      <c r="AK69" s="173"/>
      <c r="AL69" s="173"/>
      <c r="AM69" s="173"/>
      <c r="AN69" s="173"/>
      <c r="AO69" s="173"/>
    </row>
    <row r="70" spans="2:43" x14ac:dyDescent="0.25">
      <c r="C70" s="7" t="str">
        <f ca="1">INDEX('Version control'!$H$35:$H$61,MATCH($A$1,'Version control'!$F$35:$F$61,0),1)&amp;"-B: Net revenue before matching"</f>
        <v>Section 519-B: Net revenue before matching</v>
      </c>
      <c r="D70" s="7"/>
      <c r="E70" s="7"/>
      <c r="F70" s="7"/>
      <c r="G70" s="7"/>
      <c r="H70" s="7"/>
      <c r="I70" s="7"/>
      <c r="J70" s="171"/>
      <c r="K70" s="171"/>
      <c r="L70" s="171"/>
      <c r="M70" s="171"/>
      <c r="N70" s="171"/>
      <c r="O70" s="171"/>
      <c r="P70" s="171"/>
      <c r="Q70" s="171"/>
      <c r="R70" s="171"/>
      <c r="S70" s="171"/>
      <c r="T70" s="171"/>
      <c r="U70" s="171"/>
      <c r="V70" s="171"/>
      <c r="W70" s="171"/>
      <c r="X70" s="171"/>
      <c r="Y70" s="171"/>
      <c r="Z70" s="171"/>
      <c r="AA70" s="171"/>
      <c r="AB70" s="171"/>
      <c r="AC70" s="171"/>
      <c r="AD70" s="171"/>
      <c r="AE70" s="171"/>
      <c r="AF70" s="171"/>
      <c r="AG70" s="171"/>
      <c r="AH70" s="171"/>
      <c r="AI70" s="171"/>
      <c r="AJ70" s="171"/>
      <c r="AK70" s="171"/>
      <c r="AL70" s="171"/>
      <c r="AM70" s="171"/>
      <c r="AN70" s="171"/>
      <c r="AO70" s="171"/>
      <c r="AP70" s="7"/>
      <c r="AQ70" s="7"/>
    </row>
    <row r="71" spans="2:43" x14ac:dyDescent="0.25">
      <c r="C71" s="82"/>
      <c r="J71" s="173"/>
      <c r="K71" s="173"/>
      <c r="L71" s="173"/>
      <c r="M71" s="173"/>
      <c r="N71" s="173"/>
      <c r="O71" s="173"/>
      <c r="P71" s="173"/>
      <c r="Q71" s="173"/>
      <c r="R71" s="173"/>
      <c r="S71" s="173"/>
      <c r="T71" s="173"/>
      <c r="U71" s="173"/>
      <c r="V71" s="173"/>
      <c r="W71" s="173"/>
      <c r="X71" s="173"/>
      <c r="Y71" s="173"/>
      <c r="Z71" s="173"/>
      <c r="AA71" s="173"/>
      <c r="AB71" s="173"/>
      <c r="AC71" s="173"/>
      <c r="AD71" s="173"/>
      <c r="AE71" s="173"/>
      <c r="AF71" s="173"/>
      <c r="AG71" s="173"/>
      <c r="AH71" s="173"/>
      <c r="AI71" s="173"/>
      <c r="AJ71" s="173"/>
      <c r="AK71" s="173"/>
      <c r="AL71" s="173"/>
      <c r="AM71" s="173"/>
      <c r="AN71" s="173"/>
      <c r="AO71" s="173"/>
    </row>
    <row r="72" spans="2:43" x14ac:dyDescent="0.25">
      <c r="B72" s="82"/>
      <c r="D72" s="82" t="s">
        <v>411</v>
      </c>
      <c r="F72" s="98"/>
      <c r="J72" s="173"/>
      <c r="K72" s="173"/>
      <c r="L72" s="173"/>
      <c r="M72" s="173"/>
      <c r="N72" s="173"/>
      <c r="O72" s="173"/>
      <c r="P72" s="173"/>
      <c r="Q72" s="173"/>
      <c r="R72" s="173"/>
      <c r="S72" s="173"/>
      <c r="T72" s="173"/>
      <c r="U72" s="173"/>
      <c r="V72" s="173"/>
      <c r="W72" s="173"/>
      <c r="X72" s="173"/>
      <c r="Y72" s="173"/>
      <c r="Z72" s="173"/>
      <c r="AA72" s="173"/>
      <c r="AB72" s="173"/>
      <c r="AC72" s="173"/>
      <c r="AD72" s="173"/>
      <c r="AE72" s="173"/>
      <c r="AF72" s="173"/>
      <c r="AG72" s="173"/>
      <c r="AH72" s="173"/>
      <c r="AI72" s="173"/>
      <c r="AJ72" s="173"/>
      <c r="AK72" s="173"/>
      <c r="AL72" s="173"/>
      <c r="AM72" s="173"/>
      <c r="AN72" s="173"/>
      <c r="AO72" s="173"/>
    </row>
    <row r="73" spans="2:43" x14ac:dyDescent="0.25">
      <c r="D73" s="82" t="s">
        <v>412</v>
      </c>
      <c r="F73" s="98"/>
      <c r="J73" s="173"/>
      <c r="K73" s="173"/>
      <c r="L73" s="173"/>
      <c r="M73" s="173"/>
      <c r="N73" s="173"/>
      <c r="O73" s="173"/>
      <c r="P73" s="173"/>
      <c r="Q73" s="173"/>
      <c r="R73" s="173"/>
      <c r="S73" s="173"/>
      <c r="T73" s="173"/>
      <c r="U73" s="173"/>
      <c r="V73" s="173"/>
      <c r="W73" s="173"/>
      <c r="X73" s="173"/>
      <c r="Y73" s="173"/>
      <c r="Z73" s="173"/>
      <c r="AA73" s="173"/>
      <c r="AB73" s="173"/>
      <c r="AC73" s="173"/>
      <c r="AD73" s="173"/>
      <c r="AE73" s="173"/>
      <c r="AF73" s="173"/>
      <c r="AG73" s="173"/>
      <c r="AH73" s="173"/>
      <c r="AI73" s="173"/>
      <c r="AJ73" s="173"/>
      <c r="AK73" s="173"/>
      <c r="AL73" s="173"/>
      <c r="AM73" s="173"/>
      <c r="AN73" s="173"/>
      <c r="AO73" s="173"/>
    </row>
    <row r="74" spans="2:43" x14ac:dyDescent="0.25">
      <c r="D74" s="82"/>
      <c r="F74" s="98"/>
      <c r="J74" s="173"/>
      <c r="K74" s="173"/>
      <c r="L74" s="173"/>
      <c r="M74" s="173"/>
      <c r="N74" s="173"/>
      <c r="O74" s="173"/>
      <c r="P74" s="173"/>
      <c r="Q74" s="173"/>
      <c r="R74" s="173"/>
      <c r="S74" s="173"/>
      <c r="T74" s="173"/>
      <c r="U74" s="173"/>
      <c r="V74" s="173"/>
      <c r="W74" s="173"/>
      <c r="X74" s="173"/>
      <c r="Y74" s="173"/>
      <c r="Z74" s="173"/>
      <c r="AA74" s="173"/>
      <c r="AB74" s="173"/>
      <c r="AC74" s="173"/>
      <c r="AD74" s="173"/>
      <c r="AE74" s="173"/>
      <c r="AF74" s="173"/>
      <c r="AG74" s="173"/>
      <c r="AH74" s="173"/>
      <c r="AI74" s="173"/>
      <c r="AJ74" s="173"/>
      <c r="AK74" s="173"/>
      <c r="AL74" s="173"/>
      <c r="AM74" s="173"/>
      <c r="AN74" s="173"/>
      <c r="AO74" s="173"/>
    </row>
    <row r="75" spans="2:43" x14ac:dyDescent="0.25">
      <c r="D75" s="293"/>
      <c r="E75" s="96" t="s">
        <v>591</v>
      </c>
      <c r="F75" s="96"/>
      <c r="H75" s="41" t="s">
        <v>215</v>
      </c>
      <c r="J75" s="173"/>
      <c r="K75" s="173"/>
      <c r="L75" s="173"/>
      <c r="M75" s="173"/>
      <c r="N75" s="173"/>
      <c r="O75" s="173"/>
      <c r="P75" s="173"/>
      <c r="Q75" s="173"/>
      <c r="R75" s="173"/>
      <c r="S75" s="173"/>
      <c r="T75" s="173"/>
      <c r="U75" s="173"/>
      <c r="V75" s="173"/>
      <c r="W75" s="173"/>
      <c r="X75" s="173"/>
      <c r="Y75" s="173"/>
      <c r="Z75" s="173"/>
      <c r="AA75" s="173"/>
      <c r="AB75" s="173"/>
      <c r="AC75" s="173"/>
      <c r="AD75" s="173"/>
      <c r="AE75" s="173"/>
      <c r="AF75" s="173"/>
      <c r="AG75" s="173"/>
      <c r="AH75" s="173"/>
      <c r="AI75" s="173"/>
      <c r="AJ75" s="173"/>
      <c r="AK75" s="173"/>
      <c r="AL75" s="173"/>
      <c r="AM75" s="173"/>
      <c r="AN75" s="173"/>
      <c r="AO75" s="173"/>
    </row>
    <row r="76" spans="2:43" x14ac:dyDescent="0.25">
      <c r="D76" s="86"/>
      <c r="F76" s="91" t="s">
        <v>134</v>
      </c>
      <c r="G76" s="91" t="s">
        <v>107</v>
      </c>
      <c r="H76" s="277">
        <f t="shared" ref="H76:H83" si="2">SUM(J76:AO76)</f>
        <v>200747891.62181723</v>
      </c>
      <c r="I76" s="74"/>
      <c r="J76" s="253">
        <f t="shared" ref="J76:AO76" si="3">J53 * thousand * J40 / hundred</f>
        <v>133132821.23864467</v>
      </c>
      <c r="K76" s="253">
        <f t="shared" si="3"/>
        <v>37437.448755901911</v>
      </c>
      <c r="L76" s="253">
        <f t="shared" si="3"/>
        <v>1344.0383098117379</v>
      </c>
      <c r="M76" s="253">
        <f t="shared" si="3"/>
        <v>1675757.9177868089</v>
      </c>
      <c r="N76" s="253">
        <f t="shared" si="3"/>
        <v>4136361.8021040047</v>
      </c>
      <c r="O76" s="253">
        <f t="shared" si="3"/>
        <v>4962890.1582438434</v>
      </c>
      <c r="P76" s="253">
        <f t="shared" si="3"/>
        <v>12490734.109974537</v>
      </c>
      <c r="Q76" s="253">
        <f t="shared" si="3"/>
        <v>45031.363435233317</v>
      </c>
      <c r="R76" s="253">
        <f t="shared" si="3"/>
        <v>5851.4511373924915</v>
      </c>
      <c r="S76" s="253">
        <f t="shared" si="3"/>
        <v>5833668.3250374701</v>
      </c>
      <c r="T76" s="253">
        <f t="shared" si="3"/>
        <v>5541330.2888498493</v>
      </c>
      <c r="U76" s="253">
        <f t="shared" si="3"/>
        <v>4565351.2188649382</v>
      </c>
      <c r="V76" s="253">
        <f t="shared" si="3"/>
        <v>15019540.280663485</v>
      </c>
      <c r="W76" s="253">
        <f t="shared" si="3"/>
        <v>0</v>
      </c>
      <c r="X76" s="253">
        <f t="shared" si="3"/>
        <v>5717.2195924892303</v>
      </c>
      <c r="Y76" s="253">
        <f t="shared" si="3"/>
        <v>72503.715793133524</v>
      </c>
      <c r="Z76" s="253">
        <f t="shared" si="3"/>
        <v>89475.375880566353</v>
      </c>
      <c r="AA76" s="253">
        <f t="shared" si="3"/>
        <v>1190362.4217870091</v>
      </c>
      <c r="AB76" s="253">
        <f t="shared" si="3"/>
        <v>9042.0569556873015</v>
      </c>
      <c r="AC76" s="253">
        <f t="shared" si="3"/>
        <v>924199.02564635326</v>
      </c>
      <c r="AD76" s="253">
        <f t="shared" si="3"/>
        <v>3205595.4522529505</v>
      </c>
      <c r="AE76" s="253">
        <f t="shared" si="3"/>
        <v>2544326.781280701</v>
      </c>
      <c r="AF76" s="253">
        <f t="shared" si="3"/>
        <v>6756377.4650471248</v>
      </c>
      <c r="AG76" s="253">
        <f t="shared" si="3"/>
        <v>2214836.4373002043</v>
      </c>
      <c r="AH76" s="253">
        <f t="shared" si="3"/>
        <v>-41253.228353909748</v>
      </c>
      <c r="AI76" s="253">
        <f t="shared" si="3"/>
        <v>-1513.0169524365783</v>
      </c>
      <c r="AJ76" s="253">
        <f t="shared" si="3"/>
        <v>-203172.25968453902</v>
      </c>
      <c r="AK76" s="253">
        <f t="shared" si="3"/>
        <v>0</v>
      </c>
      <c r="AL76" s="253">
        <f t="shared" si="3"/>
        <v>0</v>
      </c>
      <c r="AM76" s="253">
        <f t="shared" si="3"/>
        <v>0</v>
      </c>
      <c r="AN76" s="253">
        <f t="shared" si="3"/>
        <v>-3466725.4665361149</v>
      </c>
      <c r="AO76" s="253">
        <f t="shared" si="3"/>
        <v>0</v>
      </c>
    </row>
    <row r="77" spans="2:43" x14ac:dyDescent="0.25">
      <c r="D77" s="86"/>
      <c r="F77" s="293" t="s">
        <v>135</v>
      </c>
      <c r="G77" s="293" t="s">
        <v>107</v>
      </c>
      <c r="H77" s="252">
        <f t="shared" si="2"/>
        <v>121415212.93270594</v>
      </c>
      <c r="I77" s="90"/>
      <c r="J77" s="425">
        <f t="shared" ref="J77" si="4">J54 * thousand * J41 / hundred</f>
        <v>76127434.090082839</v>
      </c>
      <c r="K77" s="425">
        <f t="shared" ref="K77:AO77" si="5">K54 * thousand * K41 / hundred</f>
        <v>485640.57487433957</v>
      </c>
      <c r="L77" s="425">
        <f t="shared" si="5"/>
        <v>1096.622407706014</v>
      </c>
      <c r="M77" s="425">
        <f t="shared" si="5"/>
        <v>1367277.7547488161</v>
      </c>
      <c r="N77" s="425">
        <f t="shared" si="5"/>
        <v>3374923.9180554682</v>
      </c>
      <c r="O77" s="425">
        <f t="shared" si="5"/>
        <v>4049301.6566441273</v>
      </c>
      <c r="P77" s="425">
        <f t="shared" si="5"/>
        <v>10191390.24066551</v>
      </c>
      <c r="Q77" s="425">
        <f t="shared" si="5"/>
        <v>80851.512141113621</v>
      </c>
      <c r="R77" s="425">
        <f t="shared" si="5"/>
        <v>3729.9293145627271</v>
      </c>
      <c r="S77" s="425">
        <f t="shared" si="5"/>
        <v>3718593.8985196026</v>
      </c>
      <c r="T77" s="425">
        <f t="shared" si="5"/>
        <v>3532246.9248655061</v>
      </c>
      <c r="U77" s="425">
        <f t="shared" si="5"/>
        <v>2910122.1120522218</v>
      </c>
      <c r="V77" s="425">
        <f t="shared" si="5"/>
        <v>9574005.1943878513</v>
      </c>
      <c r="W77" s="425">
        <f t="shared" si="5"/>
        <v>0</v>
      </c>
      <c r="X77" s="425">
        <f t="shared" si="5"/>
        <v>2394.2668925074713</v>
      </c>
      <c r="Y77" s="425">
        <f t="shared" si="5"/>
        <v>30363.228751143626</v>
      </c>
      <c r="Z77" s="425">
        <f t="shared" si="5"/>
        <v>37470.649272757495</v>
      </c>
      <c r="AA77" s="425">
        <f t="shared" si="5"/>
        <v>498501.98867886455</v>
      </c>
      <c r="AB77" s="425">
        <f t="shared" si="5"/>
        <v>9409.8808881924724</v>
      </c>
      <c r="AC77" s="425">
        <f t="shared" si="5"/>
        <v>349129.13229142205</v>
      </c>
      <c r="AD77" s="425">
        <f t="shared" si="5"/>
        <v>1210958.6005456934</v>
      </c>
      <c r="AE77" s="425">
        <f t="shared" si="5"/>
        <v>961155.09404818085</v>
      </c>
      <c r="AF77" s="425">
        <f t="shared" si="5"/>
        <v>2552316.2612679913</v>
      </c>
      <c r="AG77" s="425">
        <f t="shared" si="5"/>
        <v>2271484.7135889065</v>
      </c>
      <c r="AH77" s="425">
        <f t="shared" si="5"/>
        <v>-42084.006064769019</v>
      </c>
      <c r="AI77" s="425">
        <f t="shared" si="5"/>
        <v>-1317.074477967074</v>
      </c>
      <c r="AJ77" s="425">
        <f t="shared" si="5"/>
        <v>-246760.91756488968</v>
      </c>
      <c r="AK77" s="425">
        <f t="shared" si="5"/>
        <v>0</v>
      </c>
      <c r="AL77" s="425">
        <f t="shared" si="5"/>
        <v>0</v>
      </c>
      <c r="AM77" s="425">
        <f t="shared" si="5"/>
        <v>0</v>
      </c>
      <c r="AN77" s="425">
        <f t="shared" si="5"/>
        <v>-1634423.3141717424</v>
      </c>
      <c r="AO77" s="425">
        <f t="shared" si="5"/>
        <v>0</v>
      </c>
    </row>
    <row r="78" spans="2:43" x14ac:dyDescent="0.25">
      <c r="D78" s="86"/>
      <c r="F78" s="293" t="s">
        <v>136</v>
      </c>
      <c r="G78" s="293" t="s">
        <v>107</v>
      </c>
      <c r="H78" s="252">
        <f t="shared" si="2"/>
        <v>5604088.4225024339</v>
      </c>
      <c r="I78" s="90"/>
      <c r="J78" s="425">
        <f t="shared" ref="J78" si="6">J55 * thousand * J42 / hundred</f>
        <v>2037395.1231149796</v>
      </c>
      <c r="K78" s="425">
        <f t="shared" ref="K78:AO78" si="7">K55 * thousand * K42 / hundred</f>
        <v>57533.037618271053</v>
      </c>
      <c r="L78" s="425">
        <f t="shared" si="7"/>
        <v>23.598869987611756</v>
      </c>
      <c r="M78" s="425">
        <f t="shared" si="7"/>
        <v>29423.263417321177</v>
      </c>
      <c r="N78" s="425">
        <f t="shared" si="7"/>
        <v>72626.995582625008</v>
      </c>
      <c r="O78" s="425">
        <f t="shared" si="7"/>
        <v>87139.331336172574</v>
      </c>
      <c r="P78" s="425">
        <f t="shared" si="7"/>
        <v>219314.58959112939</v>
      </c>
      <c r="Q78" s="425">
        <f t="shared" si="7"/>
        <v>10994.817608579402</v>
      </c>
      <c r="R78" s="425">
        <f t="shared" si="7"/>
        <v>91.795962035662356</v>
      </c>
      <c r="S78" s="425">
        <f t="shared" si="7"/>
        <v>91516.990148262106</v>
      </c>
      <c r="T78" s="425">
        <f t="shared" si="7"/>
        <v>86930.871142675169</v>
      </c>
      <c r="U78" s="425">
        <f t="shared" si="7"/>
        <v>71619.978929387493</v>
      </c>
      <c r="V78" s="425">
        <f t="shared" si="7"/>
        <v>235622.43228630535</v>
      </c>
      <c r="W78" s="425">
        <f t="shared" si="7"/>
        <v>0</v>
      </c>
      <c r="X78" s="425">
        <f t="shared" si="7"/>
        <v>64.863430701931193</v>
      </c>
      <c r="Y78" s="425">
        <f t="shared" si="7"/>
        <v>822.57462196459949</v>
      </c>
      <c r="Z78" s="425">
        <f t="shared" si="7"/>
        <v>1015.1227793633662</v>
      </c>
      <c r="AA78" s="425">
        <f t="shared" si="7"/>
        <v>13504.989480760456</v>
      </c>
      <c r="AB78" s="425">
        <f t="shared" si="7"/>
        <v>320.18131760494305</v>
      </c>
      <c r="AC78" s="425">
        <f t="shared" si="7"/>
        <v>9822.2714063610038</v>
      </c>
      <c r="AD78" s="425">
        <f t="shared" si="7"/>
        <v>34068.666680323142</v>
      </c>
      <c r="AE78" s="425">
        <f t="shared" si="7"/>
        <v>27040.786128003172</v>
      </c>
      <c r="AF78" s="425">
        <f t="shared" si="7"/>
        <v>71805.932860730114</v>
      </c>
      <c r="AG78" s="425">
        <f t="shared" si="7"/>
        <v>2482180.8768299269</v>
      </c>
      <c r="AH78" s="425">
        <f t="shared" si="7"/>
        <v>-268.20667737887453</v>
      </c>
      <c r="AI78" s="425">
        <f t="shared" si="7"/>
        <v>-9.7684213713816135</v>
      </c>
      <c r="AJ78" s="425">
        <f t="shared" si="7"/>
        <v>-3134.3322875877329</v>
      </c>
      <c r="AK78" s="425">
        <f t="shared" si="7"/>
        <v>0</v>
      </c>
      <c r="AL78" s="425">
        <f t="shared" si="7"/>
        <v>0</v>
      </c>
      <c r="AM78" s="425">
        <f t="shared" si="7"/>
        <v>0</v>
      </c>
      <c r="AN78" s="425">
        <f t="shared" si="7"/>
        <v>-33378.361254698619</v>
      </c>
      <c r="AO78" s="425">
        <f t="shared" si="7"/>
        <v>0</v>
      </c>
    </row>
    <row r="79" spans="2:43" x14ac:dyDescent="0.25">
      <c r="D79" s="86"/>
      <c r="F79" s="293" t="s">
        <v>254</v>
      </c>
      <c r="G79" s="293" t="s">
        <v>107</v>
      </c>
      <c r="H79" s="252">
        <f t="shared" si="2"/>
        <v>63439411.195532069</v>
      </c>
      <c r="I79" s="90"/>
      <c r="J79" s="253">
        <f t="shared" ref="J79" si="8">J56 * J43 * days_in_year / hundred</f>
        <v>53645957.209040686</v>
      </c>
      <c r="K79" s="253">
        <f t="shared" ref="K79:AO79" si="9">K56 * K43 * days_in_year / hundred</f>
        <v>0</v>
      </c>
      <c r="L79" s="253">
        <f t="shared" si="9"/>
        <v>247.85005060545248</v>
      </c>
      <c r="M79" s="253">
        <f t="shared" si="9"/>
        <v>2716084.7674671561</v>
      </c>
      <c r="N79" s="253">
        <f t="shared" si="9"/>
        <v>2040951.2235715571</v>
      </c>
      <c r="O79" s="253">
        <f t="shared" si="9"/>
        <v>1080447.3288693754</v>
      </c>
      <c r="P79" s="253">
        <f t="shared" si="9"/>
        <v>999482.31274135085</v>
      </c>
      <c r="Q79" s="253">
        <f t="shared" si="9"/>
        <v>0</v>
      </c>
      <c r="R79" s="253">
        <f t="shared" si="9"/>
        <v>804.05317783152191</v>
      </c>
      <c r="S79" s="253">
        <f t="shared" si="9"/>
        <v>664061.46755788755</v>
      </c>
      <c r="T79" s="253">
        <f t="shared" si="9"/>
        <v>343265.86393584765</v>
      </c>
      <c r="U79" s="253">
        <f t="shared" si="9"/>
        <v>182818.3491595317</v>
      </c>
      <c r="V79" s="253">
        <f t="shared" si="9"/>
        <v>248798.26127373878</v>
      </c>
      <c r="W79" s="253">
        <f t="shared" si="9"/>
        <v>0</v>
      </c>
      <c r="X79" s="253">
        <f t="shared" si="9"/>
        <v>837.31823487338374</v>
      </c>
      <c r="Y79" s="253">
        <f t="shared" si="9"/>
        <v>6363.6185850377169</v>
      </c>
      <c r="Z79" s="253">
        <f t="shared" si="9"/>
        <v>7535.8641138604544</v>
      </c>
      <c r="AA79" s="253">
        <f t="shared" si="9"/>
        <v>28803.747279644405</v>
      </c>
      <c r="AB79" s="253">
        <f t="shared" si="9"/>
        <v>54576.569792073846</v>
      </c>
      <c r="AC79" s="253">
        <f t="shared" si="9"/>
        <v>348163.74324096821</v>
      </c>
      <c r="AD79" s="253">
        <f t="shared" si="9"/>
        <v>413900.65673197957</v>
      </c>
      <c r="AE79" s="253">
        <f t="shared" si="9"/>
        <v>178983.49428556598</v>
      </c>
      <c r="AF79" s="253">
        <f t="shared" si="9"/>
        <v>180914.43654756795</v>
      </c>
      <c r="AG79" s="253">
        <f t="shared" si="9"/>
        <v>0</v>
      </c>
      <c r="AH79" s="253">
        <f t="shared" si="9"/>
        <v>0</v>
      </c>
      <c r="AI79" s="253">
        <f t="shared" si="9"/>
        <v>0</v>
      </c>
      <c r="AJ79" s="253">
        <f t="shared" si="9"/>
        <v>0</v>
      </c>
      <c r="AK79" s="253">
        <f t="shared" si="9"/>
        <v>0</v>
      </c>
      <c r="AL79" s="253">
        <f t="shared" si="9"/>
        <v>0</v>
      </c>
      <c r="AM79" s="253">
        <f t="shared" si="9"/>
        <v>0</v>
      </c>
      <c r="AN79" s="253">
        <f t="shared" si="9"/>
        <v>296413.05987492233</v>
      </c>
      <c r="AO79" s="253">
        <f t="shared" si="9"/>
        <v>0</v>
      </c>
    </row>
    <row r="80" spans="2:43" x14ac:dyDescent="0.25">
      <c r="D80" s="86"/>
      <c r="F80" s="293" t="s">
        <v>273</v>
      </c>
      <c r="G80" s="293" t="s">
        <v>107</v>
      </c>
      <c r="H80" s="252">
        <f t="shared" si="2"/>
        <v>91157140.418588534</v>
      </c>
      <c r="I80" s="90"/>
      <c r="J80" s="247">
        <f t="shared" ref="J80" si="10">J57 * J44 * days_in_year / hundred</f>
        <v>0</v>
      </c>
      <c r="K80" s="247">
        <f t="shared" ref="K80:AO80" si="11">K57 * K44 * days_in_year / hundred</f>
        <v>0</v>
      </c>
      <c r="L80" s="247">
        <f t="shared" si="11"/>
        <v>0</v>
      </c>
      <c r="M80" s="247">
        <f t="shared" si="11"/>
        <v>0</v>
      </c>
      <c r="N80" s="247">
        <f t="shared" si="11"/>
        <v>0</v>
      </c>
      <c r="O80" s="247">
        <f t="shared" si="11"/>
        <v>0</v>
      </c>
      <c r="P80" s="247">
        <f t="shared" si="11"/>
        <v>0</v>
      </c>
      <c r="Q80" s="247">
        <f t="shared" si="11"/>
        <v>0</v>
      </c>
      <c r="R80" s="247">
        <f t="shared" si="11"/>
        <v>8599.9236468709059</v>
      </c>
      <c r="S80" s="247">
        <f t="shared" si="11"/>
        <v>8573788.1080295183</v>
      </c>
      <c r="T80" s="247">
        <f t="shared" si="11"/>
        <v>8144136.6025723526</v>
      </c>
      <c r="U80" s="247">
        <f t="shared" si="11"/>
        <v>6709732.5059238533</v>
      </c>
      <c r="V80" s="247">
        <f t="shared" si="11"/>
        <v>22074336.193186946</v>
      </c>
      <c r="W80" s="247">
        <f t="shared" si="11"/>
        <v>0</v>
      </c>
      <c r="X80" s="247">
        <f t="shared" si="11"/>
        <v>10405.750677753746</v>
      </c>
      <c r="Y80" s="247">
        <f t="shared" si="11"/>
        <v>131961.97514351207</v>
      </c>
      <c r="Z80" s="247">
        <f t="shared" si="11"/>
        <v>162851.6166205362</v>
      </c>
      <c r="AA80" s="247">
        <f t="shared" si="11"/>
        <v>2166545.1845780383</v>
      </c>
      <c r="AB80" s="247">
        <f t="shared" si="11"/>
        <v>187927.11247529133</v>
      </c>
      <c r="AC80" s="247">
        <f t="shared" si="11"/>
        <v>2958074.0622001039</v>
      </c>
      <c r="AD80" s="247">
        <f t="shared" si="11"/>
        <v>10260115.514171211</v>
      </c>
      <c r="AE80" s="247">
        <f t="shared" si="11"/>
        <v>8143599.8617331125</v>
      </c>
      <c r="AF80" s="247">
        <f t="shared" si="11"/>
        <v>21625066.007629428</v>
      </c>
      <c r="AG80" s="247">
        <f t="shared" si="11"/>
        <v>0</v>
      </c>
      <c r="AH80" s="247">
        <f t="shared" si="11"/>
        <v>0</v>
      </c>
      <c r="AI80" s="247">
        <f t="shared" si="11"/>
        <v>0</v>
      </c>
      <c r="AJ80" s="247">
        <f t="shared" si="11"/>
        <v>0</v>
      </c>
      <c r="AK80" s="247">
        <f t="shared" si="11"/>
        <v>0</v>
      </c>
      <c r="AL80" s="247">
        <f t="shared" si="11"/>
        <v>0</v>
      </c>
      <c r="AM80" s="247">
        <f t="shared" si="11"/>
        <v>0</v>
      </c>
      <c r="AN80" s="247">
        <f t="shared" si="11"/>
        <v>0</v>
      </c>
      <c r="AO80" s="247">
        <f t="shared" si="11"/>
        <v>0</v>
      </c>
    </row>
    <row r="81" spans="2:43" x14ac:dyDescent="0.25">
      <c r="D81" s="86"/>
      <c r="F81" s="293" t="s">
        <v>203</v>
      </c>
      <c r="G81" s="293" t="s">
        <v>107</v>
      </c>
      <c r="H81" s="252">
        <f t="shared" si="2"/>
        <v>1771464.9934634576</v>
      </c>
      <c r="I81" s="90"/>
      <c r="J81" s="248">
        <f t="shared" ref="J81" si="12">J58 * J45 * days_in_year / hundred</f>
        <v>0</v>
      </c>
      <c r="K81" s="248">
        <f t="shared" ref="K81:AO81" si="13">K58 * K45 * days_in_year / hundred</f>
        <v>0</v>
      </c>
      <c r="L81" s="248">
        <f t="shared" si="13"/>
        <v>0</v>
      </c>
      <c r="M81" s="248">
        <f t="shared" si="13"/>
        <v>0</v>
      </c>
      <c r="N81" s="248">
        <f t="shared" si="13"/>
        <v>0</v>
      </c>
      <c r="O81" s="248">
        <f t="shared" si="13"/>
        <v>0</v>
      </c>
      <c r="P81" s="248">
        <f t="shared" si="13"/>
        <v>0</v>
      </c>
      <c r="Q81" s="248">
        <f t="shared" si="13"/>
        <v>0</v>
      </c>
      <c r="R81" s="248">
        <f t="shared" si="13"/>
        <v>214.01474355096028</v>
      </c>
      <c r="S81" s="248">
        <f t="shared" si="13"/>
        <v>213364.34351575281</v>
      </c>
      <c r="T81" s="248">
        <f t="shared" si="13"/>
        <v>202672.18384871251</v>
      </c>
      <c r="U81" s="248">
        <f t="shared" si="13"/>
        <v>166976.09659282488</v>
      </c>
      <c r="V81" s="248">
        <f t="shared" si="13"/>
        <v>549334.34219052654</v>
      </c>
      <c r="W81" s="248">
        <f t="shared" si="13"/>
        <v>0</v>
      </c>
      <c r="X81" s="248">
        <f t="shared" si="13"/>
        <v>89.993684187238173</v>
      </c>
      <c r="Y81" s="248">
        <f t="shared" si="13"/>
        <v>1141.2674283248325</v>
      </c>
      <c r="Z81" s="248">
        <f t="shared" si="13"/>
        <v>1408.4151551758475</v>
      </c>
      <c r="AA81" s="248">
        <f t="shared" si="13"/>
        <v>18737.272221516105</v>
      </c>
      <c r="AB81" s="248">
        <f t="shared" si="13"/>
        <v>383.42564694392735</v>
      </c>
      <c r="AC81" s="248">
        <f t="shared" si="13"/>
        <v>42467.78627047332</v>
      </c>
      <c r="AD81" s="248">
        <f t="shared" si="13"/>
        <v>147300.02819541137</v>
      </c>
      <c r="AE81" s="248">
        <f t="shared" si="13"/>
        <v>116914.13099478469</v>
      </c>
      <c r="AF81" s="248">
        <f t="shared" si="13"/>
        <v>310461.69297527208</v>
      </c>
      <c r="AG81" s="248">
        <f t="shared" si="13"/>
        <v>0</v>
      </c>
      <c r="AH81" s="248">
        <f t="shared" si="13"/>
        <v>0</v>
      </c>
      <c r="AI81" s="248">
        <f t="shared" si="13"/>
        <v>0</v>
      </c>
      <c r="AJ81" s="248">
        <f t="shared" si="13"/>
        <v>0</v>
      </c>
      <c r="AK81" s="248">
        <f t="shared" si="13"/>
        <v>0</v>
      </c>
      <c r="AL81" s="248">
        <f t="shared" si="13"/>
        <v>0</v>
      </c>
      <c r="AM81" s="248">
        <f t="shared" si="13"/>
        <v>0</v>
      </c>
      <c r="AN81" s="248">
        <f t="shared" si="13"/>
        <v>0</v>
      </c>
      <c r="AO81" s="248">
        <f t="shared" si="13"/>
        <v>0</v>
      </c>
    </row>
    <row r="82" spans="2:43" x14ac:dyDescent="0.25">
      <c r="D82" s="86"/>
      <c r="F82" s="93" t="s">
        <v>77</v>
      </c>
      <c r="G82" s="15" t="s">
        <v>107</v>
      </c>
      <c r="H82" s="271">
        <f t="shared" si="2"/>
        <v>1333823.3125388976</v>
      </c>
      <c r="I82" s="187"/>
      <c r="J82" s="248">
        <f t="shared" ref="J82" si="14">J59 * thousand * J46 / hundred</f>
        <v>0</v>
      </c>
      <c r="K82" s="248">
        <f t="shared" ref="K82:AO82" si="15">K59 * thousand * K46 / hundred</f>
        <v>0</v>
      </c>
      <c r="L82" s="248">
        <f t="shared" si="15"/>
        <v>0</v>
      </c>
      <c r="M82" s="248">
        <f t="shared" si="15"/>
        <v>0</v>
      </c>
      <c r="N82" s="248">
        <f t="shared" si="15"/>
        <v>0</v>
      </c>
      <c r="O82" s="248">
        <f t="shared" si="15"/>
        <v>0</v>
      </c>
      <c r="P82" s="248">
        <f t="shared" si="15"/>
        <v>0</v>
      </c>
      <c r="Q82" s="248">
        <f t="shared" si="15"/>
        <v>0</v>
      </c>
      <c r="R82" s="248">
        <f t="shared" si="15"/>
        <v>177.72107846441742</v>
      </c>
      <c r="S82" s="248">
        <f t="shared" si="15"/>
        <v>177180.97644260118</v>
      </c>
      <c r="T82" s="248">
        <f t="shared" si="15"/>
        <v>168302.04541377851</v>
      </c>
      <c r="U82" s="248">
        <f t="shared" si="15"/>
        <v>138659.47491224803</v>
      </c>
      <c r="V82" s="248">
        <f t="shared" si="15"/>
        <v>456175.54244992876</v>
      </c>
      <c r="W82" s="248">
        <f t="shared" si="15"/>
        <v>0</v>
      </c>
      <c r="X82" s="248">
        <f t="shared" si="15"/>
        <v>128.44819634710319</v>
      </c>
      <c r="Y82" s="248">
        <f t="shared" si="15"/>
        <v>1628.9336750901653</v>
      </c>
      <c r="Z82" s="248">
        <f t="shared" si="15"/>
        <v>2010.234251704491</v>
      </c>
      <c r="AA82" s="248">
        <f t="shared" si="15"/>
        <v>26743.752553912243</v>
      </c>
      <c r="AB82" s="248">
        <f t="shared" si="15"/>
        <v>404.47654017187472</v>
      </c>
      <c r="AC82" s="248">
        <f t="shared" si="15"/>
        <v>19742.517410442022</v>
      </c>
      <c r="AD82" s="248">
        <f t="shared" si="15"/>
        <v>68477.159432923232</v>
      </c>
      <c r="AE82" s="248">
        <f t="shared" si="15"/>
        <v>54351.297051149784</v>
      </c>
      <c r="AF82" s="248">
        <f t="shared" si="15"/>
        <v>144328.11119003728</v>
      </c>
      <c r="AG82" s="248">
        <f t="shared" si="15"/>
        <v>0</v>
      </c>
      <c r="AH82" s="248">
        <f t="shared" si="15"/>
        <v>0</v>
      </c>
      <c r="AI82" s="248">
        <f t="shared" si="15"/>
        <v>0</v>
      </c>
      <c r="AJ82" s="248">
        <f t="shared" si="15"/>
        <v>12496.352953900425</v>
      </c>
      <c r="AK82" s="248">
        <f t="shared" si="15"/>
        <v>0</v>
      </c>
      <c r="AL82" s="248">
        <f t="shared" si="15"/>
        <v>0</v>
      </c>
      <c r="AM82" s="248">
        <f t="shared" si="15"/>
        <v>0</v>
      </c>
      <c r="AN82" s="248">
        <f t="shared" si="15"/>
        <v>63016.26898619788</v>
      </c>
      <c r="AO82" s="248">
        <f t="shared" si="15"/>
        <v>0</v>
      </c>
    </row>
    <row r="83" spans="2:43" x14ac:dyDescent="0.25">
      <c r="D83" s="293"/>
      <c r="E83" s="82"/>
      <c r="F83" s="73" t="s">
        <v>111</v>
      </c>
      <c r="G83" s="77" t="s">
        <v>107</v>
      </c>
      <c r="H83" s="280">
        <f t="shared" si="2"/>
        <v>485469032.89714849</v>
      </c>
      <c r="I83" s="70"/>
      <c r="J83" s="286">
        <f t="shared" ref="J83" si="16">SUM(J76:J82)</f>
        <v>264943607.66088319</v>
      </c>
      <c r="K83" s="286">
        <f t="shared" ref="K83:AO83" si="17">SUM(K76:K82)</f>
        <v>580611.06124851247</v>
      </c>
      <c r="L83" s="286">
        <f t="shared" si="17"/>
        <v>2712.1096381108159</v>
      </c>
      <c r="M83" s="286">
        <f t="shared" si="17"/>
        <v>5788543.7034201026</v>
      </c>
      <c r="N83" s="286">
        <f t="shared" si="17"/>
        <v>9624863.9393136557</v>
      </c>
      <c r="O83" s="286">
        <f t="shared" si="17"/>
        <v>10179778.475093517</v>
      </c>
      <c r="P83" s="286">
        <f t="shared" si="17"/>
        <v>23900921.252972528</v>
      </c>
      <c r="Q83" s="286">
        <f t="shared" si="17"/>
        <v>136877.69318492635</v>
      </c>
      <c r="R83" s="286">
        <f t="shared" si="17"/>
        <v>19468.889060708687</v>
      </c>
      <c r="S83" s="286">
        <f t="shared" si="17"/>
        <v>19272174.109251097</v>
      </c>
      <c r="T83" s="286">
        <f t="shared" si="17"/>
        <v>18018884.780628718</v>
      </c>
      <c r="U83" s="286">
        <f t="shared" si="17"/>
        <v>14745279.736435005</v>
      </c>
      <c r="V83" s="286">
        <f t="shared" si="17"/>
        <v>48157812.246438786</v>
      </c>
      <c r="W83" s="286">
        <f t="shared" si="17"/>
        <v>0</v>
      </c>
      <c r="X83" s="286">
        <f t="shared" si="17"/>
        <v>19637.860708860102</v>
      </c>
      <c r="Y83" s="286">
        <f t="shared" si="17"/>
        <v>244785.31399820652</v>
      </c>
      <c r="Z83" s="286">
        <f t="shared" si="17"/>
        <v>301767.27807396417</v>
      </c>
      <c r="AA83" s="286">
        <f t="shared" si="17"/>
        <v>3943199.3565797452</v>
      </c>
      <c r="AB83" s="286">
        <f t="shared" si="17"/>
        <v>262063.70361596567</v>
      </c>
      <c r="AC83" s="286">
        <f t="shared" si="17"/>
        <v>4651598.5384661239</v>
      </c>
      <c r="AD83" s="286">
        <f t="shared" si="17"/>
        <v>15340416.078010492</v>
      </c>
      <c r="AE83" s="286">
        <f t="shared" si="17"/>
        <v>12026371.4455215</v>
      </c>
      <c r="AF83" s="286">
        <f t="shared" si="17"/>
        <v>31641269.907518152</v>
      </c>
      <c r="AG83" s="286">
        <f t="shared" si="17"/>
        <v>6968502.0277190376</v>
      </c>
      <c r="AH83" s="286">
        <f t="shared" si="17"/>
        <v>-83605.441096057635</v>
      </c>
      <c r="AI83" s="286">
        <f t="shared" si="17"/>
        <v>-2839.8598517750338</v>
      </c>
      <c r="AJ83" s="286">
        <f t="shared" si="17"/>
        <v>-440571.15658311604</v>
      </c>
      <c r="AK83" s="286">
        <f t="shared" si="17"/>
        <v>0</v>
      </c>
      <c r="AL83" s="286">
        <f t="shared" si="17"/>
        <v>0</v>
      </c>
      <c r="AM83" s="286">
        <f t="shared" si="17"/>
        <v>0</v>
      </c>
      <c r="AN83" s="286">
        <f t="shared" si="17"/>
        <v>-4775097.813101436</v>
      </c>
      <c r="AO83" s="286">
        <f t="shared" si="17"/>
        <v>0</v>
      </c>
      <c r="AP83" s="422"/>
      <c r="AQ83" s="422"/>
    </row>
    <row r="84" spans="2:43" x14ac:dyDescent="0.25">
      <c r="D84" s="293"/>
      <c r="E84" s="96"/>
      <c r="F84" s="82"/>
      <c r="H84" s="252"/>
      <c r="J84" s="111"/>
      <c r="K84" s="111"/>
      <c r="L84" s="111"/>
      <c r="M84" s="111"/>
      <c r="N84" s="111"/>
      <c r="O84" s="111"/>
      <c r="P84" s="111"/>
      <c r="Q84" s="111"/>
      <c r="R84" s="111"/>
      <c r="S84" s="111"/>
      <c r="T84" s="111"/>
      <c r="U84" s="111"/>
      <c r="V84" s="111"/>
      <c r="W84" s="111"/>
      <c r="X84" s="111"/>
      <c r="Y84" s="111"/>
      <c r="Z84" s="111"/>
      <c r="AA84" s="111"/>
      <c r="AB84" s="111"/>
      <c r="AC84" s="111"/>
      <c r="AD84" s="111"/>
      <c r="AE84" s="111"/>
      <c r="AF84" s="111"/>
      <c r="AG84" s="111"/>
      <c r="AH84" s="111"/>
      <c r="AI84" s="111"/>
      <c r="AJ84" s="111"/>
      <c r="AK84" s="111"/>
      <c r="AL84" s="111"/>
      <c r="AM84" s="111"/>
      <c r="AN84" s="111"/>
      <c r="AO84" s="111"/>
    </row>
    <row r="85" spans="2:43" x14ac:dyDescent="0.25">
      <c r="D85" s="86"/>
      <c r="E85" s="293" t="s">
        <v>190</v>
      </c>
      <c r="G85" s="293" t="s">
        <v>107</v>
      </c>
      <c r="H85" s="275">
        <f>H68 - H83</f>
        <v>123648867.99439108</v>
      </c>
      <c r="I85" s="422" t="s">
        <v>359</v>
      </c>
      <c r="J85" s="491"/>
      <c r="K85" s="491"/>
      <c r="L85" s="491"/>
      <c r="M85" s="491"/>
      <c r="N85" s="491"/>
      <c r="O85" s="491"/>
      <c r="P85" s="491"/>
      <c r="Q85" s="491"/>
      <c r="R85" s="491"/>
      <c r="S85" s="491"/>
      <c r="T85" s="491"/>
      <c r="U85" s="491"/>
      <c r="V85" s="491"/>
      <c r="W85" s="491"/>
      <c r="X85" s="491"/>
      <c r="Y85" s="491"/>
      <c r="Z85" s="491"/>
      <c r="AA85" s="491"/>
      <c r="AB85" s="491"/>
      <c r="AC85" s="491"/>
      <c r="AD85" s="491"/>
      <c r="AE85" s="491"/>
      <c r="AF85" s="491"/>
      <c r="AG85" s="491"/>
      <c r="AH85" s="491"/>
      <c r="AI85" s="491"/>
      <c r="AJ85" s="491"/>
      <c r="AK85" s="491"/>
      <c r="AL85" s="491"/>
      <c r="AM85" s="491"/>
      <c r="AN85" s="491"/>
      <c r="AO85" s="491"/>
      <c r="AP85" s="422"/>
      <c r="AQ85" s="422" t="s">
        <v>1242</v>
      </c>
    </row>
    <row r="86" spans="2:43" x14ac:dyDescent="0.25">
      <c r="C86" s="86"/>
      <c r="I86" s="422"/>
      <c r="J86" s="491"/>
      <c r="K86" s="491"/>
      <c r="L86" s="491"/>
      <c r="M86" s="491"/>
      <c r="N86" s="491"/>
      <c r="O86" s="491"/>
      <c r="P86" s="491"/>
      <c r="Q86" s="491"/>
      <c r="R86" s="491"/>
      <c r="S86" s="491"/>
      <c r="T86" s="491"/>
      <c r="U86" s="491"/>
      <c r="V86" s="491"/>
      <c r="W86" s="491"/>
      <c r="X86" s="491"/>
      <c r="Y86" s="491"/>
      <c r="Z86" s="491"/>
      <c r="AA86" s="491"/>
      <c r="AB86" s="491"/>
      <c r="AC86" s="491"/>
      <c r="AD86" s="491"/>
      <c r="AE86" s="491"/>
      <c r="AF86" s="491"/>
      <c r="AG86" s="491"/>
      <c r="AH86" s="491"/>
      <c r="AI86" s="491"/>
      <c r="AJ86" s="491"/>
      <c r="AK86" s="491"/>
      <c r="AL86" s="491"/>
      <c r="AM86" s="491"/>
      <c r="AN86" s="491"/>
      <c r="AO86" s="491"/>
      <c r="AP86" s="422"/>
      <c r="AQ86" s="422"/>
    </row>
    <row r="87" spans="2:43" x14ac:dyDescent="0.25">
      <c r="B87" s="95" t="s">
        <v>1112</v>
      </c>
      <c r="C87" s="95"/>
      <c r="D87" s="95"/>
      <c r="E87" s="95"/>
      <c r="F87" s="95"/>
      <c r="G87" s="95"/>
      <c r="H87" s="95"/>
      <c r="I87" s="95"/>
      <c r="J87" s="160"/>
      <c r="K87" s="160"/>
      <c r="L87" s="160"/>
      <c r="M87" s="160"/>
      <c r="N87" s="160"/>
      <c r="O87" s="160"/>
      <c r="P87" s="160"/>
      <c r="Q87" s="160"/>
      <c r="R87" s="160"/>
      <c r="S87" s="160"/>
      <c r="T87" s="160"/>
      <c r="U87" s="160"/>
      <c r="V87" s="160"/>
      <c r="W87" s="160"/>
      <c r="X87" s="160"/>
      <c r="Y87" s="160"/>
      <c r="Z87" s="160"/>
      <c r="AA87" s="160"/>
      <c r="AB87" s="160"/>
      <c r="AC87" s="160"/>
      <c r="AD87" s="160"/>
      <c r="AE87" s="160"/>
      <c r="AF87" s="160"/>
      <c r="AG87" s="160"/>
      <c r="AH87" s="160"/>
      <c r="AI87" s="160"/>
      <c r="AJ87" s="160"/>
      <c r="AK87" s="160"/>
      <c r="AL87" s="160"/>
      <c r="AM87" s="160"/>
      <c r="AN87" s="160"/>
      <c r="AO87" s="160"/>
      <c r="AP87" s="72"/>
      <c r="AQ87" s="72"/>
    </row>
    <row r="88" spans="2:43" x14ac:dyDescent="0.25">
      <c r="C88" s="82"/>
      <c r="J88" s="111"/>
      <c r="K88" s="111"/>
      <c r="L88" s="111"/>
      <c r="M88" s="111"/>
      <c r="N88" s="111"/>
      <c r="O88" s="111"/>
      <c r="P88" s="111"/>
      <c r="Q88" s="111"/>
      <c r="R88" s="111"/>
      <c r="S88" s="111"/>
      <c r="T88" s="111"/>
      <c r="U88" s="111"/>
      <c r="V88" s="111"/>
      <c r="W88" s="111"/>
      <c r="X88" s="111"/>
      <c r="Y88" s="111"/>
      <c r="Z88" s="111"/>
      <c r="AA88" s="111"/>
      <c r="AB88" s="111"/>
      <c r="AC88" s="111"/>
      <c r="AD88" s="111"/>
      <c r="AE88" s="111"/>
      <c r="AF88" s="111"/>
      <c r="AG88" s="111"/>
      <c r="AH88" s="111"/>
      <c r="AI88" s="111"/>
      <c r="AJ88" s="111"/>
      <c r="AK88" s="111"/>
      <c r="AL88" s="111"/>
      <c r="AM88" s="111"/>
      <c r="AN88" s="111"/>
      <c r="AO88" s="111"/>
    </row>
    <row r="89" spans="2:43" x14ac:dyDescent="0.25">
      <c r="C89" s="7" t="str">
        <f ca="1">INDEX('Version control'!$H$35:$H$61,MATCH($A$1,'Version control'!$F$35:$F$61,0),1)&amp;"-C: Grouping of residual bands where a band has insufficient customers"</f>
        <v>Section 519-C: Grouping of residual bands where a band has insufficient customers</v>
      </c>
      <c r="D89" s="7"/>
      <c r="E89" s="7"/>
      <c r="F89" s="7"/>
      <c r="G89" s="7"/>
      <c r="H89" s="7"/>
      <c r="I89" s="7"/>
      <c r="J89" s="171"/>
      <c r="K89" s="171"/>
      <c r="L89" s="171"/>
      <c r="M89" s="171"/>
      <c r="N89" s="171"/>
      <c r="O89" s="171"/>
      <c r="P89" s="171"/>
      <c r="Q89" s="171"/>
      <c r="R89" s="171"/>
      <c r="S89" s="171"/>
      <c r="T89" s="171"/>
      <c r="U89" s="171"/>
      <c r="V89" s="171"/>
      <c r="W89" s="171"/>
      <c r="X89" s="171"/>
      <c r="Y89" s="171"/>
      <c r="Z89" s="171"/>
      <c r="AA89" s="171"/>
      <c r="AB89" s="171"/>
      <c r="AC89" s="171"/>
      <c r="AD89" s="171"/>
      <c r="AE89" s="171"/>
      <c r="AF89" s="171"/>
      <c r="AG89" s="171"/>
      <c r="AH89" s="171"/>
      <c r="AI89" s="171"/>
      <c r="AJ89" s="171"/>
      <c r="AK89" s="171"/>
      <c r="AL89" s="171"/>
      <c r="AM89" s="171"/>
      <c r="AN89" s="171"/>
      <c r="AO89" s="171"/>
    </row>
    <row r="90" spans="2:43" x14ac:dyDescent="0.25">
      <c r="C90" s="82"/>
      <c r="D90" s="293"/>
      <c r="E90" s="293"/>
      <c r="J90" s="237"/>
      <c r="K90" s="237"/>
      <c r="L90" s="237"/>
      <c r="M90" s="237"/>
      <c r="N90" s="237"/>
      <c r="O90" s="237"/>
      <c r="P90" s="237"/>
      <c r="Q90" s="237"/>
      <c r="R90" s="237"/>
      <c r="S90" s="237"/>
      <c r="T90" s="237"/>
      <c r="U90" s="237"/>
      <c r="V90" s="237"/>
      <c r="W90" s="237"/>
      <c r="X90" s="237"/>
      <c r="Y90" s="237"/>
      <c r="Z90" s="237"/>
      <c r="AA90" s="237"/>
      <c r="AB90" s="237"/>
      <c r="AC90" s="237"/>
      <c r="AD90" s="237"/>
      <c r="AE90" s="237"/>
      <c r="AF90" s="237"/>
      <c r="AG90" s="237"/>
      <c r="AH90" s="237"/>
      <c r="AI90" s="237"/>
      <c r="AJ90" s="237"/>
      <c r="AK90" s="237"/>
      <c r="AL90" s="237"/>
      <c r="AM90" s="237"/>
      <c r="AN90" s="237"/>
      <c r="AO90" s="237"/>
    </row>
    <row r="91" spans="2:43" x14ac:dyDescent="0.25">
      <c r="C91" s="82"/>
      <c r="D91" s="82" t="s">
        <v>1239</v>
      </c>
      <c r="E91" s="293"/>
      <c r="I91" s="293" t="s">
        <v>359</v>
      </c>
      <c r="J91" s="237"/>
      <c r="K91" s="237"/>
      <c r="L91" s="237"/>
      <c r="M91" s="237"/>
      <c r="N91" s="237"/>
      <c r="O91" s="237"/>
      <c r="P91" s="237"/>
      <c r="Q91" s="237"/>
      <c r="R91" s="237"/>
      <c r="S91" s="237"/>
      <c r="T91" s="237"/>
      <c r="U91" s="237"/>
      <c r="V91" s="237"/>
      <c r="W91" s="237"/>
      <c r="X91" s="237"/>
      <c r="Y91" s="237"/>
      <c r="Z91" s="237"/>
      <c r="AA91" s="237"/>
      <c r="AB91" s="237"/>
      <c r="AC91" s="237"/>
      <c r="AD91" s="237"/>
      <c r="AE91" s="237"/>
      <c r="AF91" s="237"/>
      <c r="AG91" s="237"/>
      <c r="AH91" s="237"/>
      <c r="AI91" s="237"/>
      <c r="AJ91" s="237"/>
      <c r="AK91" s="237"/>
      <c r="AL91" s="237"/>
      <c r="AM91" s="237"/>
      <c r="AN91" s="237"/>
      <c r="AO91" s="237"/>
      <c r="AQ91" s="293" t="s">
        <v>1235</v>
      </c>
    </row>
    <row r="92" spans="2:43" x14ac:dyDescent="0.25">
      <c r="C92" s="82"/>
      <c r="D92" s="82" t="s">
        <v>1113</v>
      </c>
      <c r="E92" s="293"/>
      <c r="J92" s="237"/>
      <c r="K92" s="237"/>
      <c r="L92" s="237"/>
      <c r="M92" s="237"/>
      <c r="N92" s="237"/>
      <c r="O92" s="237"/>
      <c r="P92" s="237"/>
      <c r="Q92" s="237"/>
      <c r="R92" s="237"/>
      <c r="S92" s="237"/>
      <c r="T92" s="237"/>
      <c r="U92" s="237"/>
      <c r="V92" s="237"/>
      <c r="W92" s="237"/>
      <c r="X92" s="237"/>
      <c r="Y92" s="237"/>
      <c r="Z92" s="237"/>
      <c r="AA92" s="237"/>
      <c r="AB92" s="237"/>
      <c r="AC92" s="237"/>
      <c r="AD92" s="237"/>
      <c r="AE92" s="237"/>
      <c r="AF92" s="237"/>
      <c r="AG92" s="237"/>
      <c r="AH92" s="237"/>
      <c r="AI92" s="237"/>
      <c r="AJ92" s="237"/>
      <c r="AK92" s="237"/>
      <c r="AL92" s="237"/>
      <c r="AM92" s="237"/>
      <c r="AN92" s="237"/>
      <c r="AO92" s="237"/>
    </row>
    <row r="93" spans="2:43" x14ac:dyDescent="0.25">
      <c r="C93" s="82"/>
      <c r="D93" s="293"/>
      <c r="E93" s="293"/>
      <c r="J93" s="237"/>
      <c r="K93" s="237"/>
      <c r="L93" s="237"/>
      <c r="M93" s="237"/>
      <c r="N93" s="237"/>
      <c r="O93" s="237"/>
      <c r="P93" s="237"/>
      <c r="Q93" s="237"/>
      <c r="R93" s="237"/>
      <c r="S93" s="237"/>
      <c r="T93" s="237"/>
      <c r="U93" s="237"/>
      <c r="V93" s="237"/>
      <c r="W93" s="237"/>
      <c r="X93" s="237"/>
      <c r="Y93" s="237"/>
      <c r="Z93" s="237"/>
      <c r="AA93" s="237"/>
      <c r="AB93" s="237"/>
      <c r="AC93" s="237"/>
      <c r="AD93" s="237"/>
      <c r="AE93" s="237"/>
      <c r="AF93" s="237"/>
      <c r="AG93" s="237"/>
      <c r="AH93" s="237"/>
      <c r="AI93" s="237"/>
      <c r="AJ93" s="237"/>
      <c r="AK93" s="237"/>
      <c r="AL93" s="237"/>
      <c r="AM93" s="237"/>
      <c r="AN93" s="237"/>
      <c r="AO93" s="237"/>
    </row>
    <row r="94" spans="2:43" x14ac:dyDescent="0.25">
      <c r="C94" s="82"/>
      <c r="D94" s="293"/>
      <c r="E94" s="96" t="s">
        <v>1114</v>
      </c>
      <c r="J94" s="237"/>
      <c r="K94" s="237"/>
      <c r="L94" s="237"/>
      <c r="M94" s="237"/>
      <c r="N94" s="237"/>
      <c r="O94" s="237"/>
      <c r="P94" s="237"/>
      <c r="Q94" s="237"/>
      <c r="R94" s="237"/>
      <c r="S94" s="237"/>
      <c r="T94" s="237"/>
      <c r="U94" s="237"/>
      <c r="V94" s="237"/>
      <c r="W94" s="237"/>
      <c r="X94" s="237"/>
      <c r="Y94" s="237"/>
      <c r="Z94" s="237"/>
      <c r="AA94" s="237"/>
      <c r="AB94" s="237"/>
      <c r="AC94" s="237"/>
      <c r="AD94" s="237"/>
      <c r="AE94" s="237"/>
      <c r="AF94" s="237"/>
      <c r="AG94" s="237"/>
      <c r="AH94" s="237"/>
      <c r="AI94" s="237"/>
      <c r="AJ94" s="237"/>
      <c r="AK94" s="237"/>
      <c r="AL94" s="237"/>
      <c r="AM94" s="237"/>
      <c r="AN94" s="237"/>
      <c r="AO94" s="237"/>
    </row>
    <row r="95" spans="2:43" x14ac:dyDescent="0.25">
      <c r="C95" s="82"/>
      <c r="D95" s="293"/>
      <c r="E95" s="293"/>
      <c r="F95" s="91" t="s">
        <v>1034</v>
      </c>
      <c r="G95" s="91" t="s">
        <v>426</v>
      </c>
      <c r="H95" s="91"/>
      <c r="I95" s="91"/>
      <c r="J95" s="492">
        <f>'Fixed inputs'!J177</f>
        <v>1</v>
      </c>
      <c r="K95" s="493"/>
      <c r="L95" s="493"/>
      <c r="M95" s="492">
        <f>'Fixed inputs'!M177</f>
        <v>1</v>
      </c>
      <c r="N95" s="492">
        <f>'Fixed inputs'!N177</f>
        <v>2</v>
      </c>
      <c r="O95" s="492">
        <f>'Fixed inputs'!O177</f>
        <v>3</v>
      </c>
      <c r="P95" s="492">
        <f>'Fixed inputs'!P177</f>
        <v>4</v>
      </c>
      <c r="Q95" s="493"/>
      <c r="R95" s="493"/>
      <c r="S95" s="492">
        <f>'Fixed inputs'!S177</f>
        <v>1</v>
      </c>
      <c r="T95" s="492">
        <f>'Fixed inputs'!T177</f>
        <v>2</v>
      </c>
      <c r="U95" s="492">
        <f>'Fixed inputs'!U177</f>
        <v>3</v>
      </c>
      <c r="V95" s="492">
        <f>'Fixed inputs'!V177</f>
        <v>4</v>
      </c>
      <c r="W95" s="493"/>
      <c r="X95" s="492">
        <f>'Fixed inputs'!X177</f>
        <v>1</v>
      </c>
      <c r="Y95" s="492">
        <f>'Fixed inputs'!Y177</f>
        <v>2</v>
      </c>
      <c r="Z95" s="492">
        <f>'Fixed inputs'!Z177</f>
        <v>3</v>
      </c>
      <c r="AA95" s="492">
        <f>'Fixed inputs'!AA177</f>
        <v>4</v>
      </c>
      <c r="AB95" s="493"/>
      <c r="AC95" s="492">
        <f>'Fixed inputs'!AC177</f>
        <v>1</v>
      </c>
      <c r="AD95" s="492">
        <f>'Fixed inputs'!AD177</f>
        <v>2</v>
      </c>
      <c r="AE95" s="492">
        <f>'Fixed inputs'!AE177</f>
        <v>3</v>
      </c>
      <c r="AF95" s="492">
        <f>'Fixed inputs'!AF177</f>
        <v>4</v>
      </c>
      <c r="AG95" s="492">
        <f>'Fixed inputs'!AG177</f>
        <v>1</v>
      </c>
      <c r="AH95" s="493"/>
      <c r="AI95" s="493"/>
      <c r="AJ95" s="493"/>
      <c r="AK95" s="493"/>
      <c r="AL95" s="493"/>
      <c r="AM95" s="493"/>
      <c r="AN95" s="493"/>
      <c r="AO95" s="493"/>
    </row>
    <row r="96" spans="2:43" x14ac:dyDescent="0.25">
      <c r="C96" s="82"/>
      <c r="D96" s="293"/>
      <c r="E96" s="293"/>
      <c r="F96" s="293" t="s">
        <v>1035</v>
      </c>
      <c r="G96" s="293" t="s">
        <v>426</v>
      </c>
      <c r="J96" s="494">
        <f>'Fixed inputs'!J178</f>
        <v>1</v>
      </c>
      <c r="K96" s="495"/>
      <c r="L96" s="495"/>
      <c r="M96" s="494">
        <f>'Fixed inputs'!M178</f>
        <v>1</v>
      </c>
      <c r="N96" s="494">
        <f>'Fixed inputs'!N178</f>
        <v>1</v>
      </c>
      <c r="O96" s="494">
        <f>'Fixed inputs'!O178</f>
        <v>2</v>
      </c>
      <c r="P96" s="494">
        <f>'Fixed inputs'!P178</f>
        <v>3</v>
      </c>
      <c r="Q96" s="495"/>
      <c r="R96" s="495"/>
      <c r="S96" s="494">
        <f>'Fixed inputs'!S178</f>
        <v>1</v>
      </c>
      <c r="T96" s="494">
        <f>'Fixed inputs'!T178</f>
        <v>1</v>
      </c>
      <c r="U96" s="494">
        <f>'Fixed inputs'!U178</f>
        <v>2</v>
      </c>
      <c r="V96" s="494">
        <f>'Fixed inputs'!V178</f>
        <v>3</v>
      </c>
      <c r="W96" s="495"/>
      <c r="X96" s="494">
        <f>'Fixed inputs'!X178</f>
        <v>1</v>
      </c>
      <c r="Y96" s="494">
        <f>'Fixed inputs'!Y178</f>
        <v>1</v>
      </c>
      <c r="Z96" s="494">
        <f>'Fixed inputs'!Z178</f>
        <v>2</v>
      </c>
      <c r="AA96" s="494">
        <f>'Fixed inputs'!AA178</f>
        <v>3</v>
      </c>
      <c r="AB96" s="495"/>
      <c r="AC96" s="494">
        <f>'Fixed inputs'!AC178</f>
        <v>1</v>
      </c>
      <c r="AD96" s="494">
        <f>'Fixed inputs'!AD178</f>
        <v>1</v>
      </c>
      <c r="AE96" s="494">
        <f>'Fixed inputs'!AE178</f>
        <v>2</v>
      </c>
      <c r="AF96" s="494">
        <f>'Fixed inputs'!AF178</f>
        <v>3</v>
      </c>
      <c r="AG96" s="494">
        <f>'Fixed inputs'!AG178</f>
        <v>1</v>
      </c>
      <c r="AH96" s="495"/>
      <c r="AI96" s="495"/>
      <c r="AJ96" s="495"/>
      <c r="AK96" s="495"/>
      <c r="AL96" s="495"/>
      <c r="AM96" s="495"/>
      <c r="AN96" s="495"/>
      <c r="AO96" s="495"/>
    </row>
    <row r="97" spans="3:41" x14ac:dyDescent="0.25">
      <c r="C97" s="82"/>
      <c r="D97" s="293"/>
      <c r="E97" s="293"/>
      <c r="F97" s="293" t="s">
        <v>1036</v>
      </c>
      <c r="G97" s="293" t="s">
        <v>426</v>
      </c>
      <c r="J97" s="494">
        <f>'Fixed inputs'!J179</f>
        <v>1</v>
      </c>
      <c r="K97" s="495"/>
      <c r="L97" s="495"/>
      <c r="M97" s="494">
        <f>'Fixed inputs'!M179</f>
        <v>1</v>
      </c>
      <c r="N97" s="494">
        <f>'Fixed inputs'!N179</f>
        <v>2</v>
      </c>
      <c r="O97" s="494">
        <f>'Fixed inputs'!O179</f>
        <v>2</v>
      </c>
      <c r="P97" s="494">
        <f>'Fixed inputs'!P179</f>
        <v>3</v>
      </c>
      <c r="Q97" s="495"/>
      <c r="R97" s="495"/>
      <c r="S97" s="494">
        <f>'Fixed inputs'!S179</f>
        <v>1</v>
      </c>
      <c r="T97" s="494">
        <f>'Fixed inputs'!T179</f>
        <v>2</v>
      </c>
      <c r="U97" s="494">
        <f>'Fixed inputs'!U179</f>
        <v>2</v>
      </c>
      <c r="V97" s="494">
        <f>'Fixed inputs'!V179</f>
        <v>3</v>
      </c>
      <c r="W97" s="495"/>
      <c r="X97" s="494">
        <f>'Fixed inputs'!X179</f>
        <v>1</v>
      </c>
      <c r="Y97" s="494">
        <f>'Fixed inputs'!Y179</f>
        <v>2</v>
      </c>
      <c r="Z97" s="494">
        <f>'Fixed inputs'!Z179</f>
        <v>2</v>
      </c>
      <c r="AA97" s="494">
        <f>'Fixed inputs'!AA179</f>
        <v>3</v>
      </c>
      <c r="AB97" s="495"/>
      <c r="AC97" s="494">
        <f>'Fixed inputs'!AC179</f>
        <v>1</v>
      </c>
      <c r="AD97" s="494">
        <f>'Fixed inputs'!AD179</f>
        <v>2</v>
      </c>
      <c r="AE97" s="494">
        <f>'Fixed inputs'!AE179</f>
        <v>2</v>
      </c>
      <c r="AF97" s="494">
        <f>'Fixed inputs'!AF179</f>
        <v>3</v>
      </c>
      <c r="AG97" s="494">
        <f>'Fixed inputs'!AG179</f>
        <v>1</v>
      </c>
      <c r="AH97" s="495"/>
      <c r="AI97" s="495"/>
      <c r="AJ97" s="495"/>
      <c r="AK97" s="495"/>
      <c r="AL97" s="495"/>
      <c r="AM97" s="495"/>
      <c r="AN97" s="495"/>
      <c r="AO97" s="495"/>
    </row>
    <row r="98" spans="3:41" x14ac:dyDescent="0.25">
      <c r="C98" s="82"/>
      <c r="D98" s="293"/>
      <c r="E98" s="293"/>
      <c r="F98" s="293" t="s">
        <v>1037</v>
      </c>
      <c r="G98" s="293" t="s">
        <v>426</v>
      </c>
      <c r="J98" s="494">
        <f>'Fixed inputs'!J180</f>
        <v>1</v>
      </c>
      <c r="K98" s="495"/>
      <c r="L98" s="495"/>
      <c r="M98" s="494">
        <f>'Fixed inputs'!M180</f>
        <v>1</v>
      </c>
      <c r="N98" s="494">
        <f>'Fixed inputs'!N180</f>
        <v>2</v>
      </c>
      <c r="O98" s="494">
        <f>'Fixed inputs'!O180</f>
        <v>3</v>
      </c>
      <c r="P98" s="494">
        <f>'Fixed inputs'!P180</f>
        <v>3</v>
      </c>
      <c r="Q98" s="495"/>
      <c r="R98" s="495"/>
      <c r="S98" s="494">
        <f>'Fixed inputs'!S180</f>
        <v>1</v>
      </c>
      <c r="T98" s="494">
        <f>'Fixed inputs'!T180</f>
        <v>2</v>
      </c>
      <c r="U98" s="494">
        <f>'Fixed inputs'!U180</f>
        <v>3</v>
      </c>
      <c r="V98" s="494">
        <f>'Fixed inputs'!V180</f>
        <v>3</v>
      </c>
      <c r="W98" s="495"/>
      <c r="X98" s="494">
        <f>'Fixed inputs'!X180</f>
        <v>1</v>
      </c>
      <c r="Y98" s="494">
        <f>'Fixed inputs'!Y180</f>
        <v>2</v>
      </c>
      <c r="Z98" s="494">
        <f>'Fixed inputs'!Z180</f>
        <v>3</v>
      </c>
      <c r="AA98" s="494">
        <f>'Fixed inputs'!AA180</f>
        <v>3</v>
      </c>
      <c r="AB98" s="495"/>
      <c r="AC98" s="494">
        <f>'Fixed inputs'!AC180</f>
        <v>1</v>
      </c>
      <c r="AD98" s="494">
        <f>'Fixed inputs'!AD180</f>
        <v>2</v>
      </c>
      <c r="AE98" s="494">
        <f>'Fixed inputs'!AE180</f>
        <v>3</v>
      </c>
      <c r="AF98" s="494">
        <f>'Fixed inputs'!AF180</f>
        <v>3</v>
      </c>
      <c r="AG98" s="494">
        <f>'Fixed inputs'!AG180</f>
        <v>1</v>
      </c>
      <c r="AH98" s="495"/>
      <c r="AI98" s="495"/>
      <c r="AJ98" s="495"/>
      <c r="AK98" s="495"/>
      <c r="AL98" s="495"/>
      <c r="AM98" s="495"/>
      <c r="AN98" s="495"/>
      <c r="AO98" s="495"/>
    </row>
    <row r="99" spans="3:41" x14ac:dyDescent="0.25">
      <c r="C99" s="82"/>
      <c r="D99" s="293"/>
      <c r="E99" s="293"/>
      <c r="F99" s="293" t="s">
        <v>1038</v>
      </c>
      <c r="G99" s="293" t="s">
        <v>426</v>
      </c>
      <c r="J99" s="494">
        <f>'Fixed inputs'!J181</f>
        <v>1</v>
      </c>
      <c r="K99" s="495"/>
      <c r="L99" s="495"/>
      <c r="M99" s="494">
        <f>'Fixed inputs'!M181</f>
        <v>1</v>
      </c>
      <c r="N99" s="494">
        <f>'Fixed inputs'!N181</f>
        <v>1</v>
      </c>
      <c r="O99" s="494">
        <f>'Fixed inputs'!O181</f>
        <v>2</v>
      </c>
      <c r="P99" s="494">
        <f>'Fixed inputs'!P181</f>
        <v>2</v>
      </c>
      <c r="Q99" s="495"/>
      <c r="R99" s="495"/>
      <c r="S99" s="494">
        <f>'Fixed inputs'!S181</f>
        <v>1</v>
      </c>
      <c r="T99" s="494">
        <f>'Fixed inputs'!T181</f>
        <v>1</v>
      </c>
      <c r="U99" s="494">
        <f>'Fixed inputs'!U181</f>
        <v>2</v>
      </c>
      <c r="V99" s="494">
        <f>'Fixed inputs'!V181</f>
        <v>2</v>
      </c>
      <c r="W99" s="495"/>
      <c r="X99" s="494">
        <f>'Fixed inputs'!X181</f>
        <v>1</v>
      </c>
      <c r="Y99" s="494">
        <f>'Fixed inputs'!Y181</f>
        <v>1</v>
      </c>
      <c r="Z99" s="494">
        <f>'Fixed inputs'!Z181</f>
        <v>2</v>
      </c>
      <c r="AA99" s="494">
        <f>'Fixed inputs'!AA181</f>
        <v>2</v>
      </c>
      <c r="AB99" s="495"/>
      <c r="AC99" s="494">
        <f>'Fixed inputs'!AC181</f>
        <v>1</v>
      </c>
      <c r="AD99" s="494">
        <f>'Fixed inputs'!AD181</f>
        <v>1</v>
      </c>
      <c r="AE99" s="494">
        <f>'Fixed inputs'!AE181</f>
        <v>2</v>
      </c>
      <c r="AF99" s="494">
        <f>'Fixed inputs'!AF181</f>
        <v>2</v>
      </c>
      <c r="AG99" s="494">
        <f>'Fixed inputs'!AG181</f>
        <v>1</v>
      </c>
      <c r="AH99" s="495"/>
      <c r="AI99" s="495"/>
      <c r="AJ99" s="495"/>
      <c r="AK99" s="495"/>
      <c r="AL99" s="495"/>
      <c r="AM99" s="495"/>
      <c r="AN99" s="495"/>
      <c r="AO99" s="495"/>
    </row>
    <row r="100" spans="3:41" x14ac:dyDescent="0.25">
      <c r="C100" s="82"/>
      <c r="D100" s="293"/>
      <c r="E100" s="293"/>
      <c r="F100" s="293" t="s">
        <v>1039</v>
      </c>
      <c r="G100" s="293" t="s">
        <v>426</v>
      </c>
      <c r="J100" s="494">
        <f>'Fixed inputs'!J182</f>
        <v>1</v>
      </c>
      <c r="K100" s="495"/>
      <c r="L100" s="495"/>
      <c r="M100" s="494">
        <f>'Fixed inputs'!M182</f>
        <v>1</v>
      </c>
      <c r="N100" s="494">
        <f>'Fixed inputs'!N182</f>
        <v>1</v>
      </c>
      <c r="O100" s="494">
        <f>'Fixed inputs'!O182</f>
        <v>1</v>
      </c>
      <c r="P100" s="494">
        <f>'Fixed inputs'!P182</f>
        <v>2</v>
      </c>
      <c r="Q100" s="495"/>
      <c r="R100" s="495"/>
      <c r="S100" s="494">
        <f>'Fixed inputs'!S182</f>
        <v>1</v>
      </c>
      <c r="T100" s="494">
        <f>'Fixed inputs'!T182</f>
        <v>1</v>
      </c>
      <c r="U100" s="494">
        <f>'Fixed inputs'!U182</f>
        <v>1</v>
      </c>
      <c r="V100" s="494">
        <f>'Fixed inputs'!V182</f>
        <v>2</v>
      </c>
      <c r="W100" s="495"/>
      <c r="X100" s="494">
        <f>'Fixed inputs'!X182</f>
        <v>1</v>
      </c>
      <c r="Y100" s="494">
        <f>'Fixed inputs'!Y182</f>
        <v>1</v>
      </c>
      <c r="Z100" s="494">
        <f>'Fixed inputs'!Z182</f>
        <v>1</v>
      </c>
      <c r="AA100" s="494">
        <f>'Fixed inputs'!AA182</f>
        <v>2</v>
      </c>
      <c r="AB100" s="495"/>
      <c r="AC100" s="494">
        <f>'Fixed inputs'!AC182</f>
        <v>1</v>
      </c>
      <c r="AD100" s="494">
        <f>'Fixed inputs'!AD182</f>
        <v>1</v>
      </c>
      <c r="AE100" s="494">
        <f>'Fixed inputs'!AE182</f>
        <v>1</v>
      </c>
      <c r="AF100" s="494">
        <f>'Fixed inputs'!AF182</f>
        <v>2</v>
      </c>
      <c r="AG100" s="494">
        <f>'Fixed inputs'!AG182</f>
        <v>1</v>
      </c>
      <c r="AH100" s="495"/>
      <c r="AI100" s="495"/>
      <c r="AJ100" s="495"/>
      <c r="AK100" s="495"/>
      <c r="AL100" s="495"/>
      <c r="AM100" s="495"/>
      <c r="AN100" s="495"/>
      <c r="AO100" s="495"/>
    </row>
    <row r="101" spans="3:41" x14ac:dyDescent="0.25">
      <c r="C101" s="82"/>
      <c r="D101" s="293"/>
      <c r="E101" s="293"/>
      <c r="F101" s="293" t="s">
        <v>1040</v>
      </c>
      <c r="G101" s="293" t="s">
        <v>426</v>
      </c>
      <c r="J101" s="494">
        <f>'Fixed inputs'!J183</f>
        <v>1</v>
      </c>
      <c r="K101" s="495"/>
      <c r="L101" s="495"/>
      <c r="M101" s="494">
        <f>'Fixed inputs'!M183</f>
        <v>1</v>
      </c>
      <c r="N101" s="494">
        <f>'Fixed inputs'!N183</f>
        <v>2</v>
      </c>
      <c r="O101" s="494">
        <f>'Fixed inputs'!O183</f>
        <v>2</v>
      </c>
      <c r="P101" s="494">
        <f>'Fixed inputs'!P183</f>
        <v>2</v>
      </c>
      <c r="Q101" s="495"/>
      <c r="R101" s="495"/>
      <c r="S101" s="494">
        <f>'Fixed inputs'!S183</f>
        <v>1</v>
      </c>
      <c r="T101" s="494">
        <f>'Fixed inputs'!T183</f>
        <v>2</v>
      </c>
      <c r="U101" s="494">
        <f>'Fixed inputs'!U183</f>
        <v>2</v>
      </c>
      <c r="V101" s="494">
        <f>'Fixed inputs'!V183</f>
        <v>2</v>
      </c>
      <c r="W101" s="495"/>
      <c r="X101" s="494">
        <f>'Fixed inputs'!X183</f>
        <v>1</v>
      </c>
      <c r="Y101" s="494">
        <f>'Fixed inputs'!Y183</f>
        <v>2</v>
      </c>
      <c r="Z101" s="494">
        <f>'Fixed inputs'!Z183</f>
        <v>2</v>
      </c>
      <c r="AA101" s="494">
        <f>'Fixed inputs'!AA183</f>
        <v>2</v>
      </c>
      <c r="AB101" s="495"/>
      <c r="AC101" s="494">
        <f>'Fixed inputs'!AC183</f>
        <v>1</v>
      </c>
      <c r="AD101" s="494">
        <f>'Fixed inputs'!AD183</f>
        <v>2</v>
      </c>
      <c r="AE101" s="494">
        <f>'Fixed inputs'!AE183</f>
        <v>2</v>
      </c>
      <c r="AF101" s="494">
        <f>'Fixed inputs'!AF183</f>
        <v>2</v>
      </c>
      <c r="AG101" s="494">
        <f>'Fixed inputs'!AG183</f>
        <v>1</v>
      </c>
      <c r="AH101" s="495"/>
      <c r="AI101" s="495"/>
      <c r="AJ101" s="495"/>
      <c r="AK101" s="495"/>
      <c r="AL101" s="495"/>
      <c r="AM101" s="495"/>
      <c r="AN101" s="495"/>
      <c r="AO101" s="495"/>
    </row>
    <row r="102" spans="3:41" x14ac:dyDescent="0.25">
      <c r="C102" s="82"/>
      <c r="D102" s="293"/>
      <c r="E102" s="293"/>
      <c r="F102" s="93" t="s">
        <v>1041</v>
      </c>
      <c r="G102" s="93" t="s">
        <v>426</v>
      </c>
      <c r="H102" s="93"/>
      <c r="I102" s="93"/>
      <c r="J102" s="496">
        <f>'Fixed inputs'!J184</f>
        <v>1</v>
      </c>
      <c r="K102" s="497"/>
      <c r="L102" s="497"/>
      <c r="M102" s="496">
        <f>'Fixed inputs'!M184</f>
        <v>1</v>
      </c>
      <c r="N102" s="496">
        <f>'Fixed inputs'!N184</f>
        <v>1</v>
      </c>
      <c r="O102" s="496">
        <f>'Fixed inputs'!O184</f>
        <v>1</v>
      </c>
      <c r="P102" s="496">
        <f>'Fixed inputs'!P184</f>
        <v>1</v>
      </c>
      <c r="Q102" s="497"/>
      <c r="R102" s="497"/>
      <c r="S102" s="496">
        <f>'Fixed inputs'!S184</f>
        <v>1</v>
      </c>
      <c r="T102" s="496">
        <f>'Fixed inputs'!T184</f>
        <v>1</v>
      </c>
      <c r="U102" s="496">
        <f>'Fixed inputs'!U184</f>
        <v>1</v>
      </c>
      <c r="V102" s="496">
        <f>'Fixed inputs'!V184</f>
        <v>1</v>
      </c>
      <c r="W102" s="497"/>
      <c r="X102" s="496">
        <f>'Fixed inputs'!X184</f>
        <v>1</v>
      </c>
      <c r="Y102" s="496">
        <f>'Fixed inputs'!Y184</f>
        <v>1</v>
      </c>
      <c r="Z102" s="496">
        <f>'Fixed inputs'!Z184</f>
        <v>1</v>
      </c>
      <c r="AA102" s="496">
        <f>'Fixed inputs'!AA184</f>
        <v>1</v>
      </c>
      <c r="AB102" s="497"/>
      <c r="AC102" s="496">
        <f>'Fixed inputs'!AC184</f>
        <v>1</v>
      </c>
      <c r="AD102" s="496">
        <f>'Fixed inputs'!AD184</f>
        <v>1</v>
      </c>
      <c r="AE102" s="496">
        <f>'Fixed inputs'!AE184</f>
        <v>1</v>
      </c>
      <c r="AF102" s="496">
        <f>'Fixed inputs'!AF184</f>
        <v>1</v>
      </c>
      <c r="AG102" s="496">
        <f>'Fixed inputs'!AG184</f>
        <v>1</v>
      </c>
      <c r="AH102" s="497"/>
      <c r="AI102" s="497"/>
      <c r="AJ102" s="497"/>
      <c r="AK102" s="497"/>
      <c r="AL102" s="497"/>
      <c r="AM102" s="497"/>
      <c r="AN102" s="497"/>
      <c r="AO102" s="497"/>
    </row>
    <row r="103" spans="3:41" x14ac:dyDescent="0.25">
      <c r="C103" s="82"/>
      <c r="D103" s="293"/>
      <c r="E103" s="293"/>
      <c r="J103" s="237"/>
      <c r="K103" s="237"/>
      <c r="L103" s="237"/>
      <c r="M103" s="237"/>
      <c r="N103" s="237"/>
      <c r="O103" s="237"/>
      <c r="P103" s="237"/>
      <c r="Q103" s="237"/>
      <c r="R103" s="237"/>
      <c r="S103" s="237"/>
      <c r="T103" s="237"/>
      <c r="U103" s="237"/>
      <c r="V103" s="237"/>
      <c r="W103" s="237"/>
      <c r="X103" s="237"/>
      <c r="Y103" s="237"/>
      <c r="Z103" s="237"/>
      <c r="AA103" s="237"/>
      <c r="AB103" s="237"/>
      <c r="AC103" s="237"/>
      <c r="AD103" s="237"/>
      <c r="AE103" s="237"/>
      <c r="AF103" s="237"/>
      <c r="AG103" s="237"/>
      <c r="AH103" s="237"/>
      <c r="AI103" s="237"/>
      <c r="AJ103" s="237"/>
      <c r="AK103" s="237"/>
      <c r="AL103" s="237"/>
      <c r="AM103" s="237"/>
      <c r="AN103" s="237"/>
      <c r="AO103" s="237"/>
    </row>
    <row r="104" spans="3:41" x14ac:dyDescent="0.25">
      <c r="C104" s="82"/>
      <c r="D104" s="293"/>
      <c r="E104" s="96" t="s">
        <v>1115</v>
      </c>
      <c r="J104" s="237"/>
      <c r="K104" s="237"/>
      <c r="L104" s="237"/>
      <c r="M104" s="237"/>
      <c r="N104" s="237"/>
      <c r="O104" s="237"/>
      <c r="P104" s="237"/>
      <c r="Q104" s="237"/>
      <c r="R104" s="237"/>
      <c r="S104" s="237"/>
      <c r="T104" s="237"/>
      <c r="U104" s="237"/>
      <c r="V104" s="237"/>
      <c r="W104" s="237"/>
      <c r="X104" s="237"/>
      <c r="Y104" s="237"/>
      <c r="Z104" s="237"/>
      <c r="AA104" s="237"/>
      <c r="AB104" s="237"/>
      <c r="AC104" s="237"/>
      <c r="AD104" s="237"/>
      <c r="AE104" s="237"/>
      <c r="AF104" s="237"/>
      <c r="AG104" s="237"/>
      <c r="AH104" s="237"/>
      <c r="AI104" s="237"/>
      <c r="AJ104" s="237"/>
      <c r="AK104" s="237"/>
      <c r="AL104" s="237"/>
      <c r="AM104" s="237"/>
      <c r="AN104" s="237"/>
      <c r="AO104" s="237"/>
    </row>
    <row r="105" spans="3:41" x14ac:dyDescent="0.25">
      <c r="C105" s="82"/>
      <c r="D105" s="293"/>
      <c r="E105" s="293"/>
      <c r="F105" s="91" t="s">
        <v>1034</v>
      </c>
      <c r="G105" s="91" t="s">
        <v>426</v>
      </c>
      <c r="H105" s="91"/>
      <c r="I105" s="91"/>
      <c r="J105" s="498">
        <f>MAX((J$35-1)*MAX($J$36:$AO$36)+J95,0)</f>
        <v>1</v>
      </c>
      <c r="K105" s="493"/>
      <c r="L105" s="493"/>
      <c r="M105" s="498">
        <f t="shared" ref="M105:P112" si="18">MAX((M$35-1)*MAX($J$36:$AO$36)+M95,0)</f>
        <v>5</v>
      </c>
      <c r="N105" s="498">
        <f t="shared" si="18"/>
        <v>6</v>
      </c>
      <c r="O105" s="498">
        <f t="shared" si="18"/>
        <v>7</v>
      </c>
      <c r="P105" s="498">
        <f t="shared" si="18"/>
        <v>8</v>
      </c>
      <c r="Q105" s="493"/>
      <c r="R105" s="493"/>
      <c r="S105" s="498">
        <f t="shared" ref="S105:V112" si="19">MAX((S$35-1)*MAX($J$36:$AO$36)+S95,0)</f>
        <v>9</v>
      </c>
      <c r="T105" s="498">
        <f t="shared" si="19"/>
        <v>10</v>
      </c>
      <c r="U105" s="498">
        <f t="shared" si="19"/>
        <v>11</v>
      </c>
      <c r="V105" s="498">
        <f t="shared" si="19"/>
        <v>12</v>
      </c>
      <c r="W105" s="493"/>
      <c r="X105" s="498">
        <f t="shared" ref="X105:AA112" si="20">MAX((X$35-1)*MAX($J$36:$AO$36)+X95,0)</f>
        <v>9</v>
      </c>
      <c r="Y105" s="498">
        <f t="shared" si="20"/>
        <v>10</v>
      </c>
      <c r="Z105" s="498">
        <f t="shared" si="20"/>
        <v>11</v>
      </c>
      <c r="AA105" s="498">
        <f t="shared" si="20"/>
        <v>12</v>
      </c>
      <c r="AB105" s="493"/>
      <c r="AC105" s="498">
        <f t="shared" ref="AC105:AG112" si="21">MAX((AC$35-1)*MAX($J$36:$AO$36)+AC95,0)</f>
        <v>13</v>
      </c>
      <c r="AD105" s="498">
        <f t="shared" si="21"/>
        <v>14</v>
      </c>
      <c r="AE105" s="498">
        <f t="shared" si="21"/>
        <v>15</v>
      </c>
      <c r="AF105" s="498">
        <f t="shared" si="21"/>
        <v>16</v>
      </c>
      <c r="AG105" s="498">
        <f t="shared" si="21"/>
        <v>17</v>
      </c>
      <c r="AH105" s="493"/>
      <c r="AI105" s="493"/>
      <c r="AJ105" s="493"/>
      <c r="AK105" s="493"/>
      <c r="AL105" s="493"/>
      <c r="AM105" s="493"/>
      <c r="AN105" s="493"/>
      <c r="AO105" s="493"/>
    </row>
    <row r="106" spans="3:41" x14ac:dyDescent="0.25">
      <c r="C106" s="82"/>
      <c r="D106" s="293"/>
      <c r="E106" s="293"/>
      <c r="F106" s="293" t="s">
        <v>1035</v>
      </c>
      <c r="G106" s="293" t="s">
        <v>426</v>
      </c>
      <c r="J106" s="499">
        <f t="shared" ref="J106:J112" si="22">MAX((J$35-1)*MAX($J$36:$AO$36)+J96,0)</f>
        <v>1</v>
      </c>
      <c r="K106" s="495"/>
      <c r="L106" s="495"/>
      <c r="M106" s="499">
        <f t="shared" si="18"/>
        <v>5</v>
      </c>
      <c r="N106" s="499">
        <f t="shared" si="18"/>
        <v>5</v>
      </c>
      <c r="O106" s="499">
        <f t="shared" si="18"/>
        <v>6</v>
      </c>
      <c r="P106" s="499">
        <f t="shared" si="18"/>
        <v>7</v>
      </c>
      <c r="Q106" s="495"/>
      <c r="R106" s="495"/>
      <c r="S106" s="499">
        <f t="shared" si="19"/>
        <v>9</v>
      </c>
      <c r="T106" s="499">
        <f t="shared" si="19"/>
        <v>9</v>
      </c>
      <c r="U106" s="499">
        <f t="shared" si="19"/>
        <v>10</v>
      </c>
      <c r="V106" s="499">
        <f t="shared" si="19"/>
        <v>11</v>
      </c>
      <c r="W106" s="495"/>
      <c r="X106" s="499">
        <f t="shared" si="20"/>
        <v>9</v>
      </c>
      <c r="Y106" s="499">
        <f t="shared" si="20"/>
        <v>9</v>
      </c>
      <c r="Z106" s="499">
        <f t="shared" si="20"/>
        <v>10</v>
      </c>
      <c r="AA106" s="499">
        <f t="shared" si="20"/>
        <v>11</v>
      </c>
      <c r="AB106" s="495"/>
      <c r="AC106" s="499">
        <f t="shared" si="21"/>
        <v>13</v>
      </c>
      <c r="AD106" s="499">
        <f t="shared" si="21"/>
        <v>13</v>
      </c>
      <c r="AE106" s="499">
        <f t="shared" si="21"/>
        <v>14</v>
      </c>
      <c r="AF106" s="499">
        <f t="shared" si="21"/>
        <v>15</v>
      </c>
      <c r="AG106" s="499">
        <f t="shared" si="21"/>
        <v>17</v>
      </c>
      <c r="AH106" s="495"/>
      <c r="AI106" s="495"/>
      <c r="AJ106" s="495"/>
      <c r="AK106" s="495"/>
      <c r="AL106" s="495"/>
      <c r="AM106" s="495"/>
      <c r="AN106" s="495"/>
      <c r="AO106" s="495"/>
    </row>
    <row r="107" spans="3:41" x14ac:dyDescent="0.25">
      <c r="C107" s="82"/>
      <c r="D107" s="293"/>
      <c r="E107" s="293"/>
      <c r="F107" s="293" t="s">
        <v>1036</v>
      </c>
      <c r="G107" s="293" t="s">
        <v>426</v>
      </c>
      <c r="J107" s="499">
        <f t="shared" si="22"/>
        <v>1</v>
      </c>
      <c r="K107" s="495"/>
      <c r="L107" s="495"/>
      <c r="M107" s="499">
        <f t="shared" si="18"/>
        <v>5</v>
      </c>
      <c r="N107" s="499">
        <f t="shared" si="18"/>
        <v>6</v>
      </c>
      <c r="O107" s="499">
        <f t="shared" si="18"/>
        <v>6</v>
      </c>
      <c r="P107" s="499">
        <f t="shared" si="18"/>
        <v>7</v>
      </c>
      <c r="Q107" s="495"/>
      <c r="R107" s="495"/>
      <c r="S107" s="499">
        <f t="shared" si="19"/>
        <v>9</v>
      </c>
      <c r="T107" s="499">
        <f t="shared" si="19"/>
        <v>10</v>
      </c>
      <c r="U107" s="499">
        <f t="shared" si="19"/>
        <v>10</v>
      </c>
      <c r="V107" s="499">
        <f t="shared" si="19"/>
        <v>11</v>
      </c>
      <c r="W107" s="495"/>
      <c r="X107" s="499">
        <f t="shared" si="20"/>
        <v>9</v>
      </c>
      <c r="Y107" s="499">
        <f t="shared" si="20"/>
        <v>10</v>
      </c>
      <c r="Z107" s="499">
        <f t="shared" si="20"/>
        <v>10</v>
      </c>
      <c r="AA107" s="499">
        <f t="shared" si="20"/>
        <v>11</v>
      </c>
      <c r="AB107" s="495"/>
      <c r="AC107" s="499">
        <f t="shared" si="21"/>
        <v>13</v>
      </c>
      <c r="AD107" s="499">
        <f t="shared" si="21"/>
        <v>14</v>
      </c>
      <c r="AE107" s="499">
        <f t="shared" si="21"/>
        <v>14</v>
      </c>
      <c r="AF107" s="499">
        <f t="shared" si="21"/>
        <v>15</v>
      </c>
      <c r="AG107" s="499">
        <f t="shared" si="21"/>
        <v>17</v>
      </c>
      <c r="AH107" s="495"/>
      <c r="AI107" s="495"/>
      <c r="AJ107" s="495"/>
      <c r="AK107" s="495"/>
      <c r="AL107" s="495"/>
      <c r="AM107" s="495"/>
      <c r="AN107" s="495"/>
      <c r="AO107" s="495"/>
    </row>
    <row r="108" spans="3:41" x14ac:dyDescent="0.25">
      <c r="C108" s="82"/>
      <c r="D108" s="293"/>
      <c r="E108" s="293"/>
      <c r="F108" s="293" t="s">
        <v>1037</v>
      </c>
      <c r="G108" s="293" t="s">
        <v>426</v>
      </c>
      <c r="J108" s="499">
        <f t="shared" si="22"/>
        <v>1</v>
      </c>
      <c r="K108" s="495"/>
      <c r="L108" s="495"/>
      <c r="M108" s="499">
        <f t="shared" si="18"/>
        <v>5</v>
      </c>
      <c r="N108" s="499">
        <f t="shared" si="18"/>
        <v>6</v>
      </c>
      <c r="O108" s="499">
        <f t="shared" si="18"/>
        <v>7</v>
      </c>
      <c r="P108" s="499">
        <f t="shared" si="18"/>
        <v>7</v>
      </c>
      <c r="Q108" s="495"/>
      <c r="R108" s="495"/>
      <c r="S108" s="499">
        <f t="shared" si="19"/>
        <v>9</v>
      </c>
      <c r="T108" s="499">
        <f t="shared" si="19"/>
        <v>10</v>
      </c>
      <c r="U108" s="499">
        <f t="shared" si="19"/>
        <v>11</v>
      </c>
      <c r="V108" s="499">
        <f t="shared" si="19"/>
        <v>11</v>
      </c>
      <c r="W108" s="495"/>
      <c r="X108" s="499">
        <f t="shared" si="20"/>
        <v>9</v>
      </c>
      <c r="Y108" s="499">
        <f t="shared" si="20"/>
        <v>10</v>
      </c>
      <c r="Z108" s="499">
        <f t="shared" si="20"/>
        <v>11</v>
      </c>
      <c r="AA108" s="499">
        <f t="shared" si="20"/>
        <v>11</v>
      </c>
      <c r="AB108" s="495"/>
      <c r="AC108" s="499">
        <f t="shared" si="21"/>
        <v>13</v>
      </c>
      <c r="AD108" s="499">
        <f t="shared" si="21"/>
        <v>14</v>
      </c>
      <c r="AE108" s="499">
        <f t="shared" si="21"/>
        <v>15</v>
      </c>
      <c r="AF108" s="499">
        <f t="shared" si="21"/>
        <v>15</v>
      </c>
      <c r="AG108" s="499">
        <f t="shared" si="21"/>
        <v>17</v>
      </c>
      <c r="AH108" s="495"/>
      <c r="AI108" s="495"/>
      <c r="AJ108" s="495"/>
      <c r="AK108" s="495"/>
      <c r="AL108" s="495"/>
      <c r="AM108" s="495"/>
      <c r="AN108" s="495"/>
      <c r="AO108" s="495"/>
    </row>
    <row r="109" spans="3:41" x14ac:dyDescent="0.25">
      <c r="C109" s="82"/>
      <c r="D109" s="293"/>
      <c r="E109" s="293"/>
      <c r="F109" s="293" t="s">
        <v>1038</v>
      </c>
      <c r="G109" s="293" t="s">
        <v>426</v>
      </c>
      <c r="J109" s="499">
        <f t="shared" si="22"/>
        <v>1</v>
      </c>
      <c r="K109" s="495"/>
      <c r="L109" s="495"/>
      <c r="M109" s="499">
        <f t="shared" si="18"/>
        <v>5</v>
      </c>
      <c r="N109" s="499">
        <f t="shared" si="18"/>
        <v>5</v>
      </c>
      <c r="O109" s="499">
        <f t="shared" si="18"/>
        <v>6</v>
      </c>
      <c r="P109" s="499">
        <f t="shared" si="18"/>
        <v>6</v>
      </c>
      <c r="Q109" s="495"/>
      <c r="R109" s="495"/>
      <c r="S109" s="499">
        <f t="shared" si="19"/>
        <v>9</v>
      </c>
      <c r="T109" s="499">
        <f t="shared" si="19"/>
        <v>9</v>
      </c>
      <c r="U109" s="499">
        <f t="shared" si="19"/>
        <v>10</v>
      </c>
      <c r="V109" s="499">
        <f t="shared" si="19"/>
        <v>10</v>
      </c>
      <c r="W109" s="495"/>
      <c r="X109" s="499">
        <f t="shared" si="20"/>
        <v>9</v>
      </c>
      <c r="Y109" s="499">
        <f t="shared" si="20"/>
        <v>9</v>
      </c>
      <c r="Z109" s="499">
        <f t="shared" si="20"/>
        <v>10</v>
      </c>
      <c r="AA109" s="499">
        <f t="shared" si="20"/>
        <v>10</v>
      </c>
      <c r="AB109" s="495"/>
      <c r="AC109" s="499">
        <f t="shared" si="21"/>
        <v>13</v>
      </c>
      <c r="AD109" s="499">
        <f t="shared" si="21"/>
        <v>13</v>
      </c>
      <c r="AE109" s="499">
        <f t="shared" si="21"/>
        <v>14</v>
      </c>
      <c r="AF109" s="499">
        <f t="shared" si="21"/>
        <v>14</v>
      </c>
      <c r="AG109" s="499">
        <f t="shared" si="21"/>
        <v>17</v>
      </c>
      <c r="AH109" s="495"/>
      <c r="AI109" s="495"/>
      <c r="AJ109" s="495"/>
      <c r="AK109" s="495"/>
      <c r="AL109" s="495"/>
      <c r="AM109" s="495"/>
      <c r="AN109" s="495"/>
      <c r="AO109" s="495"/>
    </row>
    <row r="110" spans="3:41" x14ac:dyDescent="0.25">
      <c r="C110" s="82"/>
      <c r="D110" s="293"/>
      <c r="E110" s="293"/>
      <c r="F110" s="293" t="s">
        <v>1039</v>
      </c>
      <c r="G110" s="293" t="s">
        <v>426</v>
      </c>
      <c r="J110" s="499">
        <f t="shared" si="22"/>
        <v>1</v>
      </c>
      <c r="K110" s="495"/>
      <c r="L110" s="495"/>
      <c r="M110" s="499">
        <f t="shared" si="18"/>
        <v>5</v>
      </c>
      <c r="N110" s="499">
        <f t="shared" si="18"/>
        <v>5</v>
      </c>
      <c r="O110" s="499">
        <f t="shared" si="18"/>
        <v>5</v>
      </c>
      <c r="P110" s="499">
        <f t="shared" si="18"/>
        <v>6</v>
      </c>
      <c r="Q110" s="495"/>
      <c r="R110" s="495"/>
      <c r="S110" s="499">
        <f t="shared" si="19"/>
        <v>9</v>
      </c>
      <c r="T110" s="499">
        <f t="shared" si="19"/>
        <v>9</v>
      </c>
      <c r="U110" s="499">
        <f t="shared" si="19"/>
        <v>9</v>
      </c>
      <c r="V110" s="499">
        <f t="shared" si="19"/>
        <v>10</v>
      </c>
      <c r="W110" s="495"/>
      <c r="X110" s="499">
        <f t="shared" si="20"/>
        <v>9</v>
      </c>
      <c r="Y110" s="499">
        <f t="shared" si="20"/>
        <v>9</v>
      </c>
      <c r="Z110" s="499">
        <f t="shared" si="20"/>
        <v>9</v>
      </c>
      <c r="AA110" s="499">
        <f t="shared" si="20"/>
        <v>10</v>
      </c>
      <c r="AB110" s="495"/>
      <c r="AC110" s="499">
        <f t="shared" si="21"/>
        <v>13</v>
      </c>
      <c r="AD110" s="499">
        <f t="shared" si="21"/>
        <v>13</v>
      </c>
      <c r="AE110" s="499">
        <f t="shared" si="21"/>
        <v>13</v>
      </c>
      <c r="AF110" s="499">
        <f t="shared" si="21"/>
        <v>14</v>
      </c>
      <c r="AG110" s="499">
        <f t="shared" si="21"/>
        <v>17</v>
      </c>
      <c r="AH110" s="495"/>
      <c r="AI110" s="495"/>
      <c r="AJ110" s="495"/>
      <c r="AK110" s="495"/>
      <c r="AL110" s="495"/>
      <c r="AM110" s="495"/>
      <c r="AN110" s="495"/>
      <c r="AO110" s="495"/>
    </row>
    <row r="111" spans="3:41" x14ac:dyDescent="0.25">
      <c r="C111" s="82"/>
      <c r="D111" s="293"/>
      <c r="E111" s="293"/>
      <c r="F111" s="293" t="s">
        <v>1040</v>
      </c>
      <c r="G111" s="293" t="s">
        <v>426</v>
      </c>
      <c r="J111" s="499">
        <f t="shared" si="22"/>
        <v>1</v>
      </c>
      <c r="K111" s="495"/>
      <c r="L111" s="495"/>
      <c r="M111" s="499">
        <f t="shared" si="18"/>
        <v>5</v>
      </c>
      <c r="N111" s="499">
        <f t="shared" si="18"/>
        <v>6</v>
      </c>
      <c r="O111" s="499">
        <f t="shared" si="18"/>
        <v>6</v>
      </c>
      <c r="P111" s="499">
        <f t="shared" si="18"/>
        <v>6</v>
      </c>
      <c r="Q111" s="495"/>
      <c r="R111" s="495"/>
      <c r="S111" s="499">
        <f t="shared" si="19"/>
        <v>9</v>
      </c>
      <c r="T111" s="499">
        <f t="shared" si="19"/>
        <v>10</v>
      </c>
      <c r="U111" s="499">
        <f t="shared" si="19"/>
        <v>10</v>
      </c>
      <c r="V111" s="499">
        <f t="shared" si="19"/>
        <v>10</v>
      </c>
      <c r="W111" s="495"/>
      <c r="X111" s="499">
        <f t="shared" si="20"/>
        <v>9</v>
      </c>
      <c r="Y111" s="499">
        <f t="shared" si="20"/>
        <v>10</v>
      </c>
      <c r="Z111" s="499">
        <f t="shared" si="20"/>
        <v>10</v>
      </c>
      <c r="AA111" s="499">
        <f t="shared" si="20"/>
        <v>10</v>
      </c>
      <c r="AB111" s="495"/>
      <c r="AC111" s="499">
        <f t="shared" si="21"/>
        <v>13</v>
      </c>
      <c r="AD111" s="499">
        <f t="shared" si="21"/>
        <v>14</v>
      </c>
      <c r="AE111" s="499">
        <f t="shared" si="21"/>
        <v>14</v>
      </c>
      <c r="AF111" s="499">
        <f t="shared" si="21"/>
        <v>14</v>
      </c>
      <c r="AG111" s="499">
        <f t="shared" si="21"/>
        <v>17</v>
      </c>
      <c r="AH111" s="495"/>
      <c r="AI111" s="495"/>
      <c r="AJ111" s="495"/>
      <c r="AK111" s="495"/>
      <c r="AL111" s="495"/>
      <c r="AM111" s="495"/>
      <c r="AN111" s="495"/>
      <c r="AO111" s="495"/>
    </row>
    <row r="112" spans="3:41" x14ac:dyDescent="0.25">
      <c r="C112" s="82"/>
      <c r="D112" s="293"/>
      <c r="E112" s="293"/>
      <c r="F112" s="93" t="s">
        <v>1041</v>
      </c>
      <c r="G112" s="93" t="s">
        <v>426</v>
      </c>
      <c r="H112" s="93"/>
      <c r="I112" s="93"/>
      <c r="J112" s="500">
        <f t="shared" si="22"/>
        <v>1</v>
      </c>
      <c r="K112" s="497"/>
      <c r="L112" s="497"/>
      <c r="M112" s="500">
        <f t="shared" si="18"/>
        <v>5</v>
      </c>
      <c r="N112" s="500">
        <f t="shared" si="18"/>
        <v>5</v>
      </c>
      <c r="O112" s="500">
        <f t="shared" si="18"/>
        <v>5</v>
      </c>
      <c r="P112" s="500">
        <f t="shared" si="18"/>
        <v>5</v>
      </c>
      <c r="Q112" s="497"/>
      <c r="R112" s="497"/>
      <c r="S112" s="500">
        <f t="shared" si="19"/>
        <v>9</v>
      </c>
      <c r="T112" s="500">
        <f t="shared" si="19"/>
        <v>9</v>
      </c>
      <c r="U112" s="500">
        <f t="shared" si="19"/>
        <v>9</v>
      </c>
      <c r="V112" s="500">
        <f t="shared" si="19"/>
        <v>9</v>
      </c>
      <c r="W112" s="497"/>
      <c r="X112" s="500">
        <f t="shared" si="20"/>
        <v>9</v>
      </c>
      <c r="Y112" s="500">
        <f t="shared" si="20"/>
        <v>9</v>
      </c>
      <c r="Z112" s="500">
        <f t="shared" si="20"/>
        <v>9</v>
      </c>
      <c r="AA112" s="500">
        <f t="shared" si="20"/>
        <v>9</v>
      </c>
      <c r="AB112" s="497"/>
      <c r="AC112" s="500">
        <f t="shared" si="21"/>
        <v>13</v>
      </c>
      <c r="AD112" s="500">
        <f t="shared" si="21"/>
        <v>13</v>
      </c>
      <c r="AE112" s="500">
        <f t="shared" si="21"/>
        <v>13</v>
      </c>
      <c r="AF112" s="500">
        <f t="shared" si="21"/>
        <v>13</v>
      </c>
      <c r="AG112" s="500">
        <f t="shared" si="21"/>
        <v>17</v>
      </c>
      <c r="AH112" s="497"/>
      <c r="AI112" s="497"/>
      <c r="AJ112" s="497"/>
      <c r="AK112" s="497"/>
      <c r="AL112" s="497"/>
      <c r="AM112" s="497"/>
      <c r="AN112" s="497"/>
      <c r="AO112" s="497"/>
    </row>
    <row r="113" spans="3:41" x14ac:dyDescent="0.25">
      <c r="C113" s="82"/>
      <c r="D113" s="293"/>
      <c r="E113" s="293"/>
      <c r="J113" s="237"/>
      <c r="K113" s="237"/>
      <c r="L113" s="237"/>
      <c r="M113" s="237"/>
      <c r="N113" s="237"/>
      <c r="O113" s="237"/>
      <c r="P113" s="237"/>
      <c r="Q113" s="237"/>
      <c r="R113" s="237"/>
      <c r="S113" s="237"/>
      <c r="T113" s="237"/>
      <c r="U113" s="237"/>
      <c r="V113" s="237"/>
      <c r="W113" s="237"/>
      <c r="X113" s="237"/>
      <c r="Y113" s="237"/>
      <c r="Z113" s="237"/>
      <c r="AA113" s="237"/>
      <c r="AB113" s="237"/>
      <c r="AC113" s="237"/>
      <c r="AD113" s="237"/>
      <c r="AE113" s="237"/>
      <c r="AF113" s="237"/>
      <c r="AG113" s="237"/>
      <c r="AH113" s="237"/>
      <c r="AI113" s="237"/>
      <c r="AJ113" s="237"/>
      <c r="AK113" s="237"/>
      <c r="AL113" s="237"/>
      <c r="AM113" s="237"/>
      <c r="AN113" s="237"/>
      <c r="AO113" s="237"/>
    </row>
    <row r="114" spans="3:41" x14ac:dyDescent="0.25">
      <c r="C114" s="82"/>
      <c r="D114" s="293"/>
      <c r="E114" s="96" t="s">
        <v>1116</v>
      </c>
      <c r="J114" s="237"/>
      <c r="K114" s="237"/>
      <c r="L114" s="237"/>
      <c r="M114" s="237"/>
      <c r="N114" s="237"/>
      <c r="O114" s="237"/>
      <c r="P114" s="237"/>
      <c r="Q114" s="237"/>
      <c r="R114" s="237"/>
      <c r="S114" s="237"/>
      <c r="T114" s="237"/>
      <c r="U114" s="237"/>
      <c r="V114" s="237"/>
      <c r="W114" s="237"/>
      <c r="X114" s="237"/>
      <c r="Y114" s="237"/>
      <c r="Z114" s="237"/>
      <c r="AA114" s="237"/>
      <c r="AB114" s="237"/>
      <c r="AC114" s="237"/>
      <c r="AD114" s="237"/>
      <c r="AE114" s="237"/>
      <c r="AF114" s="237"/>
      <c r="AG114" s="237"/>
      <c r="AH114" s="237"/>
      <c r="AI114" s="237"/>
      <c r="AJ114" s="237"/>
      <c r="AK114" s="237"/>
      <c r="AL114" s="237"/>
      <c r="AM114" s="237"/>
      <c r="AN114" s="237"/>
      <c r="AO114" s="237"/>
    </row>
    <row r="115" spans="3:41" x14ac:dyDescent="0.25">
      <c r="C115" s="82"/>
      <c r="D115" s="293"/>
      <c r="E115" s="293"/>
      <c r="F115" s="91" t="s">
        <v>1034</v>
      </c>
      <c r="G115" s="91" t="s">
        <v>74</v>
      </c>
      <c r="H115" s="91"/>
      <c r="I115" s="91"/>
      <c r="J115" s="498">
        <f t="shared" ref="J115:J122" si="23">SUMIF($J105:$AO105, J105, $J$56:$AO$56)</f>
        <v>2974344.8025927823</v>
      </c>
      <c r="K115" s="493"/>
      <c r="L115" s="493"/>
      <c r="M115" s="498">
        <f t="shared" ref="M115:P122" si="24">SUMIF($J105:$AO105, M105, $J$56:$AO$56)</f>
        <v>92882.682828770194</v>
      </c>
      <c r="N115" s="498">
        <f t="shared" si="24"/>
        <v>69794.959067042349</v>
      </c>
      <c r="O115" s="498">
        <f t="shared" si="24"/>
        <v>36948.348506129492</v>
      </c>
      <c r="P115" s="498">
        <f t="shared" si="24"/>
        <v>34179.566028011744</v>
      </c>
      <c r="Q115" s="493"/>
      <c r="R115" s="493"/>
      <c r="S115" s="498">
        <f t="shared" ref="S115:V122" si="25">SUMIF($J105:$AO105, S105, $J$56:$AO$56)</f>
        <v>10615.568916237064</v>
      </c>
      <c r="T115" s="498">
        <f t="shared" si="25"/>
        <v>5527.7971001962378</v>
      </c>
      <c r="U115" s="498">
        <f t="shared" si="25"/>
        <v>2972.277184691749</v>
      </c>
      <c r="V115" s="498">
        <f t="shared" si="25"/>
        <v>4171.3636150964912</v>
      </c>
      <c r="W115" s="493"/>
      <c r="X115" s="498">
        <f t="shared" ref="X115:AA122" si="26">SUMIF($J105:$AO105, X105, $J$56:$AO$56)</f>
        <v>10615.568916237064</v>
      </c>
      <c r="Y115" s="498">
        <f t="shared" si="26"/>
        <v>5527.7971001962378</v>
      </c>
      <c r="Z115" s="498">
        <f t="shared" si="26"/>
        <v>2972.277184691749</v>
      </c>
      <c r="AA115" s="498">
        <f t="shared" si="26"/>
        <v>4171.3636150964912</v>
      </c>
      <c r="AB115" s="493"/>
      <c r="AC115" s="498">
        <f t="shared" ref="AC115:AG122" si="27">SUMIF($J105:$AO105, AC105, $J$56:$AO$56)</f>
        <v>546.13806531578371</v>
      </c>
      <c r="AD115" s="498">
        <f t="shared" si="27"/>
        <v>649.2545771605113</v>
      </c>
      <c r="AE115" s="498">
        <f t="shared" si="27"/>
        <v>280.7578364784639</v>
      </c>
      <c r="AF115" s="498">
        <f t="shared" si="27"/>
        <v>283.78675919565893</v>
      </c>
      <c r="AG115" s="498">
        <f t="shared" si="27"/>
        <v>4315.823371813919</v>
      </c>
      <c r="AH115" s="493"/>
      <c r="AI115" s="493"/>
      <c r="AJ115" s="493"/>
      <c r="AK115" s="493"/>
      <c r="AL115" s="493"/>
      <c r="AM115" s="493"/>
      <c r="AN115" s="493"/>
      <c r="AO115" s="493"/>
    </row>
    <row r="116" spans="3:41" x14ac:dyDescent="0.25">
      <c r="C116" s="82"/>
      <c r="D116" s="293"/>
      <c r="E116" s="293"/>
      <c r="F116" s="293" t="s">
        <v>1035</v>
      </c>
      <c r="G116" s="293" t="s">
        <v>74</v>
      </c>
      <c r="J116" s="499">
        <f t="shared" si="23"/>
        <v>2974344.8025927823</v>
      </c>
      <c r="K116" s="495"/>
      <c r="L116" s="495"/>
      <c r="M116" s="499">
        <f t="shared" si="24"/>
        <v>162677.64189581253</v>
      </c>
      <c r="N116" s="499">
        <f t="shared" si="24"/>
        <v>162677.64189581253</v>
      </c>
      <c r="O116" s="499">
        <f t="shared" si="24"/>
        <v>36948.348506129492</v>
      </c>
      <c r="P116" s="499">
        <f t="shared" si="24"/>
        <v>34179.566028011744</v>
      </c>
      <c r="Q116" s="495"/>
      <c r="R116" s="495"/>
      <c r="S116" s="499">
        <f t="shared" si="25"/>
        <v>16143.366016433303</v>
      </c>
      <c r="T116" s="499">
        <f t="shared" si="25"/>
        <v>16143.366016433303</v>
      </c>
      <c r="U116" s="499">
        <f t="shared" si="25"/>
        <v>2972.277184691749</v>
      </c>
      <c r="V116" s="499">
        <f t="shared" si="25"/>
        <v>4171.3636150964912</v>
      </c>
      <c r="W116" s="495"/>
      <c r="X116" s="499">
        <f t="shared" si="26"/>
        <v>16143.366016433303</v>
      </c>
      <c r="Y116" s="499">
        <f t="shared" si="26"/>
        <v>16143.366016433303</v>
      </c>
      <c r="Z116" s="499">
        <f t="shared" si="26"/>
        <v>2972.277184691749</v>
      </c>
      <c r="AA116" s="499">
        <f t="shared" si="26"/>
        <v>4171.3636150964912</v>
      </c>
      <c r="AB116" s="495"/>
      <c r="AC116" s="499">
        <f t="shared" si="27"/>
        <v>1195.3926424762949</v>
      </c>
      <c r="AD116" s="499">
        <f t="shared" si="27"/>
        <v>1195.3926424762949</v>
      </c>
      <c r="AE116" s="499">
        <f t="shared" si="27"/>
        <v>280.7578364784639</v>
      </c>
      <c r="AF116" s="499">
        <f t="shared" si="27"/>
        <v>283.78675919565893</v>
      </c>
      <c r="AG116" s="499">
        <f t="shared" si="27"/>
        <v>4315.823371813919</v>
      </c>
      <c r="AH116" s="495"/>
      <c r="AI116" s="495"/>
      <c r="AJ116" s="495"/>
      <c r="AK116" s="495"/>
      <c r="AL116" s="495"/>
      <c r="AM116" s="495"/>
      <c r="AN116" s="495"/>
      <c r="AO116" s="495"/>
    </row>
    <row r="117" spans="3:41" x14ac:dyDescent="0.25">
      <c r="C117" s="82"/>
      <c r="D117" s="293"/>
      <c r="E117" s="293"/>
      <c r="F117" s="293" t="s">
        <v>1036</v>
      </c>
      <c r="G117" s="293" t="s">
        <v>74</v>
      </c>
      <c r="J117" s="499">
        <f t="shared" si="23"/>
        <v>2974344.8025927823</v>
      </c>
      <c r="K117" s="495"/>
      <c r="L117" s="495"/>
      <c r="M117" s="499">
        <f t="shared" si="24"/>
        <v>92882.682828770194</v>
      </c>
      <c r="N117" s="499">
        <f t="shared" si="24"/>
        <v>106743.30757317184</v>
      </c>
      <c r="O117" s="499">
        <f t="shared" si="24"/>
        <v>106743.30757317184</v>
      </c>
      <c r="P117" s="499">
        <f t="shared" si="24"/>
        <v>34179.566028011744</v>
      </c>
      <c r="Q117" s="495"/>
      <c r="R117" s="495"/>
      <c r="S117" s="499">
        <f t="shared" si="25"/>
        <v>10615.568916237064</v>
      </c>
      <c r="T117" s="499">
        <f t="shared" si="25"/>
        <v>8500.0742848879872</v>
      </c>
      <c r="U117" s="499">
        <f t="shared" si="25"/>
        <v>8500.0742848879872</v>
      </c>
      <c r="V117" s="499">
        <f t="shared" si="25"/>
        <v>4171.3636150964912</v>
      </c>
      <c r="W117" s="495"/>
      <c r="X117" s="499">
        <f t="shared" si="26"/>
        <v>10615.568916237064</v>
      </c>
      <c r="Y117" s="499">
        <f t="shared" si="26"/>
        <v>8500.0742848879872</v>
      </c>
      <c r="Z117" s="499">
        <f t="shared" si="26"/>
        <v>8500.0742848879872</v>
      </c>
      <c r="AA117" s="499">
        <f t="shared" si="26"/>
        <v>4171.3636150964912</v>
      </c>
      <c r="AB117" s="495"/>
      <c r="AC117" s="499">
        <f t="shared" si="27"/>
        <v>546.13806531578371</v>
      </c>
      <c r="AD117" s="499">
        <f t="shared" si="27"/>
        <v>930.0124136389752</v>
      </c>
      <c r="AE117" s="499">
        <f t="shared" si="27"/>
        <v>930.0124136389752</v>
      </c>
      <c r="AF117" s="499">
        <f t="shared" si="27"/>
        <v>283.78675919565893</v>
      </c>
      <c r="AG117" s="499">
        <f t="shared" si="27"/>
        <v>4315.823371813919</v>
      </c>
      <c r="AH117" s="495"/>
      <c r="AI117" s="495"/>
      <c r="AJ117" s="495"/>
      <c r="AK117" s="495"/>
      <c r="AL117" s="495"/>
      <c r="AM117" s="495"/>
      <c r="AN117" s="495"/>
      <c r="AO117" s="495"/>
    </row>
    <row r="118" spans="3:41" x14ac:dyDescent="0.25">
      <c r="C118" s="82"/>
      <c r="D118" s="293"/>
      <c r="E118" s="293"/>
      <c r="F118" s="293" t="s">
        <v>1037</v>
      </c>
      <c r="G118" s="293" t="s">
        <v>74</v>
      </c>
      <c r="J118" s="499">
        <f t="shared" si="23"/>
        <v>2974344.8025927823</v>
      </c>
      <c r="K118" s="495"/>
      <c r="L118" s="495"/>
      <c r="M118" s="499">
        <f t="shared" si="24"/>
        <v>92882.682828770194</v>
      </c>
      <c r="N118" s="499">
        <f t="shared" si="24"/>
        <v>69794.959067042349</v>
      </c>
      <c r="O118" s="499">
        <f t="shared" si="24"/>
        <v>71127.914534141237</v>
      </c>
      <c r="P118" s="499">
        <f t="shared" si="24"/>
        <v>71127.914534141237</v>
      </c>
      <c r="Q118" s="495"/>
      <c r="R118" s="495"/>
      <c r="S118" s="499">
        <f t="shared" si="25"/>
        <v>10615.568916237064</v>
      </c>
      <c r="T118" s="499">
        <f t="shared" si="25"/>
        <v>5527.7971001962378</v>
      </c>
      <c r="U118" s="499">
        <f t="shared" si="25"/>
        <v>7143.6407997882407</v>
      </c>
      <c r="V118" s="499">
        <f t="shared" si="25"/>
        <v>7143.6407997882407</v>
      </c>
      <c r="W118" s="495"/>
      <c r="X118" s="499">
        <f t="shared" si="26"/>
        <v>10615.568916237064</v>
      </c>
      <c r="Y118" s="499">
        <f t="shared" si="26"/>
        <v>5527.7971001962378</v>
      </c>
      <c r="Z118" s="499">
        <f t="shared" si="26"/>
        <v>7143.6407997882407</v>
      </c>
      <c r="AA118" s="499">
        <f t="shared" si="26"/>
        <v>7143.6407997882407</v>
      </c>
      <c r="AB118" s="495"/>
      <c r="AC118" s="499">
        <f t="shared" si="27"/>
        <v>546.13806531578371</v>
      </c>
      <c r="AD118" s="499">
        <f t="shared" si="27"/>
        <v>649.2545771605113</v>
      </c>
      <c r="AE118" s="499">
        <f t="shared" si="27"/>
        <v>564.54459567412277</v>
      </c>
      <c r="AF118" s="499">
        <f t="shared" si="27"/>
        <v>564.54459567412277</v>
      </c>
      <c r="AG118" s="499">
        <f t="shared" si="27"/>
        <v>4315.823371813919</v>
      </c>
      <c r="AH118" s="495"/>
      <c r="AI118" s="495"/>
      <c r="AJ118" s="495"/>
      <c r="AK118" s="495"/>
      <c r="AL118" s="495"/>
      <c r="AM118" s="495"/>
      <c r="AN118" s="495"/>
      <c r="AO118" s="495"/>
    </row>
    <row r="119" spans="3:41" x14ac:dyDescent="0.25">
      <c r="C119" s="82"/>
      <c r="D119" s="293"/>
      <c r="E119" s="293"/>
      <c r="F119" s="293" t="s">
        <v>1038</v>
      </c>
      <c r="G119" s="293" t="s">
        <v>74</v>
      </c>
      <c r="J119" s="499">
        <f t="shared" si="23"/>
        <v>2974344.8025927823</v>
      </c>
      <c r="K119" s="495"/>
      <c r="L119" s="495"/>
      <c r="M119" s="499">
        <f t="shared" si="24"/>
        <v>162677.64189581253</v>
      </c>
      <c r="N119" s="499">
        <f t="shared" si="24"/>
        <v>162677.64189581253</v>
      </c>
      <c r="O119" s="499">
        <f t="shared" si="24"/>
        <v>71127.914534141237</v>
      </c>
      <c r="P119" s="499">
        <f t="shared" si="24"/>
        <v>71127.914534141237</v>
      </c>
      <c r="Q119" s="495"/>
      <c r="R119" s="495"/>
      <c r="S119" s="499">
        <f t="shared" si="25"/>
        <v>16143.366016433303</v>
      </c>
      <c r="T119" s="499">
        <f t="shared" si="25"/>
        <v>16143.366016433303</v>
      </c>
      <c r="U119" s="499">
        <f t="shared" si="25"/>
        <v>7143.6407997882407</v>
      </c>
      <c r="V119" s="499">
        <f t="shared" si="25"/>
        <v>7143.6407997882407</v>
      </c>
      <c r="W119" s="495"/>
      <c r="X119" s="499">
        <f t="shared" si="26"/>
        <v>16143.366016433303</v>
      </c>
      <c r="Y119" s="499">
        <f t="shared" si="26"/>
        <v>16143.366016433303</v>
      </c>
      <c r="Z119" s="499">
        <f t="shared" si="26"/>
        <v>7143.6407997882407</v>
      </c>
      <c r="AA119" s="499">
        <f t="shared" si="26"/>
        <v>7143.6407997882407</v>
      </c>
      <c r="AB119" s="495"/>
      <c r="AC119" s="499">
        <f t="shared" si="27"/>
        <v>1195.3926424762949</v>
      </c>
      <c r="AD119" s="499">
        <f t="shared" si="27"/>
        <v>1195.3926424762949</v>
      </c>
      <c r="AE119" s="499">
        <f t="shared" si="27"/>
        <v>564.54459567412277</v>
      </c>
      <c r="AF119" s="499">
        <f t="shared" si="27"/>
        <v>564.54459567412277</v>
      </c>
      <c r="AG119" s="499">
        <f t="shared" si="27"/>
        <v>4315.823371813919</v>
      </c>
      <c r="AH119" s="495"/>
      <c r="AI119" s="495"/>
      <c r="AJ119" s="495"/>
      <c r="AK119" s="495"/>
      <c r="AL119" s="495"/>
      <c r="AM119" s="495"/>
      <c r="AN119" s="495"/>
      <c r="AO119" s="495"/>
    </row>
    <row r="120" spans="3:41" x14ac:dyDescent="0.25">
      <c r="C120" s="82"/>
      <c r="D120" s="293"/>
      <c r="E120" s="293"/>
      <c r="F120" s="293" t="s">
        <v>1039</v>
      </c>
      <c r="G120" s="293" t="s">
        <v>74</v>
      </c>
      <c r="J120" s="499">
        <f t="shared" si="23"/>
        <v>2974344.8025927823</v>
      </c>
      <c r="K120" s="495"/>
      <c r="L120" s="495"/>
      <c r="M120" s="499">
        <f t="shared" si="24"/>
        <v>199625.99040194202</v>
      </c>
      <c r="N120" s="499">
        <f t="shared" si="24"/>
        <v>199625.99040194202</v>
      </c>
      <c r="O120" s="499">
        <f t="shared" si="24"/>
        <v>199625.99040194202</v>
      </c>
      <c r="P120" s="499">
        <f t="shared" si="24"/>
        <v>34179.566028011744</v>
      </c>
      <c r="Q120" s="495"/>
      <c r="R120" s="495"/>
      <c r="S120" s="499">
        <f t="shared" si="25"/>
        <v>19115.643201125054</v>
      </c>
      <c r="T120" s="499">
        <f t="shared" si="25"/>
        <v>19115.643201125054</v>
      </c>
      <c r="U120" s="499">
        <f t="shared" si="25"/>
        <v>19115.643201125054</v>
      </c>
      <c r="V120" s="499">
        <f t="shared" si="25"/>
        <v>4171.3636150964912</v>
      </c>
      <c r="W120" s="495"/>
      <c r="X120" s="499">
        <f t="shared" si="26"/>
        <v>19115.643201125054</v>
      </c>
      <c r="Y120" s="499">
        <f t="shared" si="26"/>
        <v>19115.643201125054</v>
      </c>
      <c r="Z120" s="499">
        <f t="shared" si="26"/>
        <v>19115.643201125054</v>
      </c>
      <c r="AA120" s="499">
        <f t="shared" si="26"/>
        <v>4171.3636150964912</v>
      </c>
      <c r="AB120" s="495"/>
      <c r="AC120" s="499">
        <f t="shared" si="27"/>
        <v>1476.1504789547589</v>
      </c>
      <c r="AD120" s="499">
        <f t="shared" si="27"/>
        <v>1476.1504789547589</v>
      </c>
      <c r="AE120" s="499">
        <f t="shared" si="27"/>
        <v>1476.1504789547589</v>
      </c>
      <c r="AF120" s="499">
        <f t="shared" si="27"/>
        <v>283.78675919565893</v>
      </c>
      <c r="AG120" s="499">
        <f t="shared" si="27"/>
        <v>4315.823371813919</v>
      </c>
      <c r="AH120" s="495"/>
      <c r="AI120" s="495"/>
      <c r="AJ120" s="495"/>
      <c r="AK120" s="495"/>
      <c r="AL120" s="495"/>
      <c r="AM120" s="495"/>
      <c r="AN120" s="495"/>
      <c r="AO120" s="495"/>
    </row>
    <row r="121" spans="3:41" x14ac:dyDescent="0.25">
      <c r="C121" s="82"/>
      <c r="D121" s="293"/>
      <c r="E121" s="293"/>
      <c r="F121" s="293" t="s">
        <v>1040</v>
      </c>
      <c r="G121" s="293" t="s">
        <v>74</v>
      </c>
      <c r="J121" s="499">
        <f t="shared" si="23"/>
        <v>2974344.8025927823</v>
      </c>
      <c r="K121" s="495"/>
      <c r="L121" s="495"/>
      <c r="M121" s="499">
        <f t="shared" si="24"/>
        <v>92882.682828770194</v>
      </c>
      <c r="N121" s="499">
        <f t="shared" si="24"/>
        <v>140922.87360118359</v>
      </c>
      <c r="O121" s="499">
        <f t="shared" si="24"/>
        <v>140922.87360118359</v>
      </c>
      <c r="P121" s="499">
        <f t="shared" si="24"/>
        <v>140922.87360118359</v>
      </c>
      <c r="Q121" s="495"/>
      <c r="R121" s="495"/>
      <c r="S121" s="499">
        <f t="shared" si="25"/>
        <v>10615.568916237064</v>
      </c>
      <c r="T121" s="499">
        <f t="shared" si="25"/>
        <v>12671.437899984479</v>
      </c>
      <c r="U121" s="499">
        <f t="shared" si="25"/>
        <v>12671.437899984479</v>
      </c>
      <c r="V121" s="499">
        <f t="shared" si="25"/>
        <v>12671.437899984479</v>
      </c>
      <c r="W121" s="495"/>
      <c r="X121" s="499">
        <f t="shared" si="26"/>
        <v>10615.568916237064</v>
      </c>
      <c r="Y121" s="499">
        <f t="shared" si="26"/>
        <v>12671.437899984479</v>
      </c>
      <c r="Z121" s="499">
        <f t="shared" si="26"/>
        <v>12671.437899984479</v>
      </c>
      <c r="AA121" s="499">
        <f t="shared" si="26"/>
        <v>12671.437899984479</v>
      </c>
      <c r="AB121" s="495"/>
      <c r="AC121" s="499">
        <f t="shared" si="27"/>
        <v>546.13806531578371</v>
      </c>
      <c r="AD121" s="499">
        <f t="shared" si="27"/>
        <v>1213.7991728346342</v>
      </c>
      <c r="AE121" s="499">
        <f t="shared" si="27"/>
        <v>1213.7991728346342</v>
      </c>
      <c r="AF121" s="499">
        <f t="shared" si="27"/>
        <v>1213.7991728346342</v>
      </c>
      <c r="AG121" s="499">
        <f t="shared" si="27"/>
        <v>4315.823371813919</v>
      </c>
      <c r="AH121" s="495"/>
      <c r="AI121" s="495"/>
      <c r="AJ121" s="495"/>
      <c r="AK121" s="495"/>
      <c r="AL121" s="495"/>
      <c r="AM121" s="495"/>
      <c r="AN121" s="495"/>
      <c r="AO121" s="495"/>
    </row>
    <row r="122" spans="3:41" x14ac:dyDescent="0.25">
      <c r="C122" s="82"/>
      <c r="D122" s="293"/>
      <c r="E122" s="293"/>
      <c r="F122" s="93" t="s">
        <v>1041</v>
      </c>
      <c r="G122" s="93" t="s">
        <v>74</v>
      </c>
      <c r="H122" s="93"/>
      <c r="I122" s="93"/>
      <c r="J122" s="500">
        <f t="shared" si="23"/>
        <v>2974344.8025927823</v>
      </c>
      <c r="K122" s="497"/>
      <c r="L122" s="497"/>
      <c r="M122" s="500">
        <f t="shared" si="24"/>
        <v>233805.55642995378</v>
      </c>
      <c r="N122" s="500">
        <f t="shared" si="24"/>
        <v>233805.55642995378</v>
      </c>
      <c r="O122" s="500">
        <f t="shared" si="24"/>
        <v>233805.55642995378</v>
      </c>
      <c r="P122" s="500">
        <f t="shared" si="24"/>
        <v>233805.55642995378</v>
      </c>
      <c r="Q122" s="497"/>
      <c r="R122" s="497"/>
      <c r="S122" s="500">
        <f t="shared" si="25"/>
        <v>23287.006816221543</v>
      </c>
      <c r="T122" s="500">
        <f t="shared" si="25"/>
        <v>23287.006816221543</v>
      </c>
      <c r="U122" s="500">
        <f t="shared" si="25"/>
        <v>23287.006816221543</v>
      </c>
      <c r="V122" s="500">
        <f t="shared" si="25"/>
        <v>23287.006816221543</v>
      </c>
      <c r="W122" s="497"/>
      <c r="X122" s="500">
        <f t="shared" si="26"/>
        <v>23287.006816221543</v>
      </c>
      <c r="Y122" s="500">
        <f t="shared" si="26"/>
        <v>23287.006816221543</v>
      </c>
      <c r="Z122" s="500">
        <f t="shared" si="26"/>
        <v>23287.006816221543</v>
      </c>
      <c r="AA122" s="500">
        <f t="shared" si="26"/>
        <v>23287.006816221543</v>
      </c>
      <c r="AB122" s="497"/>
      <c r="AC122" s="500">
        <f t="shared" si="27"/>
        <v>1759.9372381504179</v>
      </c>
      <c r="AD122" s="500">
        <f t="shared" si="27"/>
        <v>1759.9372381504179</v>
      </c>
      <c r="AE122" s="500">
        <f t="shared" si="27"/>
        <v>1759.9372381504179</v>
      </c>
      <c r="AF122" s="500">
        <f t="shared" si="27"/>
        <v>1759.9372381504179</v>
      </c>
      <c r="AG122" s="500">
        <f t="shared" si="27"/>
        <v>4315.823371813919</v>
      </c>
      <c r="AH122" s="497"/>
      <c r="AI122" s="497"/>
      <c r="AJ122" s="497"/>
      <c r="AK122" s="497"/>
      <c r="AL122" s="497"/>
      <c r="AM122" s="497"/>
      <c r="AN122" s="497"/>
      <c r="AO122" s="497"/>
    </row>
    <row r="123" spans="3:41" x14ac:dyDescent="0.25">
      <c r="C123" s="82"/>
      <c r="D123" s="293"/>
      <c r="E123" s="293"/>
      <c r="J123" s="237"/>
      <c r="K123" s="237"/>
      <c r="L123" s="237"/>
      <c r="M123" s="237"/>
      <c r="N123" s="237"/>
      <c r="O123" s="237"/>
      <c r="P123" s="237"/>
      <c r="Q123" s="237"/>
      <c r="R123" s="237"/>
      <c r="S123" s="237"/>
      <c r="T123" s="237"/>
      <c r="U123" s="237"/>
      <c r="V123" s="237"/>
      <c r="W123" s="237"/>
      <c r="X123" s="237"/>
      <c r="Y123" s="237"/>
      <c r="Z123" s="237"/>
      <c r="AA123" s="237"/>
      <c r="AB123" s="237"/>
      <c r="AC123" s="237"/>
      <c r="AD123" s="237"/>
      <c r="AE123" s="237"/>
      <c r="AF123" s="237"/>
      <c r="AG123" s="237"/>
      <c r="AH123" s="237"/>
      <c r="AI123" s="237"/>
      <c r="AJ123" s="237"/>
      <c r="AK123" s="237"/>
      <c r="AL123" s="237"/>
      <c r="AM123" s="237"/>
      <c r="AN123" s="237"/>
      <c r="AO123" s="237"/>
    </row>
    <row r="124" spans="3:41" x14ac:dyDescent="0.25">
      <c r="C124" s="82"/>
      <c r="D124" s="293"/>
      <c r="E124" s="293" t="s">
        <v>1030</v>
      </c>
      <c r="G124" s="293" t="s">
        <v>426</v>
      </c>
      <c r="H124" s="380">
        <f>'Fixed inputs'!H172</f>
        <v>2</v>
      </c>
      <c r="J124" s="237"/>
      <c r="K124" s="237"/>
      <c r="L124" s="237"/>
      <c r="M124" s="237"/>
      <c r="N124" s="237"/>
      <c r="O124" s="237"/>
      <c r="P124" s="237"/>
      <c r="Q124" s="237"/>
      <c r="R124" s="237"/>
      <c r="S124" s="237"/>
      <c r="T124" s="237"/>
      <c r="U124" s="237"/>
      <c r="V124" s="237"/>
      <c r="W124" s="237"/>
      <c r="X124" s="237"/>
      <c r="Y124" s="237"/>
      <c r="Z124" s="237"/>
      <c r="AA124" s="237"/>
      <c r="AB124" s="237"/>
      <c r="AC124" s="237"/>
      <c r="AD124" s="237"/>
      <c r="AE124" s="237"/>
      <c r="AF124" s="237"/>
      <c r="AG124" s="237"/>
      <c r="AH124" s="237"/>
      <c r="AI124" s="237"/>
      <c r="AJ124" s="237"/>
      <c r="AK124" s="237"/>
      <c r="AL124" s="237"/>
      <c r="AM124" s="237"/>
      <c r="AN124" s="237"/>
      <c r="AO124" s="237"/>
    </row>
    <row r="125" spans="3:41" x14ac:dyDescent="0.25">
      <c r="C125" s="82"/>
      <c r="D125" s="293"/>
      <c r="E125" s="293"/>
      <c r="J125" s="237"/>
      <c r="K125" s="237"/>
      <c r="L125" s="237"/>
      <c r="M125" s="237"/>
      <c r="N125" s="237"/>
      <c r="O125" s="237"/>
      <c r="P125" s="237"/>
      <c r="Q125" s="237"/>
      <c r="R125" s="237"/>
      <c r="S125" s="237"/>
      <c r="T125" s="237"/>
      <c r="U125" s="237"/>
      <c r="V125" s="237"/>
      <c r="W125" s="237"/>
      <c r="X125" s="237"/>
      <c r="Y125" s="237"/>
      <c r="Z125" s="237"/>
      <c r="AA125" s="237"/>
      <c r="AB125" s="237"/>
      <c r="AC125" s="237"/>
      <c r="AD125" s="237"/>
      <c r="AE125" s="237"/>
      <c r="AF125" s="237"/>
      <c r="AG125" s="237"/>
      <c r="AH125" s="237"/>
      <c r="AI125" s="237"/>
      <c r="AJ125" s="237"/>
      <c r="AK125" s="237"/>
      <c r="AL125" s="237"/>
      <c r="AM125" s="237"/>
      <c r="AN125" s="237"/>
      <c r="AO125" s="237"/>
    </row>
    <row r="126" spans="3:41" x14ac:dyDescent="0.25">
      <c r="C126" s="82"/>
      <c r="D126" s="293"/>
      <c r="E126" s="96" t="s">
        <v>1117</v>
      </c>
      <c r="J126" s="237"/>
      <c r="K126" s="237"/>
      <c r="L126" s="237"/>
      <c r="M126" s="237"/>
      <c r="N126" s="237"/>
      <c r="O126" s="237"/>
      <c r="P126" s="237"/>
      <c r="Q126" s="237"/>
      <c r="R126" s="237"/>
      <c r="S126" s="237"/>
      <c r="T126" s="237"/>
      <c r="U126" s="237"/>
      <c r="V126" s="237"/>
      <c r="W126" s="237"/>
      <c r="X126" s="237"/>
      <c r="Y126" s="237"/>
      <c r="Z126" s="237"/>
      <c r="AA126" s="237"/>
      <c r="AB126" s="237"/>
      <c r="AC126" s="237"/>
      <c r="AD126" s="237"/>
      <c r="AE126" s="237"/>
      <c r="AF126" s="237"/>
      <c r="AG126" s="237"/>
      <c r="AH126" s="237"/>
      <c r="AI126" s="237"/>
      <c r="AJ126" s="237"/>
      <c r="AK126" s="237"/>
      <c r="AL126" s="237"/>
      <c r="AM126" s="237"/>
      <c r="AN126" s="237"/>
      <c r="AO126" s="237"/>
    </row>
    <row r="127" spans="3:41" x14ac:dyDescent="0.25">
      <c r="C127" s="82"/>
      <c r="D127" s="293"/>
      <c r="E127" s="293"/>
      <c r="F127" s="91" t="s">
        <v>1034</v>
      </c>
      <c r="G127" s="91" t="s">
        <v>1024</v>
      </c>
      <c r="H127" s="91"/>
      <c r="I127" s="91"/>
      <c r="J127" s="498" t="b">
        <f>J115&gt;=$H$124</f>
        <v>1</v>
      </c>
      <c r="K127" s="493"/>
      <c r="L127" s="493"/>
      <c r="M127" s="498" t="b">
        <f t="shared" ref="M127:P134" si="28">M115&gt;=$H$124</f>
        <v>1</v>
      </c>
      <c r="N127" s="498" t="b">
        <f t="shared" si="28"/>
        <v>1</v>
      </c>
      <c r="O127" s="498" t="b">
        <f t="shared" si="28"/>
        <v>1</v>
      </c>
      <c r="P127" s="498" t="b">
        <f t="shared" si="28"/>
        <v>1</v>
      </c>
      <c r="Q127" s="493"/>
      <c r="R127" s="493"/>
      <c r="S127" s="498" t="b">
        <f t="shared" ref="S127:V134" si="29">S115&gt;=$H$124</f>
        <v>1</v>
      </c>
      <c r="T127" s="498" t="b">
        <f t="shared" si="29"/>
        <v>1</v>
      </c>
      <c r="U127" s="498" t="b">
        <f t="shared" si="29"/>
        <v>1</v>
      </c>
      <c r="V127" s="498" t="b">
        <f t="shared" si="29"/>
        <v>1</v>
      </c>
      <c r="W127" s="493"/>
      <c r="X127" s="498" t="b">
        <f t="shared" ref="X127:AA134" si="30">X115&gt;=$H$124</f>
        <v>1</v>
      </c>
      <c r="Y127" s="498" t="b">
        <f t="shared" si="30"/>
        <v>1</v>
      </c>
      <c r="Z127" s="498" t="b">
        <f t="shared" si="30"/>
        <v>1</v>
      </c>
      <c r="AA127" s="498" t="b">
        <f t="shared" si="30"/>
        <v>1</v>
      </c>
      <c r="AB127" s="493"/>
      <c r="AC127" s="498" t="b">
        <f t="shared" ref="AC127:AG134" si="31">AC115&gt;=$H$124</f>
        <v>1</v>
      </c>
      <c r="AD127" s="498" t="b">
        <f t="shared" si="31"/>
        <v>1</v>
      </c>
      <c r="AE127" s="498" t="b">
        <f t="shared" si="31"/>
        <v>1</v>
      </c>
      <c r="AF127" s="498" t="b">
        <f t="shared" si="31"/>
        <v>1</v>
      </c>
      <c r="AG127" s="498" t="b">
        <f t="shared" si="31"/>
        <v>1</v>
      </c>
      <c r="AH127" s="493"/>
      <c r="AI127" s="493"/>
      <c r="AJ127" s="493"/>
      <c r="AK127" s="493"/>
      <c r="AL127" s="493"/>
      <c r="AM127" s="493"/>
      <c r="AN127" s="493"/>
      <c r="AO127" s="493"/>
    </row>
    <row r="128" spans="3:41" x14ac:dyDescent="0.25">
      <c r="C128" s="82"/>
      <c r="D128" s="293"/>
      <c r="E128" s="293"/>
      <c r="F128" s="293" t="s">
        <v>1035</v>
      </c>
      <c r="G128" s="293" t="s">
        <v>1024</v>
      </c>
      <c r="J128" s="499" t="b">
        <f t="shared" ref="J128:J134" si="32">J116&gt;=$H$124</f>
        <v>1</v>
      </c>
      <c r="K128" s="495"/>
      <c r="L128" s="495"/>
      <c r="M128" s="499" t="b">
        <f t="shared" si="28"/>
        <v>1</v>
      </c>
      <c r="N128" s="499" t="b">
        <f t="shared" si="28"/>
        <v>1</v>
      </c>
      <c r="O128" s="499" t="b">
        <f t="shared" si="28"/>
        <v>1</v>
      </c>
      <c r="P128" s="499" t="b">
        <f t="shared" si="28"/>
        <v>1</v>
      </c>
      <c r="Q128" s="495"/>
      <c r="R128" s="495"/>
      <c r="S128" s="499" t="b">
        <f t="shared" si="29"/>
        <v>1</v>
      </c>
      <c r="T128" s="499" t="b">
        <f t="shared" si="29"/>
        <v>1</v>
      </c>
      <c r="U128" s="499" t="b">
        <f t="shared" si="29"/>
        <v>1</v>
      </c>
      <c r="V128" s="499" t="b">
        <f t="shared" si="29"/>
        <v>1</v>
      </c>
      <c r="W128" s="495"/>
      <c r="X128" s="499" t="b">
        <f t="shared" si="30"/>
        <v>1</v>
      </c>
      <c r="Y128" s="499" t="b">
        <f t="shared" si="30"/>
        <v>1</v>
      </c>
      <c r="Z128" s="499" t="b">
        <f t="shared" si="30"/>
        <v>1</v>
      </c>
      <c r="AA128" s="499" t="b">
        <f t="shared" si="30"/>
        <v>1</v>
      </c>
      <c r="AB128" s="495"/>
      <c r="AC128" s="499" t="b">
        <f t="shared" si="31"/>
        <v>1</v>
      </c>
      <c r="AD128" s="499" t="b">
        <f t="shared" si="31"/>
        <v>1</v>
      </c>
      <c r="AE128" s="499" t="b">
        <f t="shared" si="31"/>
        <v>1</v>
      </c>
      <c r="AF128" s="499" t="b">
        <f t="shared" si="31"/>
        <v>1</v>
      </c>
      <c r="AG128" s="499" t="b">
        <f t="shared" si="31"/>
        <v>1</v>
      </c>
      <c r="AH128" s="495"/>
      <c r="AI128" s="495"/>
      <c r="AJ128" s="495"/>
      <c r="AK128" s="495"/>
      <c r="AL128" s="495"/>
      <c r="AM128" s="495"/>
      <c r="AN128" s="495"/>
      <c r="AO128" s="495"/>
    </row>
    <row r="129" spans="3:41" x14ac:dyDescent="0.25">
      <c r="C129" s="82"/>
      <c r="D129" s="293"/>
      <c r="E129" s="293"/>
      <c r="F129" s="293" t="s">
        <v>1036</v>
      </c>
      <c r="G129" s="293" t="s">
        <v>1024</v>
      </c>
      <c r="J129" s="499" t="b">
        <f t="shared" si="32"/>
        <v>1</v>
      </c>
      <c r="K129" s="495"/>
      <c r="L129" s="495"/>
      <c r="M129" s="499" t="b">
        <f t="shared" si="28"/>
        <v>1</v>
      </c>
      <c r="N129" s="499" t="b">
        <f t="shared" si="28"/>
        <v>1</v>
      </c>
      <c r="O129" s="499" t="b">
        <f t="shared" si="28"/>
        <v>1</v>
      </c>
      <c r="P129" s="499" t="b">
        <f t="shared" si="28"/>
        <v>1</v>
      </c>
      <c r="Q129" s="495"/>
      <c r="R129" s="495"/>
      <c r="S129" s="499" t="b">
        <f t="shared" si="29"/>
        <v>1</v>
      </c>
      <c r="T129" s="499" t="b">
        <f t="shared" si="29"/>
        <v>1</v>
      </c>
      <c r="U129" s="499" t="b">
        <f t="shared" si="29"/>
        <v>1</v>
      </c>
      <c r="V129" s="499" t="b">
        <f t="shared" si="29"/>
        <v>1</v>
      </c>
      <c r="W129" s="495"/>
      <c r="X129" s="499" t="b">
        <f t="shared" si="30"/>
        <v>1</v>
      </c>
      <c r="Y129" s="499" t="b">
        <f t="shared" si="30"/>
        <v>1</v>
      </c>
      <c r="Z129" s="499" t="b">
        <f t="shared" si="30"/>
        <v>1</v>
      </c>
      <c r="AA129" s="499" t="b">
        <f t="shared" si="30"/>
        <v>1</v>
      </c>
      <c r="AB129" s="495"/>
      <c r="AC129" s="499" t="b">
        <f t="shared" si="31"/>
        <v>1</v>
      </c>
      <c r="AD129" s="499" t="b">
        <f t="shared" si="31"/>
        <v>1</v>
      </c>
      <c r="AE129" s="499" t="b">
        <f t="shared" si="31"/>
        <v>1</v>
      </c>
      <c r="AF129" s="499" t="b">
        <f t="shared" si="31"/>
        <v>1</v>
      </c>
      <c r="AG129" s="499" t="b">
        <f t="shared" si="31"/>
        <v>1</v>
      </c>
      <c r="AH129" s="495"/>
      <c r="AI129" s="495"/>
      <c r="AJ129" s="495"/>
      <c r="AK129" s="495"/>
      <c r="AL129" s="495"/>
      <c r="AM129" s="495"/>
      <c r="AN129" s="495"/>
      <c r="AO129" s="495"/>
    </row>
    <row r="130" spans="3:41" x14ac:dyDescent="0.25">
      <c r="C130" s="82"/>
      <c r="D130" s="293"/>
      <c r="E130" s="293"/>
      <c r="F130" s="293" t="s">
        <v>1037</v>
      </c>
      <c r="G130" s="293" t="s">
        <v>1024</v>
      </c>
      <c r="J130" s="499" t="b">
        <f t="shared" si="32"/>
        <v>1</v>
      </c>
      <c r="K130" s="495"/>
      <c r="L130" s="495"/>
      <c r="M130" s="499" t="b">
        <f t="shared" si="28"/>
        <v>1</v>
      </c>
      <c r="N130" s="499" t="b">
        <f t="shared" si="28"/>
        <v>1</v>
      </c>
      <c r="O130" s="499" t="b">
        <f t="shared" si="28"/>
        <v>1</v>
      </c>
      <c r="P130" s="499" t="b">
        <f t="shared" si="28"/>
        <v>1</v>
      </c>
      <c r="Q130" s="495"/>
      <c r="R130" s="495"/>
      <c r="S130" s="499" t="b">
        <f t="shared" si="29"/>
        <v>1</v>
      </c>
      <c r="T130" s="499" t="b">
        <f t="shared" si="29"/>
        <v>1</v>
      </c>
      <c r="U130" s="499" t="b">
        <f t="shared" si="29"/>
        <v>1</v>
      </c>
      <c r="V130" s="499" t="b">
        <f t="shared" si="29"/>
        <v>1</v>
      </c>
      <c r="W130" s="495"/>
      <c r="X130" s="499" t="b">
        <f t="shared" si="30"/>
        <v>1</v>
      </c>
      <c r="Y130" s="499" t="b">
        <f t="shared" si="30"/>
        <v>1</v>
      </c>
      <c r="Z130" s="499" t="b">
        <f t="shared" si="30"/>
        <v>1</v>
      </c>
      <c r="AA130" s="499" t="b">
        <f t="shared" si="30"/>
        <v>1</v>
      </c>
      <c r="AB130" s="495"/>
      <c r="AC130" s="499" t="b">
        <f t="shared" si="31"/>
        <v>1</v>
      </c>
      <c r="AD130" s="499" t="b">
        <f t="shared" si="31"/>
        <v>1</v>
      </c>
      <c r="AE130" s="499" t="b">
        <f t="shared" si="31"/>
        <v>1</v>
      </c>
      <c r="AF130" s="499" t="b">
        <f t="shared" si="31"/>
        <v>1</v>
      </c>
      <c r="AG130" s="499" t="b">
        <f t="shared" si="31"/>
        <v>1</v>
      </c>
      <c r="AH130" s="495"/>
      <c r="AI130" s="495"/>
      <c r="AJ130" s="495"/>
      <c r="AK130" s="495"/>
      <c r="AL130" s="495"/>
      <c r="AM130" s="495"/>
      <c r="AN130" s="495"/>
      <c r="AO130" s="495"/>
    </row>
    <row r="131" spans="3:41" x14ac:dyDescent="0.25">
      <c r="C131" s="82"/>
      <c r="D131" s="293"/>
      <c r="E131" s="293"/>
      <c r="F131" s="293" t="s">
        <v>1038</v>
      </c>
      <c r="G131" s="293" t="s">
        <v>1024</v>
      </c>
      <c r="J131" s="499" t="b">
        <f t="shared" si="32"/>
        <v>1</v>
      </c>
      <c r="K131" s="495"/>
      <c r="L131" s="495"/>
      <c r="M131" s="499" t="b">
        <f t="shared" si="28"/>
        <v>1</v>
      </c>
      <c r="N131" s="499" t="b">
        <f t="shared" si="28"/>
        <v>1</v>
      </c>
      <c r="O131" s="499" t="b">
        <f t="shared" si="28"/>
        <v>1</v>
      </c>
      <c r="P131" s="499" t="b">
        <f t="shared" si="28"/>
        <v>1</v>
      </c>
      <c r="Q131" s="495"/>
      <c r="R131" s="495"/>
      <c r="S131" s="499" t="b">
        <f t="shared" si="29"/>
        <v>1</v>
      </c>
      <c r="T131" s="499" t="b">
        <f t="shared" si="29"/>
        <v>1</v>
      </c>
      <c r="U131" s="499" t="b">
        <f t="shared" si="29"/>
        <v>1</v>
      </c>
      <c r="V131" s="499" t="b">
        <f t="shared" si="29"/>
        <v>1</v>
      </c>
      <c r="W131" s="495"/>
      <c r="X131" s="499" t="b">
        <f t="shared" si="30"/>
        <v>1</v>
      </c>
      <c r="Y131" s="499" t="b">
        <f t="shared" si="30"/>
        <v>1</v>
      </c>
      <c r="Z131" s="499" t="b">
        <f t="shared" si="30"/>
        <v>1</v>
      </c>
      <c r="AA131" s="499" t="b">
        <f t="shared" si="30"/>
        <v>1</v>
      </c>
      <c r="AB131" s="495"/>
      <c r="AC131" s="499" t="b">
        <f t="shared" si="31"/>
        <v>1</v>
      </c>
      <c r="AD131" s="499" t="b">
        <f t="shared" si="31"/>
        <v>1</v>
      </c>
      <c r="AE131" s="499" t="b">
        <f t="shared" si="31"/>
        <v>1</v>
      </c>
      <c r="AF131" s="499" t="b">
        <f t="shared" si="31"/>
        <v>1</v>
      </c>
      <c r="AG131" s="499" t="b">
        <f t="shared" si="31"/>
        <v>1</v>
      </c>
      <c r="AH131" s="495"/>
      <c r="AI131" s="495"/>
      <c r="AJ131" s="495"/>
      <c r="AK131" s="495"/>
      <c r="AL131" s="495"/>
      <c r="AM131" s="495"/>
      <c r="AN131" s="495"/>
      <c r="AO131" s="495"/>
    </row>
    <row r="132" spans="3:41" x14ac:dyDescent="0.25">
      <c r="C132" s="82"/>
      <c r="D132" s="293"/>
      <c r="E132" s="293"/>
      <c r="F132" s="293" t="s">
        <v>1039</v>
      </c>
      <c r="G132" s="293" t="s">
        <v>1024</v>
      </c>
      <c r="J132" s="499" t="b">
        <f t="shared" si="32"/>
        <v>1</v>
      </c>
      <c r="K132" s="495"/>
      <c r="L132" s="495"/>
      <c r="M132" s="499" t="b">
        <f t="shared" si="28"/>
        <v>1</v>
      </c>
      <c r="N132" s="499" t="b">
        <f t="shared" si="28"/>
        <v>1</v>
      </c>
      <c r="O132" s="499" t="b">
        <f t="shared" si="28"/>
        <v>1</v>
      </c>
      <c r="P132" s="499" t="b">
        <f t="shared" si="28"/>
        <v>1</v>
      </c>
      <c r="Q132" s="495"/>
      <c r="R132" s="495"/>
      <c r="S132" s="499" t="b">
        <f t="shared" si="29"/>
        <v>1</v>
      </c>
      <c r="T132" s="499" t="b">
        <f t="shared" si="29"/>
        <v>1</v>
      </c>
      <c r="U132" s="499" t="b">
        <f t="shared" si="29"/>
        <v>1</v>
      </c>
      <c r="V132" s="499" t="b">
        <f t="shared" si="29"/>
        <v>1</v>
      </c>
      <c r="W132" s="495"/>
      <c r="X132" s="499" t="b">
        <f t="shared" si="30"/>
        <v>1</v>
      </c>
      <c r="Y132" s="499" t="b">
        <f t="shared" si="30"/>
        <v>1</v>
      </c>
      <c r="Z132" s="499" t="b">
        <f t="shared" si="30"/>
        <v>1</v>
      </c>
      <c r="AA132" s="499" t="b">
        <f t="shared" si="30"/>
        <v>1</v>
      </c>
      <c r="AB132" s="495"/>
      <c r="AC132" s="499" t="b">
        <f t="shared" si="31"/>
        <v>1</v>
      </c>
      <c r="AD132" s="499" t="b">
        <f t="shared" si="31"/>
        <v>1</v>
      </c>
      <c r="AE132" s="499" t="b">
        <f t="shared" si="31"/>
        <v>1</v>
      </c>
      <c r="AF132" s="499" t="b">
        <f t="shared" si="31"/>
        <v>1</v>
      </c>
      <c r="AG132" s="499" t="b">
        <f t="shared" si="31"/>
        <v>1</v>
      </c>
      <c r="AH132" s="495"/>
      <c r="AI132" s="495"/>
      <c r="AJ132" s="495"/>
      <c r="AK132" s="495"/>
      <c r="AL132" s="495"/>
      <c r="AM132" s="495"/>
      <c r="AN132" s="495"/>
      <c r="AO132" s="495"/>
    </row>
    <row r="133" spans="3:41" x14ac:dyDescent="0.25">
      <c r="C133" s="82"/>
      <c r="D133" s="293"/>
      <c r="E133" s="293"/>
      <c r="F133" s="293" t="s">
        <v>1040</v>
      </c>
      <c r="G133" s="293" t="s">
        <v>1024</v>
      </c>
      <c r="J133" s="499" t="b">
        <f t="shared" si="32"/>
        <v>1</v>
      </c>
      <c r="K133" s="495"/>
      <c r="L133" s="495"/>
      <c r="M133" s="499" t="b">
        <f t="shared" si="28"/>
        <v>1</v>
      </c>
      <c r="N133" s="499" t="b">
        <f t="shared" si="28"/>
        <v>1</v>
      </c>
      <c r="O133" s="499" t="b">
        <f t="shared" si="28"/>
        <v>1</v>
      </c>
      <c r="P133" s="499" t="b">
        <f t="shared" si="28"/>
        <v>1</v>
      </c>
      <c r="Q133" s="495"/>
      <c r="R133" s="495"/>
      <c r="S133" s="499" t="b">
        <f t="shared" si="29"/>
        <v>1</v>
      </c>
      <c r="T133" s="499" t="b">
        <f t="shared" si="29"/>
        <v>1</v>
      </c>
      <c r="U133" s="499" t="b">
        <f t="shared" si="29"/>
        <v>1</v>
      </c>
      <c r="V133" s="499" t="b">
        <f t="shared" si="29"/>
        <v>1</v>
      </c>
      <c r="W133" s="495"/>
      <c r="X133" s="499" t="b">
        <f t="shared" si="30"/>
        <v>1</v>
      </c>
      <c r="Y133" s="499" t="b">
        <f t="shared" si="30"/>
        <v>1</v>
      </c>
      <c r="Z133" s="499" t="b">
        <f t="shared" si="30"/>
        <v>1</v>
      </c>
      <c r="AA133" s="499" t="b">
        <f t="shared" si="30"/>
        <v>1</v>
      </c>
      <c r="AB133" s="495"/>
      <c r="AC133" s="499" t="b">
        <f t="shared" si="31"/>
        <v>1</v>
      </c>
      <c r="AD133" s="499" t="b">
        <f t="shared" si="31"/>
        <v>1</v>
      </c>
      <c r="AE133" s="499" t="b">
        <f t="shared" si="31"/>
        <v>1</v>
      </c>
      <c r="AF133" s="499" t="b">
        <f t="shared" si="31"/>
        <v>1</v>
      </c>
      <c r="AG133" s="499" t="b">
        <f t="shared" si="31"/>
        <v>1</v>
      </c>
      <c r="AH133" s="495"/>
      <c r="AI133" s="495"/>
      <c r="AJ133" s="495"/>
      <c r="AK133" s="495"/>
      <c r="AL133" s="495"/>
      <c r="AM133" s="495"/>
      <c r="AN133" s="495"/>
      <c r="AO133" s="495"/>
    </row>
    <row r="134" spans="3:41" x14ac:dyDescent="0.25">
      <c r="C134" s="82"/>
      <c r="D134" s="293"/>
      <c r="E134" s="293"/>
      <c r="F134" s="93" t="s">
        <v>1041</v>
      </c>
      <c r="G134" s="93" t="s">
        <v>1024</v>
      </c>
      <c r="H134" s="93"/>
      <c r="I134" s="93"/>
      <c r="J134" s="500" t="b">
        <f t="shared" si="32"/>
        <v>1</v>
      </c>
      <c r="K134" s="497"/>
      <c r="L134" s="497"/>
      <c r="M134" s="500" t="b">
        <f t="shared" si="28"/>
        <v>1</v>
      </c>
      <c r="N134" s="500" t="b">
        <f t="shared" si="28"/>
        <v>1</v>
      </c>
      <c r="O134" s="500" t="b">
        <f t="shared" si="28"/>
        <v>1</v>
      </c>
      <c r="P134" s="500" t="b">
        <f t="shared" si="28"/>
        <v>1</v>
      </c>
      <c r="Q134" s="497"/>
      <c r="R134" s="497"/>
      <c r="S134" s="500" t="b">
        <f t="shared" si="29"/>
        <v>1</v>
      </c>
      <c r="T134" s="500" t="b">
        <f t="shared" si="29"/>
        <v>1</v>
      </c>
      <c r="U134" s="500" t="b">
        <f t="shared" si="29"/>
        <v>1</v>
      </c>
      <c r="V134" s="500" t="b">
        <f t="shared" si="29"/>
        <v>1</v>
      </c>
      <c r="W134" s="497"/>
      <c r="X134" s="500" t="b">
        <f t="shared" si="30"/>
        <v>1</v>
      </c>
      <c r="Y134" s="500" t="b">
        <f t="shared" si="30"/>
        <v>1</v>
      </c>
      <c r="Z134" s="500" t="b">
        <f t="shared" si="30"/>
        <v>1</v>
      </c>
      <c r="AA134" s="500" t="b">
        <f t="shared" si="30"/>
        <v>1</v>
      </c>
      <c r="AB134" s="497"/>
      <c r="AC134" s="500" t="b">
        <f t="shared" si="31"/>
        <v>1</v>
      </c>
      <c r="AD134" s="500" t="b">
        <f t="shared" si="31"/>
        <v>1</v>
      </c>
      <c r="AE134" s="500" t="b">
        <f t="shared" si="31"/>
        <v>1</v>
      </c>
      <c r="AF134" s="500" t="b">
        <f t="shared" si="31"/>
        <v>1</v>
      </c>
      <c r="AG134" s="500" t="b">
        <f t="shared" si="31"/>
        <v>1</v>
      </c>
      <c r="AH134" s="497"/>
      <c r="AI134" s="497"/>
      <c r="AJ134" s="497"/>
      <c r="AK134" s="497"/>
      <c r="AL134" s="497"/>
      <c r="AM134" s="497"/>
      <c r="AN134" s="497"/>
      <c r="AO134" s="497"/>
    </row>
    <row r="135" spans="3:41" x14ac:dyDescent="0.25">
      <c r="C135" s="82"/>
      <c r="D135" s="293"/>
      <c r="E135" s="293"/>
      <c r="J135" s="237"/>
      <c r="K135" s="237"/>
      <c r="L135" s="237"/>
      <c r="M135" s="499"/>
      <c r="N135" s="499"/>
      <c r="O135" s="499"/>
      <c r="P135" s="499"/>
      <c r="Q135" s="237"/>
      <c r="R135" s="237"/>
      <c r="S135" s="499"/>
      <c r="T135" s="499"/>
      <c r="U135" s="499"/>
      <c r="V135" s="499"/>
      <c r="W135" s="237"/>
      <c r="X135" s="499"/>
      <c r="Y135" s="499"/>
      <c r="Z135" s="499"/>
      <c r="AA135" s="499"/>
      <c r="AB135" s="237"/>
      <c r="AC135" s="499"/>
      <c r="AD135" s="499"/>
      <c r="AE135" s="499"/>
      <c r="AF135" s="499"/>
      <c r="AG135" s="237"/>
      <c r="AH135" s="237"/>
      <c r="AI135" s="237"/>
      <c r="AJ135" s="237"/>
      <c r="AK135" s="237"/>
      <c r="AL135" s="237"/>
      <c r="AM135" s="237"/>
      <c r="AN135" s="237"/>
      <c r="AO135" s="237"/>
    </row>
    <row r="136" spans="3:41" x14ac:dyDescent="0.25">
      <c r="C136" s="82"/>
      <c r="D136" s="293"/>
      <c r="E136" s="96" t="s">
        <v>1118</v>
      </c>
      <c r="J136" s="237"/>
      <c r="K136" s="237"/>
      <c r="L136" s="237"/>
      <c r="M136" s="237"/>
      <c r="N136" s="237"/>
      <c r="O136" s="237"/>
      <c r="P136" s="237"/>
      <c r="Q136" s="237"/>
      <c r="R136" s="237"/>
      <c r="S136" s="237"/>
      <c r="T136" s="237"/>
      <c r="U136" s="237"/>
      <c r="V136" s="237"/>
      <c r="W136" s="237"/>
      <c r="X136" s="237"/>
      <c r="Y136" s="237"/>
      <c r="Z136" s="237"/>
      <c r="AA136" s="237"/>
      <c r="AB136" s="237"/>
      <c r="AC136" s="237"/>
      <c r="AD136" s="237"/>
      <c r="AE136" s="237"/>
      <c r="AF136" s="237"/>
      <c r="AG136" s="237"/>
      <c r="AH136" s="237"/>
      <c r="AI136" s="237"/>
      <c r="AJ136" s="237"/>
      <c r="AK136" s="237"/>
      <c r="AL136" s="237"/>
      <c r="AM136" s="237"/>
      <c r="AN136" s="237"/>
      <c r="AO136" s="237"/>
    </row>
    <row r="137" spans="3:41" x14ac:dyDescent="0.25">
      <c r="C137" s="82"/>
      <c r="D137" s="293"/>
      <c r="E137" s="293"/>
      <c r="F137" s="91" t="s">
        <v>1034</v>
      </c>
      <c r="G137" s="91" t="s">
        <v>426</v>
      </c>
      <c r="H137" s="91"/>
      <c r="I137" s="91"/>
      <c r="J137" s="498">
        <f t="shared" ref="J137:J144" si="33">COUNTIFS($J127:$AO127,TRUE,$J$35:$AO$35,J$35)</f>
        <v>1</v>
      </c>
      <c r="K137" s="493"/>
      <c r="L137" s="493"/>
      <c r="M137" s="498">
        <f t="shared" ref="M137:P144" si="34">COUNTIFS($J127:$AO127,TRUE,$J$35:$AO$35,M$35)</f>
        <v>4</v>
      </c>
      <c r="N137" s="498">
        <f t="shared" si="34"/>
        <v>4</v>
      </c>
      <c r="O137" s="498">
        <f t="shared" si="34"/>
        <v>4</v>
      </c>
      <c r="P137" s="498">
        <f t="shared" si="34"/>
        <v>4</v>
      </c>
      <c r="Q137" s="493"/>
      <c r="R137" s="493"/>
      <c r="S137" s="498">
        <f t="shared" ref="S137:V144" si="35">COUNTIFS($J127:$AO127,TRUE,$J$35:$AO$35,S$35)</f>
        <v>8</v>
      </c>
      <c r="T137" s="498">
        <f t="shared" si="35"/>
        <v>8</v>
      </c>
      <c r="U137" s="498">
        <f t="shared" si="35"/>
        <v>8</v>
      </c>
      <c r="V137" s="498">
        <f t="shared" si="35"/>
        <v>8</v>
      </c>
      <c r="W137" s="493"/>
      <c r="X137" s="498">
        <f t="shared" ref="X137:AA144" si="36">COUNTIFS($J127:$AO127,TRUE,$J$35:$AO$35,X$35)</f>
        <v>8</v>
      </c>
      <c r="Y137" s="498">
        <f t="shared" si="36"/>
        <v>8</v>
      </c>
      <c r="Z137" s="498">
        <f t="shared" si="36"/>
        <v>8</v>
      </c>
      <c r="AA137" s="498">
        <f t="shared" si="36"/>
        <v>8</v>
      </c>
      <c r="AB137" s="493"/>
      <c r="AC137" s="498">
        <f t="shared" ref="AC137:AG144" si="37">COUNTIFS($J127:$AO127,TRUE,$J$35:$AO$35,AC$35)</f>
        <v>4</v>
      </c>
      <c r="AD137" s="498">
        <f t="shared" si="37"/>
        <v>4</v>
      </c>
      <c r="AE137" s="498">
        <f t="shared" si="37"/>
        <v>4</v>
      </c>
      <c r="AF137" s="498">
        <f t="shared" si="37"/>
        <v>4</v>
      </c>
      <c r="AG137" s="498">
        <f t="shared" si="37"/>
        <v>1</v>
      </c>
      <c r="AH137" s="493"/>
      <c r="AI137" s="493"/>
      <c r="AJ137" s="493"/>
      <c r="AK137" s="493"/>
      <c r="AL137" s="493"/>
      <c r="AM137" s="493"/>
      <c r="AN137" s="493"/>
      <c r="AO137" s="493"/>
    </row>
    <row r="138" spans="3:41" x14ac:dyDescent="0.25">
      <c r="C138" s="82"/>
      <c r="D138" s="293"/>
      <c r="E138" s="293"/>
      <c r="F138" s="293" t="s">
        <v>1035</v>
      </c>
      <c r="G138" s="293" t="s">
        <v>426</v>
      </c>
      <c r="J138" s="499">
        <f t="shared" si="33"/>
        <v>1</v>
      </c>
      <c r="K138" s="495"/>
      <c r="L138" s="495"/>
      <c r="M138" s="499">
        <f t="shared" si="34"/>
        <v>4</v>
      </c>
      <c r="N138" s="499">
        <f t="shared" si="34"/>
        <v>4</v>
      </c>
      <c r="O138" s="499">
        <f t="shared" si="34"/>
        <v>4</v>
      </c>
      <c r="P138" s="499">
        <f t="shared" si="34"/>
        <v>4</v>
      </c>
      <c r="Q138" s="495"/>
      <c r="R138" s="495"/>
      <c r="S138" s="499">
        <f t="shared" si="35"/>
        <v>8</v>
      </c>
      <c r="T138" s="499">
        <f t="shared" si="35"/>
        <v>8</v>
      </c>
      <c r="U138" s="499">
        <f t="shared" si="35"/>
        <v>8</v>
      </c>
      <c r="V138" s="499">
        <f t="shared" si="35"/>
        <v>8</v>
      </c>
      <c r="W138" s="495"/>
      <c r="X138" s="499">
        <f t="shared" si="36"/>
        <v>8</v>
      </c>
      <c r="Y138" s="499">
        <f t="shared" si="36"/>
        <v>8</v>
      </c>
      <c r="Z138" s="499">
        <f t="shared" si="36"/>
        <v>8</v>
      </c>
      <c r="AA138" s="499">
        <f t="shared" si="36"/>
        <v>8</v>
      </c>
      <c r="AB138" s="495"/>
      <c r="AC138" s="499">
        <f t="shared" si="37"/>
        <v>4</v>
      </c>
      <c r="AD138" s="499">
        <f t="shared" si="37"/>
        <v>4</v>
      </c>
      <c r="AE138" s="499">
        <f t="shared" si="37"/>
        <v>4</v>
      </c>
      <c r="AF138" s="499">
        <f t="shared" si="37"/>
        <v>4</v>
      </c>
      <c r="AG138" s="499">
        <f t="shared" si="37"/>
        <v>1</v>
      </c>
      <c r="AH138" s="495"/>
      <c r="AI138" s="495"/>
      <c r="AJ138" s="495"/>
      <c r="AK138" s="495"/>
      <c r="AL138" s="495"/>
      <c r="AM138" s="495"/>
      <c r="AN138" s="495"/>
      <c r="AO138" s="495"/>
    </row>
    <row r="139" spans="3:41" x14ac:dyDescent="0.25">
      <c r="C139" s="82"/>
      <c r="D139" s="293"/>
      <c r="E139" s="293"/>
      <c r="F139" s="293" t="s">
        <v>1036</v>
      </c>
      <c r="G139" s="293" t="s">
        <v>426</v>
      </c>
      <c r="J139" s="499">
        <f t="shared" si="33"/>
        <v>1</v>
      </c>
      <c r="K139" s="495"/>
      <c r="L139" s="495"/>
      <c r="M139" s="499">
        <f t="shared" si="34"/>
        <v>4</v>
      </c>
      <c r="N139" s="499">
        <f t="shared" si="34"/>
        <v>4</v>
      </c>
      <c r="O139" s="499">
        <f t="shared" si="34"/>
        <v>4</v>
      </c>
      <c r="P139" s="499">
        <f t="shared" si="34"/>
        <v>4</v>
      </c>
      <c r="Q139" s="495"/>
      <c r="R139" s="495"/>
      <c r="S139" s="499">
        <f t="shared" si="35"/>
        <v>8</v>
      </c>
      <c r="T139" s="499">
        <f t="shared" si="35"/>
        <v>8</v>
      </c>
      <c r="U139" s="499">
        <f t="shared" si="35"/>
        <v>8</v>
      </c>
      <c r="V139" s="499">
        <f t="shared" si="35"/>
        <v>8</v>
      </c>
      <c r="W139" s="495"/>
      <c r="X139" s="499">
        <f t="shared" si="36"/>
        <v>8</v>
      </c>
      <c r="Y139" s="499">
        <f t="shared" si="36"/>
        <v>8</v>
      </c>
      <c r="Z139" s="499">
        <f t="shared" si="36"/>
        <v>8</v>
      </c>
      <c r="AA139" s="499">
        <f t="shared" si="36"/>
        <v>8</v>
      </c>
      <c r="AB139" s="495"/>
      <c r="AC139" s="499">
        <f t="shared" si="37"/>
        <v>4</v>
      </c>
      <c r="AD139" s="499">
        <f t="shared" si="37"/>
        <v>4</v>
      </c>
      <c r="AE139" s="499">
        <f t="shared" si="37"/>
        <v>4</v>
      </c>
      <c r="AF139" s="499">
        <f t="shared" si="37"/>
        <v>4</v>
      </c>
      <c r="AG139" s="499">
        <f t="shared" si="37"/>
        <v>1</v>
      </c>
      <c r="AH139" s="495"/>
      <c r="AI139" s="495"/>
      <c r="AJ139" s="495"/>
      <c r="AK139" s="495"/>
      <c r="AL139" s="495"/>
      <c r="AM139" s="495"/>
      <c r="AN139" s="495"/>
      <c r="AO139" s="495"/>
    </row>
    <row r="140" spans="3:41" x14ac:dyDescent="0.25">
      <c r="C140" s="82"/>
      <c r="D140" s="293"/>
      <c r="E140" s="293"/>
      <c r="F140" s="293" t="s">
        <v>1037</v>
      </c>
      <c r="G140" s="293" t="s">
        <v>426</v>
      </c>
      <c r="J140" s="499">
        <f t="shared" si="33"/>
        <v>1</v>
      </c>
      <c r="K140" s="495"/>
      <c r="L140" s="495"/>
      <c r="M140" s="499">
        <f t="shared" si="34"/>
        <v>4</v>
      </c>
      <c r="N140" s="499">
        <f t="shared" si="34"/>
        <v>4</v>
      </c>
      <c r="O140" s="499">
        <f t="shared" si="34"/>
        <v>4</v>
      </c>
      <c r="P140" s="499">
        <f t="shared" si="34"/>
        <v>4</v>
      </c>
      <c r="Q140" s="495"/>
      <c r="R140" s="495"/>
      <c r="S140" s="499">
        <f t="shared" si="35"/>
        <v>8</v>
      </c>
      <c r="T140" s="499">
        <f t="shared" si="35"/>
        <v>8</v>
      </c>
      <c r="U140" s="499">
        <f t="shared" si="35"/>
        <v>8</v>
      </c>
      <c r="V140" s="499">
        <f t="shared" si="35"/>
        <v>8</v>
      </c>
      <c r="W140" s="495"/>
      <c r="X140" s="499">
        <f t="shared" si="36"/>
        <v>8</v>
      </c>
      <c r="Y140" s="499">
        <f t="shared" si="36"/>
        <v>8</v>
      </c>
      <c r="Z140" s="499">
        <f t="shared" si="36"/>
        <v>8</v>
      </c>
      <c r="AA140" s="499">
        <f t="shared" si="36"/>
        <v>8</v>
      </c>
      <c r="AB140" s="495"/>
      <c r="AC140" s="499">
        <f t="shared" si="37"/>
        <v>4</v>
      </c>
      <c r="AD140" s="499">
        <f t="shared" si="37"/>
        <v>4</v>
      </c>
      <c r="AE140" s="499">
        <f t="shared" si="37"/>
        <v>4</v>
      </c>
      <c r="AF140" s="499">
        <f t="shared" si="37"/>
        <v>4</v>
      </c>
      <c r="AG140" s="499">
        <f t="shared" si="37"/>
        <v>1</v>
      </c>
      <c r="AH140" s="495"/>
      <c r="AI140" s="495"/>
      <c r="AJ140" s="495"/>
      <c r="AK140" s="495"/>
      <c r="AL140" s="495"/>
      <c r="AM140" s="495"/>
      <c r="AN140" s="495"/>
      <c r="AO140" s="495"/>
    </row>
    <row r="141" spans="3:41" x14ac:dyDescent="0.25">
      <c r="C141" s="82"/>
      <c r="D141" s="293"/>
      <c r="E141" s="293"/>
      <c r="F141" s="293" t="s">
        <v>1038</v>
      </c>
      <c r="G141" s="293" t="s">
        <v>426</v>
      </c>
      <c r="J141" s="499">
        <f t="shared" si="33"/>
        <v>1</v>
      </c>
      <c r="K141" s="495"/>
      <c r="L141" s="495"/>
      <c r="M141" s="499">
        <f t="shared" si="34"/>
        <v>4</v>
      </c>
      <c r="N141" s="499">
        <f t="shared" si="34"/>
        <v>4</v>
      </c>
      <c r="O141" s="499">
        <f t="shared" si="34"/>
        <v>4</v>
      </c>
      <c r="P141" s="499">
        <f t="shared" si="34"/>
        <v>4</v>
      </c>
      <c r="Q141" s="495"/>
      <c r="R141" s="495"/>
      <c r="S141" s="499">
        <f t="shared" si="35"/>
        <v>8</v>
      </c>
      <c r="T141" s="499">
        <f t="shared" si="35"/>
        <v>8</v>
      </c>
      <c r="U141" s="499">
        <f t="shared" si="35"/>
        <v>8</v>
      </c>
      <c r="V141" s="499">
        <f t="shared" si="35"/>
        <v>8</v>
      </c>
      <c r="W141" s="495"/>
      <c r="X141" s="499">
        <f t="shared" si="36"/>
        <v>8</v>
      </c>
      <c r="Y141" s="499">
        <f t="shared" si="36"/>
        <v>8</v>
      </c>
      <c r="Z141" s="499">
        <f t="shared" si="36"/>
        <v>8</v>
      </c>
      <c r="AA141" s="499">
        <f t="shared" si="36"/>
        <v>8</v>
      </c>
      <c r="AB141" s="495"/>
      <c r="AC141" s="499">
        <f t="shared" si="37"/>
        <v>4</v>
      </c>
      <c r="AD141" s="499">
        <f t="shared" si="37"/>
        <v>4</v>
      </c>
      <c r="AE141" s="499">
        <f t="shared" si="37"/>
        <v>4</v>
      </c>
      <c r="AF141" s="499">
        <f t="shared" si="37"/>
        <v>4</v>
      </c>
      <c r="AG141" s="499">
        <f t="shared" si="37"/>
        <v>1</v>
      </c>
      <c r="AH141" s="495"/>
      <c r="AI141" s="495"/>
      <c r="AJ141" s="495"/>
      <c r="AK141" s="495"/>
      <c r="AL141" s="495"/>
      <c r="AM141" s="495"/>
      <c r="AN141" s="495"/>
      <c r="AO141" s="495"/>
    </row>
    <row r="142" spans="3:41" x14ac:dyDescent="0.25">
      <c r="C142" s="82"/>
      <c r="D142" s="293"/>
      <c r="E142" s="293"/>
      <c r="F142" s="293" t="s">
        <v>1039</v>
      </c>
      <c r="G142" s="293" t="s">
        <v>426</v>
      </c>
      <c r="J142" s="499">
        <f t="shared" si="33"/>
        <v>1</v>
      </c>
      <c r="K142" s="495"/>
      <c r="L142" s="495"/>
      <c r="M142" s="499">
        <f t="shared" si="34"/>
        <v>4</v>
      </c>
      <c r="N142" s="499">
        <f t="shared" si="34"/>
        <v>4</v>
      </c>
      <c r="O142" s="499">
        <f t="shared" si="34"/>
        <v>4</v>
      </c>
      <c r="P142" s="499">
        <f t="shared" si="34"/>
        <v>4</v>
      </c>
      <c r="Q142" s="495"/>
      <c r="R142" s="495"/>
      <c r="S142" s="499">
        <f t="shared" si="35"/>
        <v>8</v>
      </c>
      <c r="T142" s="499">
        <f t="shared" si="35"/>
        <v>8</v>
      </c>
      <c r="U142" s="499">
        <f t="shared" si="35"/>
        <v>8</v>
      </c>
      <c r="V142" s="499">
        <f t="shared" si="35"/>
        <v>8</v>
      </c>
      <c r="W142" s="495"/>
      <c r="X142" s="499">
        <f t="shared" si="36"/>
        <v>8</v>
      </c>
      <c r="Y142" s="499">
        <f t="shared" si="36"/>
        <v>8</v>
      </c>
      <c r="Z142" s="499">
        <f t="shared" si="36"/>
        <v>8</v>
      </c>
      <c r="AA142" s="499">
        <f t="shared" si="36"/>
        <v>8</v>
      </c>
      <c r="AB142" s="495"/>
      <c r="AC142" s="499">
        <f t="shared" si="37"/>
        <v>4</v>
      </c>
      <c r="AD142" s="499">
        <f t="shared" si="37"/>
        <v>4</v>
      </c>
      <c r="AE142" s="499">
        <f t="shared" si="37"/>
        <v>4</v>
      </c>
      <c r="AF142" s="499">
        <f t="shared" si="37"/>
        <v>4</v>
      </c>
      <c r="AG142" s="499">
        <f t="shared" si="37"/>
        <v>1</v>
      </c>
      <c r="AH142" s="495"/>
      <c r="AI142" s="495"/>
      <c r="AJ142" s="495"/>
      <c r="AK142" s="495"/>
      <c r="AL142" s="495"/>
      <c r="AM142" s="495"/>
      <c r="AN142" s="495"/>
      <c r="AO142" s="495"/>
    </row>
    <row r="143" spans="3:41" x14ac:dyDescent="0.25">
      <c r="C143" s="82"/>
      <c r="D143" s="293"/>
      <c r="E143" s="293"/>
      <c r="F143" s="293" t="s">
        <v>1040</v>
      </c>
      <c r="G143" s="293" t="s">
        <v>426</v>
      </c>
      <c r="J143" s="499">
        <f t="shared" si="33"/>
        <v>1</v>
      </c>
      <c r="K143" s="495"/>
      <c r="L143" s="495"/>
      <c r="M143" s="499">
        <f t="shared" si="34"/>
        <v>4</v>
      </c>
      <c r="N143" s="499">
        <f t="shared" si="34"/>
        <v>4</v>
      </c>
      <c r="O143" s="499">
        <f t="shared" si="34"/>
        <v>4</v>
      </c>
      <c r="P143" s="499">
        <f t="shared" si="34"/>
        <v>4</v>
      </c>
      <c r="Q143" s="495"/>
      <c r="R143" s="495"/>
      <c r="S143" s="499">
        <f t="shared" si="35"/>
        <v>8</v>
      </c>
      <c r="T143" s="499">
        <f t="shared" si="35"/>
        <v>8</v>
      </c>
      <c r="U143" s="499">
        <f t="shared" si="35"/>
        <v>8</v>
      </c>
      <c r="V143" s="499">
        <f t="shared" si="35"/>
        <v>8</v>
      </c>
      <c r="W143" s="495"/>
      <c r="X143" s="499">
        <f t="shared" si="36"/>
        <v>8</v>
      </c>
      <c r="Y143" s="499">
        <f t="shared" si="36"/>
        <v>8</v>
      </c>
      <c r="Z143" s="499">
        <f t="shared" si="36"/>
        <v>8</v>
      </c>
      <c r="AA143" s="499">
        <f t="shared" si="36"/>
        <v>8</v>
      </c>
      <c r="AB143" s="495"/>
      <c r="AC143" s="499">
        <f t="shared" si="37"/>
        <v>4</v>
      </c>
      <c r="AD143" s="499">
        <f t="shared" si="37"/>
        <v>4</v>
      </c>
      <c r="AE143" s="499">
        <f t="shared" si="37"/>
        <v>4</v>
      </c>
      <c r="AF143" s="499">
        <f t="shared" si="37"/>
        <v>4</v>
      </c>
      <c r="AG143" s="499">
        <f t="shared" si="37"/>
        <v>1</v>
      </c>
      <c r="AH143" s="495"/>
      <c r="AI143" s="495"/>
      <c r="AJ143" s="495"/>
      <c r="AK143" s="495"/>
      <c r="AL143" s="495"/>
      <c r="AM143" s="495"/>
      <c r="AN143" s="495"/>
      <c r="AO143" s="495"/>
    </row>
    <row r="144" spans="3:41" x14ac:dyDescent="0.25">
      <c r="C144" s="82"/>
      <c r="D144" s="293"/>
      <c r="E144" s="293"/>
      <c r="F144" s="93" t="s">
        <v>1041</v>
      </c>
      <c r="G144" s="93" t="s">
        <v>426</v>
      </c>
      <c r="H144" s="93"/>
      <c r="I144" s="93"/>
      <c r="J144" s="500">
        <f t="shared" si="33"/>
        <v>1</v>
      </c>
      <c r="K144" s="497"/>
      <c r="L144" s="497"/>
      <c r="M144" s="500">
        <f t="shared" si="34"/>
        <v>4</v>
      </c>
      <c r="N144" s="500">
        <f t="shared" si="34"/>
        <v>4</v>
      </c>
      <c r="O144" s="500">
        <f t="shared" si="34"/>
        <v>4</v>
      </c>
      <c r="P144" s="500">
        <f t="shared" si="34"/>
        <v>4</v>
      </c>
      <c r="Q144" s="497"/>
      <c r="R144" s="497"/>
      <c r="S144" s="500">
        <f t="shared" si="35"/>
        <v>8</v>
      </c>
      <c r="T144" s="500">
        <f t="shared" si="35"/>
        <v>8</v>
      </c>
      <c r="U144" s="500">
        <f t="shared" si="35"/>
        <v>8</v>
      </c>
      <c r="V144" s="500">
        <f t="shared" si="35"/>
        <v>8</v>
      </c>
      <c r="W144" s="497"/>
      <c r="X144" s="500">
        <f t="shared" si="36"/>
        <v>8</v>
      </c>
      <c r="Y144" s="500">
        <f t="shared" si="36"/>
        <v>8</v>
      </c>
      <c r="Z144" s="500">
        <f t="shared" si="36"/>
        <v>8</v>
      </c>
      <c r="AA144" s="500">
        <f t="shared" si="36"/>
        <v>8</v>
      </c>
      <c r="AB144" s="497"/>
      <c r="AC144" s="500">
        <f t="shared" si="37"/>
        <v>4</v>
      </c>
      <c r="AD144" s="500">
        <f t="shared" si="37"/>
        <v>4</v>
      </c>
      <c r="AE144" s="500">
        <f t="shared" si="37"/>
        <v>4</v>
      </c>
      <c r="AF144" s="500">
        <f t="shared" si="37"/>
        <v>4</v>
      </c>
      <c r="AG144" s="500">
        <f t="shared" si="37"/>
        <v>1</v>
      </c>
      <c r="AH144" s="497"/>
      <c r="AI144" s="497"/>
      <c r="AJ144" s="497"/>
      <c r="AK144" s="497"/>
      <c r="AL144" s="497"/>
      <c r="AM144" s="497"/>
      <c r="AN144" s="497"/>
      <c r="AO144" s="497"/>
    </row>
    <row r="145" spans="3:41" x14ac:dyDescent="0.25">
      <c r="C145" s="82"/>
      <c r="D145" s="293"/>
      <c r="E145" s="293"/>
      <c r="J145" s="237"/>
      <c r="K145" s="237"/>
      <c r="L145" s="237"/>
      <c r="M145" s="499"/>
      <c r="N145" s="237"/>
      <c r="O145" s="237"/>
      <c r="P145" s="237"/>
      <c r="Q145" s="237"/>
      <c r="R145" s="237"/>
      <c r="S145" s="499"/>
      <c r="T145" s="237"/>
      <c r="U145" s="237"/>
      <c r="V145" s="237"/>
      <c r="W145" s="237"/>
      <c r="X145" s="499"/>
      <c r="Y145" s="237"/>
      <c r="Z145" s="237"/>
      <c r="AA145" s="237"/>
      <c r="AB145" s="237"/>
      <c r="AC145" s="499"/>
      <c r="AD145" s="237"/>
      <c r="AE145" s="237"/>
      <c r="AF145" s="237"/>
      <c r="AG145" s="237"/>
      <c r="AH145" s="237"/>
      <c r="AI145" s="237"/>
      <c r="AJ145" s="237"/>
      <c r="AK145" s="237"/>
      <c r="AL145" s="237"/>
      <c r="AM145" s="237"/>
      <c r="AN145" s="237"/>
      <c r="AO145" s="237"/>
    </row>
    <row r="146" spans="3:41" x14ac:dyDescent="0.25">
      <c r="C146" s="82"/>
      <c r="D146" s="293"/>
      <c r="E146" s="293" t="s">
        <v>1119</v>
      </c>
      <c r="J146" s="499">
        <f>MAX(J137:J144)</f>
        <v>1</v>
      </c>
      <c r="K146" s="495"/>
      <c r="L146" s="495"/>
      <c r="M146" s="499">
        <f t="shared" ref="M146:P146" si="38">MAX(M137:M144)</f>
        <v>4</v>
      </c>
      <c r="N146" s="499">
        <f t="shared" si="38"/>
        <v>4</v>
      </c>
      <c r="O146" s="499">
        <f t="shared" si="38"/>
        <v>4</v>
      </c>
      <c r="P146" s="499">
        <f t="shared" si="38"/>
        <v>4</v>
      </c>
      <c r="Q146" s="495"/>
      <c r="R146" s="495"/>
      <c r="S146" s="499">
        <f t="shared" ref="S146:V146" si="39">MAX(S137:S144)</f>
        <v>8</v>
      </c>
      <c r="T146" s="499">
        <f t="shared" si="39"/>
        <v>8</v>
      </c>
      <c r="U146" s="499">
        <f t="shared" si="39"/>
        <v>8</v>
      </c>
      <c r="V146" s="499">
        <f t="shared" si="39"/>
        <v>8</v>
      </c>
      <c r="W146" s="495"/>
      <c r="X146" s="499">
        <f t="shared" ref="X146:AA146" si="40">MAX(X137:X144)</f>
        <v>8</v>
      </c>
      <c r="Y146" s="499">
        <f t="shared" si="40"/>
        <v>8</v>
      </c>
      <c r="Z146" s="499">
        <f t="shared" si="40"/>
        <v>8</v>
      </c>
      <c r="AA146" s="499">
        <f t="shared" si="40"/>
        <v>8</v>
      </c>
      <c r="AB146" s="495"/>
      <c r="AC146" s="499">
        <f t="shared" ref="AC146:AG146" si="41">MAX(AC137:AC144)</f>
        <v>4</v>
      </c>
      <c r="AD146" s="499">
        <f t="shared" si="41"/>
        <v>4</v>
      </c>
      <c r="AE146" s="499">
        <f t="shared" si="41"/>
        <v>4</v>
      </c>
      <c r="AF146" s="499">
        <f t="shared" si="41"/>
        <v>4</v>
      </c>
      <c r="AG146" s="499">
        <f t="shared" si="41"/>
        <v>1</v>
      </c>
      <c r="AH146" s="495"/>
      <c r="AI146" s="495"/>
      <c r="AJ146" s="495"/>
      <c r="AK146" s="495"/>
      <c r="AL146" s="495"/>
      <c r="AM146" s="495"/>
      <c r="AN146" s="495"/>
      <c r="AO146" s="495"/>
    </row>
    <row r="147" spans="3:41" x14ac:dyDescent="0.25">
      <c r="C147" s="82"/>
      <c r="D147" s="293"/>
      <c r="E147" s="293"/>
      <c r="J147" s="237"/>
      <c r="K147" s="237"/>
      <c r="L147" s="237"/>
      <c r="M147" s="499"/>
      <c r="N147" s="237"/>
      <c r="O147" s="237"/>
      <c r="P147" s="237"/>
      <c r="Q147" s="237"/>
      <c r="R147" s="237"/>
      <c r="S147" s="499"/>
      <c r="T147" s="237"/>
      <c r="U147" s="237"/>
      <c r="V147" s="237"/>
      <c r="W147" s="237"/>
      <c r="X147" s="499"/>
      <c r="Y147" s="237"/>
      <c r="Z147" s="237"/>
      <c r="AA147" s="237"/>
      <c r="AB147" s="237"/>
      <c r="AC147" s="499"/>
      <c r="AD147" s="237"/>
      <c r="AE147" s="237"/>
      <c r="AF147" s="237"/>
      <c r="AG147" s="237"/>
      <c r="AH147" s="237"/>
      <c r="AI147" s="237"/>
      <c r="AJ147" s="237"/>
      <c r="AK147" s="237"/>
      <c r="AL147" s="237"/>
      <c r="AM147" s="237"/>
      <c r="AN147" s="237"/>
      <c r="AO147" s="237"/>
    </row>
    <row r="148" spans="3:41" x14ac:dyDescent="0.25">
      <c r="C148" s="82"/>
      <c r="D148" s="293"/>
      <c r="E148" s="293" t="s">
        <v>1120</v>
      </c>
      <c r="G148" s="293" t="s">
        <v>426</v>
      </c>
      <c r="J148" s="499">
        <f t="array" ref="J148">MATCH(TRUE, J137:J144=J146, 0)</f>
        <v>1</v>
      </c>
      <c r="K148" s="499">
        <f t="array" ref="K148">MATCH(TRUE, K137:K144=K146, 0)</f>
        <v>1</v>
      </c>
      <c r="L148" s="499">
        <f t="array" ref="L148">MATCH(TRUE, L137:L144=L146, 0)</f>
        <v>1</v>
      </c>
      <c r="M148" s="499">
        <f t="array" ref="M148">MATCH(TRUE, M137:M144=M146, 0)</f>
        <v>1</v>
      </c>
      <c r="N148" s="499">
        <f t="array" ref="N148">MATCH(TRUE, N137:N144=N146, 0)</f>
        <v>1</v>
      </c>
      <c r="O148" s="499">
        <f t="array" ref="O148">MATCH(TRUE, O137:O144=O146, 0)</f>
        <v>1</v>
      </c>
      <c r="P148" s="499">
        <f t="array" ref="P148">MATCH(TRUE, P137:P144=P146, 0)</f>
        <v>1</v>
      </c>
      <c r="Q148" s="499">
        <f t="array" ref="Q148">MATCH(TRUE, Q137:Q144=Q146, 0)</f>
        <v>1</v>
      </c>
      <c r="R148" s="499">
        <f t="array" ref="R148">MATCH(TRUE, R137:R144=R146, 0)</f>
        <v>1</v>
      </c>
      <c r="S148" s="499">
        <f t="array" ref="S148">MATCH(TRUE, S137:S144=S146, 0)</f>
        <v>1</v>
      </c>
      <c r="T148" s="499">
        <f t="array" ref="T148">MATCH(TRUE, T137:T144=T146, 0)</f>
        <v>1</v>
      </c>
      <c r="U148" s="499">
        <f t="array" ref="U148">MATCH(TRUE, U137:U144=U146, 0)</f>
        <v>1</v>
      </c>
      <c r="V148" s="499">
        <f t="array" ref="V148">MATCH(TRUE, V137:V144=V146, 0)</f>
        <v>1</v>
      </c>
      <c r="W148" s="499">
        <f t="array" ref="W148">MATCH(TRUE, W137:W144=W146, 0)</f>
        <v>1</v>
      </c>
      <c r="X148" s="499">
        <f t="array" ref="X148">MATCH(TRUE, X137:X144=X146, 0)</f>
        <v>1</v>
      </c>
      <c r="Y148" s="499">
        <f t="array" ref="Y148">MATCH(TRUE, Y137:Y144=Y146, 0)</f>
        <v>1</v>
      </c>
      <c r="Z148" s="499">
        <f t="array" ref="Z148">MATCH(TRUE, Z137:Z144=Z146, 0)</f>
        <v>1</v>
      </c>
      <c r="AA148" s="499">
        <f t="array" ref="AA148">MATCH(TRUE, AA137:AA144=AA146, 0)</f>
        <v>1</v>
      </c>
      <c r="AB148" s="499">
        <f t="array" ref="AB148">MATCH(TRUE, AB137:AB144=AB146, 0)</f>
        <v>1</v>
      </c>
      <c r="AC148" s="499">
        <f t="array" ref="AC148">MATCH(TRUE, AC137:AC144=AC146, 0)</f>
        <v>1</v>
      </c>
      <c r="AD148" s="499">
        <f t="array" ref="AD148">MATCH(TRUE, AD137:AD144=AD146, 0)</f>
        <v>1</v>
      </c>
      <c r="AE148" s="499">
        <f t="array" ref="AE148">MATCH(TRUE, AE137:AE144=AE146, 0)</f>
        <v>1</v>
      </c>
      <c r="AF148" s="499">
        <f t="array" ref="AF148">MATCH(TRUE, AF137:AF144=AF146, 0)</f>
        <v>1</v>
      </c>
      <c r="AG148" s="499">
        <f t="array" ref="AG148">MATCH(TRUE, AG137:AG144=AG146, 0)</f>
        <v>1</v>
      </c>
      <c r="AH148" s="499">
        <f t="array" ref="AH148">MATCH(TRUE, AH137:AH144=AH146, 0)</f>
        <v>1</v>
      </c>
      <c r="AI148" s="499">
        <f t="array" ref="AI148">MATCH(TRUE, AI137:AI144=AI146, 0)</f>
        <v>1</v>
      </c>
      <c r="AJ148" s="499">
        <f t="array" ref="AJ148">MATCH(TRUE, AJ137:AJ144=AJ146, 0)</f>
        <v>1</v>
      </c>
      <c r="AK148" s="499">
        <f t="array" ref="AK148">MATCH(TRUE, AK137:AK144=AK146, 0)</f>
        <v>1</v>
      </c>
      <c r="AL148" s="499">
        <f t="array" ref="AL148">MATCH(TRUE, AL137:AL144=AL146, 0)</f>
        <v>1</v>
      </c>
      <c r="AM148" s="499">
        <f t="array" ref="AM148">MATCH(TRUE, AM137:AM144=AM146, 0)</f>
        <v>1</v>
      </c>
      <c r="AN148" s="499">
        <f t="array" ref="AN148">MATCH(TRUE, AN137:AN144=AN146, 0)</f>
        <v>1</v>
      </c>
      <c r="AO148" s="499">
        <f t="array" ref="AO148">MATCH(TRUE, AO137:AO144=AO146, 0)</f>
        <v>1</v>
      </c>
    </row>
    <row r="149" spans="3:41" x14ac:dyDescent="0.25">
      <c r="C149" s="82"/>
      <c r="J149" s="111"/>
      <c r="K149" s="111"/>
      <c r="L149" s="111"/>
      <c r="M149" s="111"/>
      <c r="N149" s="111"/>
      <c r="O149" s="111"/>
      <c r="P149" s="111"/>
      <c r="Q149" s="111"/>
      <c r="R149" s="111"/>
      <c r="S149" s="111"/>
      <c r="T149" s="111"/>
      <c r="U149" s="111"/>
      <c r="V149" s="111"/>
      <c r="W149" s="111"/>
      <c r="X149" s="111"/>
      <c r="Y149" s="111"/>
      <c r="Z149" s="111"/>
      <c r="AA149" s="111"/>
      <c r="AB149" s="111"/>
      <c r="AC149" s="111"/>
      <c r="AD149" s="111"/>
      <c r="AE149" s="111"/>
      <c r="AF149" s="111"/>
      <c r="AG149" s="111"/>
      <c r="AH149" s="111"/>
      <c r="AI149" s="111"/>
      <c r="AJ149" s="111"/>
      <c r="AK149" s="111"/>
      <c r="AL149" s="111"/>
      <c r="AM149" s="111"/>
      <c r="AN149" s="111"/>
      <c r="AO149" s="111"/>
    </row>
    <row r="150" spans="3:41" x14ac:dyDescent="0.25">
      <c r="C150" s="82"/>
      <c r="E150" s="293" t="s">
        <v>1121</v>
      </c>
      <c r="G150" s="293" t="s">
        <v>426</v>
      </c>
      <c r="J150" s="501">
        <f>INDEX(J105:J112,J$148)</f>
        <v>1</v>
      </c>
      <c r="K150" s="501">
        <f t="shared" ref="K150:AO150" si="42">INDEX(K105:K112,K$148)</f>
        <v>0</v>
      </c>
      <c r="L150" s="501">
        <f t="shared" si="42"/>
        <v>0</v>
      </c>
      <c r="M150" s="501">
        <f t="shared" si="42"/>
        <v>5</v>
      </c>
      <c r="N150" s="501">
        <f t="shared" si="42"/>
        <v>6</v>
      </c>
      <c r="O150" s="501">
        <f t="shared" si="42"/>
        <v>7</v>
      </c>
      <c r="P150" s="501">
        <f t="shared" si="42"/>
        <v>8</v>
      </c>
      <c r="Q150" s="501">
        <f t="shared" si="42"/>
        <v>0</v>
      </c>
      <c r="R150" s="501">
        <f t="shared" si="42"/>
        <v>0</v>
      </c>
      <c r="S150" s="501">
        <f t="shared" si="42"/>
        <v>9</v>
      </c>
      <c r="T150" s="501">
        <f t="shared" si="42"/>
        <v>10</v>
      </c>
      <c r="U150" s="501">
        <f t="shared" si="42"/>
        <v>11</v>
      </c>
      <c r="V150" s="501">
        <f t="shared" si="42"/>
        <v>12</v>
      </c>
      <c r="W150" s="501">
        <f t="shared" si="42"/>
        <v>0</v>
      </c>
      <c r="X150" s="501">
        <f t="shared" si="42"/>
        <v>9</v>
      </c>
      <c r="Y150" s="501">
        <f t="shared" si="42"/>
        <v>10</v>
      </c>
      <c r="Z150" s="501">
        <f t="shared" si="42"/>
        <v>11</v>
      </c>
      <c r="AA150" s="501">
        <f t="shared" si="42"/>
        <v>12</v>
      </c>
      <c r="AB150" s="501">
        <f t="shared" si="42"/>
        <v>0</v>
      </c>
      <c r="AC150" s="501">
        <f t="shared" si="42"/>
        <v>13</v>
      </c>
      <c r="AD150" s="501">
        <f t="shared" si="42"/>
        <v>14</v>
      </c>
      <c r="AE150" s="501">
        <f t="shared" si="42"/>
        <v>15</v>
      </c>
      <c r="AF150" s="501">
        <f t="shared" si="42"/>
        <v>16</v>
      </c>
      <c r="AG150" s="501">
        <f t="shared" si="42"/>
        <v>17</v>
      </c>
      <c r="AH150" s="501">
        <f t="shared" si="42"/>
        <v>0</v>
      </c>
      <c r="AI150" s="501">
        <f t="shared" si="42"/>
        <v>0</v>
      </c>
      <c r="AJ150" s="501">
        <f t="shared" si="42"/>
        <v>0</v>
      </c>
      <c r="AK150" s="501">
        <f t="shared" si="42"/>
        <v>0</v>
      </c>
      <c r="AL150" s="501">
        <f t="shared" si="42"/>
        <v>0</v>
      </c>
      <c r="AM150" s="501">
        <f t="shared" si="42"/>
        <v>0</v>
      </c>
      <c r="AN150" s="501">
        <f t="shared" si="42"/>
        <v>0</v>
      </c>
      <c r="AO150" s="501">
        <f t="shared" si="42"/>
        <v>0</v>
      </c>
    </row>
    <row r="151" spans="3:41" x14ac:dyDescent="0.25">
      <c r="C151" s="82"/>
      <c r="J151" s="111"/>
      <c r="K151" s="111"/>
      <c r="L151" s="111"/>
      <c r="M151" s="111"/>
      <c r="N151" s="111"/>
      <c r="O151" s="111"/>
      <c r="P151" s="111"/>
      <c r="Q151" s="111"/>
      <c r="R151" s="111"/>
      <c r="S151" s="111"/>
      <c r="T151" s="111"/>
      <c r="U151" s="111"/>
      <c r="V151" s="111"/>
      <c r="W151" s="111"/>
      <c r="X151" s="111"/>
      <c r="Y151" s="111"/>
      <c r="Z151" s="111"/>
      <c r="AA151" s="111"/>
      <c r="AB151" s="111"/>
      <c r="AC151" s="111"/>
      <c r="AD151" s="111"/>
      <c r="AE151" s="111"/>
      <c r="AF151" s="111"/>
      <c r="AG151" s="111"/>
      <c r="AH151" s="111"/>
      <c r="AI151" s="111"/>
      <c r="AJ151" s="111"/>
      <c r="AK151" s="111"/>
      <c r="AL151" s="111"/>
      <c r="AM151" s="111"/>
      <c r="AN151" s="111"/>
      <c r="AO151" s="111"/>
    </row>
    <row r="152" spans="3:41" x14ac:dyDescent="0.25">
      <c r="C152" s="7" t="str">
        <f ca="1">INDEX('Version control'!$H$35:$H$61,MATCH($A$1,'Version control'!$F$35:$F$61,0),1)&amp;"-D: Calculating MPANs for matching"</f>
        <v>Section 519-D: Calculating MPANs for matching</v>
      </c>
      <c r="D152" s="7"/>
      <c r="E152" s="7"/>
      <c r="F152" s="7"/>
      <c r="G152" s="7"/>
      <c r="H152" s="7"/>
      <c r="I152" s="7"/>
      <c r="J152" s="171"/>
      <c r="K152" s="171"/>
      <c r="L152" s="171"/>
      <c r="M152" s="171"/>
      <c r="N152" s="171"/>
      <c r="O152" s="171"/>
      <c r="P152" s="171"/>
      <c r="Q152" s="171"/>
      <c r="R152" s="171"/>
      <c r="S152" s="171"/>
      <c r="T152" s="171"/>
      <c r="U152" s="171"/>
      <c r="V152" s="171"/>
      <c r="W152" s="171"/>
      <c r="X152" s="171"/>
      <c r="Y152" s="171"/>
      <c r="Z152" s="171"/>
      <c r="AA152" s="171"/>
      <c r="AB152" s="171"/>
      <c r="AC152" s="171"/>
      <c r="AD152" s="171"/>
      <c r="AE152" s="171"/>
      <c r="AF152" s="171"/>
      <c r="AG152" s="171"/>
      <c r="AH152" s="171"/>
      <c r="AI152" s="171"/>
      <c r="AJ152" s="171"/>
      <c r="AK152" s="171"/>
      <c r="AL152" s="171"/>
      <c r="AM152" s="171"/>
      <c r="AN152" s="171"/>
      <c r="AO152" s="171"/>
    </row>
    <row r="153" spans="3:41" x14ac:dyDescent="0.25">
      <c r="C153" s="82"/>
      <c r="D153" s="293"/>
      <c r="E153" s="293"/>
      <c r="J153" s="237"/>
      <c r="K153" s="237"/>
      <c r="L153" s="237"/>
      <c r="M153" s="237"/>
      <c r="N153" s="237"/>
      <c r="O153" s="237"/>
      <c r="P153" s="237"/>
      <c r="Q153" s="237"/>
      <c r="R153" s="237"/>
      <c r="S153" s="237"/>
      <c r="T153" s="237"/>
      <c r="U153" s="237"/>
      <c r="V153" s="237"/>
      <c r="W153" s="237"/>
      <c r="X153" s="237"/>
      <c r="Y153" s="237"/>
      <c r="Z153" s="237"/>
      <c r="AA153" s="237"/>
      <c r="AB153" s="237"/>
      <c r="AC153" s="237"/>
      <c r="AD153" s="237"/>
      <c r="AE153" s="237"/>
      <c r="AF153" s="237"/>
      <c r="AG153" s="237"/>
      <c r="AH153" s="237"/>
      <c r="AI153" s="237"/>
      <c r="AJ153" s="237"/>
      <c r="AK153" s="237"/>
      <c r="AL153" s="237"/>
      <c r="AM153" s="237"/>
      <c r="AN153" s="237"/>
      <c r="AO153" s="237"/>
    </row>
    <row r="154" spans="3:41" x14ac:dyDescent="0.25">
      <c r="C154" s="82"/>
      <c r="D154" s="293"/>
      <c r="E154" s="293" t="s">
        <v>1122</v>
      </c>
      <c r="G154" s="293" t="s">
        <v>74</v>
      </c>
      <c r="J154" s="237">
        <f t="shared" ref="J154:AO154" si="43">IF(J32, J56, 0)</f>
        <v>2974344.8025927823</v>
      </c>
      <c r="K154" s="237">
        <f t="shared" si="43"/>
        <v>0</v>
      </c>
      <c r="L154" s="237">
        <f t="shared" si="43"/>
        <v>0</v>
      </c>
      <c r="M154" s="237">
        <f t="shared" si="43"/>
        <v>92882.682828770194</v>
      </c>
      <c r="N154" s="237">
        <f t="shared" si="43"/>
        <v>69794.959067042349</v>
      </c>
      <c r="O154" s="237">
        <f t="shared" si="43"/>
        <v>36948.348506129492</v>
      </c>
      <c r="P154" s="237">
        <f t="shared" si="43"/>
        <v>34179.566028011744</v>
      </c>
      <c r="Q154" s="237">
        <f t="shared" si="43"/>
        <v>0</v>
      </c>
      <c r="R154" s="237">
        <f t="shared" si="43"/>
        <v>0</v>
      </c>
      <c r="S154" s="237">
        <f t="shared" si="43"/>
        <v>10609.863794169047</v>
      </c>
      <c r="T154" s="237">
        <f t="shared" si="43"/>
        <v>5484.4381724793084</v>
      </c>
      <c r="U154" s="237">
        <f t="shared" si="43"/>
        <v>2920.9310860795954</v>
      </c>
      <c r="V154" s="237">
        <f t="shared" si="43"/>
        <v>3975.1074159567052</v>
      </c>
      <c r="W154" s="237">
        <f t="shared" si="43"/>
        <v>0</v>
      </c>
      <c r="X154" s="237">
        <f t="shared" si="43"/>
        <v>5.7051220680170491</v>
      </c>
      <c r="Y154" s="237">
        <f t="shared" si="43"/>
        <v>43.358927716929571</v>
      </c>
      <c r="Z154" s="237">
        <f t="shared" si="43"/>
        <v>51.346098612153433</v>
      </c>
      <c r="AA154" s="237">
        <f t="shared" si="43"/>
        <v>196.25619913978647</v>
      </c>
      <c r="AB154" s="237">
        <f t="shared" si="43"/>
        <v>0</v>
      </c>
      <c r="AC154" s="237">
        <f t="shared" si="43"/>
        <v>546.13806531578371</v>
      </c>
      <c r="AD154" s="237">
        <f t="shared" si="43"/>
        <v>649.2545771605113</v>
      </c>
      <c r="AE154" s="237">
        <f t="shared" si="43"/>
        <v>280.7578364784639</v>
      </c>
      <c r="AF154" s="237">
        <f t="shared" si="43"/>
        <v>283.78675919565893</v>
      </c>
      <c r="AG154" s="237">
        <f t="shared" si="43"/>
        <v>4315.823371813919</v>
      </c>
      <c r="AH154" s="237">
        <f t="shared" si="43"/>
        <v>0</v>
      </c>
      <c r="AI154" s="237">
        <f t="shared" si="43"/>
        <v>0</v>
      </c>
      <c r="AJ154" s="237">
        <f t="shared" si="43"/>
        <v>0</v>
      </c>
      <c r="AK154" s="237">
        <f t="shared" si="43"/>
        <v>0</v>
      </c>
      <c r="AL154" s="237">
        <f t="shared" si="43"/>
        <v>0</v>
      </c>
      <c r="AM154" s="237">
        <f t="shared" si="43"/>
        <v>0</v>
      </c>
      <c r="AN154" s="237">
        <f t="shared" si="43"/>
        <v>0</v>
      </c>
      <c r="AO154" s="237">
        <f t="shared" si="43"/>
        <v>0</v>
      </c>
    </row>
    <row r="155" spans="3:41" x14ac:dyDescent="0.25">
      <c r="C155" s="82"/>
      <c r="D155" s="293"/>
      <c r="E155" s="293"/>
      <c r="J155" s="111"/>
      <c r="K155" s="111"/>
      <c r="L155" s="111"/>
      <c r="M155" s="111"/>
      <c r="N155" s="111"/>
      <c r="O155" s="111"/>
      <c r="P155" s="111"/>
      <c r="Q155" s="111"/>
      <c r="R155" s="111"/>
      <c r="S155" s="111"/>
      <c r="T155" s="111"/>
      <c r="U155" s="111"/>
      <c r="V155" s="111"/>
      <c r="W155" s="111"/>
      <c r="X155" s="111"/>
      <c r="Y155" s="111"/>
      <c r="Z155" s="111"/>
      <c r="AA155" s="111"/>
      <c r="AB155" s="111"/>
      <c r="AC155" s="111"/>
      <c r="AD155" s="111"/>
      <c r="AE155" s="111"/>
      <c r="AF155" s="111"/>
      <c r="AG155" s="111"/>
      <c r="AH155" s="111"/>
      <c r="AI155" s="111"/>
      <c r="AJ155" s="111"/>
      <c r="AK155" s="111"/>
      <c r="AL155" s="111"/>
      <c r="AM155" s="111"/>
      <c r="AN155" s="111"/>
      <c r="AO155" s="111"/>
    </row>
    <row r="156" spans="3:41" x14ac:dyDescent="0.25">
      <c r="C156" s="82"/>
      <c r="D156" s="293"/>
      <c r="E156" s="293" t="s">
        <v>1123</v>
      </c>
      <c r="G156" s="293" t="s">
        <v>74</v>
      </c>
      <c r="J156" s="237">
        <f t="shared" ref="J156:AO156" si="44">SUMIF($J$150:$AO$150,J150,$J$154:$AO$154)</f>
        <v>2974344.8025927823</v>
      </c>
      <c r="K156" s="237">
        <f t="shared" si="44"/>
        <v>0</v>
      </c>
      <c r="L156" s="237">
        <f t="shared" si="44"/>
        <v>0</v>
      </c>
      <c r="M156" s="237">
        <f t="shared" si="44"/>
        <v>92882.682828770194</v>
      </c>
      <c r="N156" s="237">
        <f t="shared" si="44"/>
        <v>69794.959067042349</v>
      </c>
      <c r="O156" s="237">
        <f t="shared" si="44"/>
        <v>36948.348506129492</v>
      </c>
      <c r="P156" s="237">
        <f t="shared" si="44"/>
        <v>34179.566028011744</v>
      </c>
      <c r="Q156" s="237">
        <f t="shared" si="44"/>
        <v>0</v>
      </c>
      <c r="R156" s="237">
        <f t="shared" si="44"/>
        <v>0</v>
      </c>
      <c r="S156" s="237">
        <f t="shared" si="44"/>
        <v>10615.568916237064</v>
      </c>
      <c r="T156" s="237">
        <f t="shared" si="44"/>
        <v>5527.7971001962378</v>
      </c>
      <c r="U156" s="237">
        <f t="shared" si="44"/>
        <v>2972.277184691749</v>
      </c>
      <c r="V156" s="237">
        <f t="shared" si="44"/>
        <v>4171.3636150964912</v>
      </c>
      <c r="W156" s="237">
        <f t="shared" si="44"/>
        <v>0</v>
      </c>
      <c r="X156" s="237">
        <f t="shared" si="44"/>
        <v>10615.568916237064</v>
      </c>
      <c r="Y156" s="237">
        <f t="shared" si="44"/>
        <v>5527.7971001962378</v>
      </c>
      <c r="Z156" s="237">
        <f t="shared" si="44"/>
        <v>2972.277184691749</v>
      </c>
      <c r="AA156" s="237">
        <f t="shared" si="44"/>
        <v>4171.3636150964912</v>
      </c>
      <c r="AB156" s="237">
        <f t="shared" si="44"/>
        <v>0</v>
      </c>
      <c r="AC156" s="237">
        <f t="shared" si="44"/>
        <v>546.13806531578371</v>
      </c>
      <c r="AD156" s="237">
        <f t="shared" si="44"/>
        <v>649.2545771605113</v>
      </c>
      <c r="AE156" s="237">
        <f t="shared" si="44"/>
        <v>280.7578364784639</v>
      </c>
      <c r="AF156" s="237">
        <f t="shared" si="44"/>
        <v>283.78675919565893</v>
      </c>
      <c r="AG156" s="237">
        <f t="shared" si="44"/>
        <v>4315.823371813919</v>
      </c>
      <c r="AH156" s="237">
        <f t="shared" si="44"/>
        <v>0</v>
      </c>
      <c r="AI156" s="237">
        <f t="shared" si="44"/>
        <v>0</v>
      </c>
      <c r="AJ156" s="237">
        <f t="shared" si="44"/>
        <v>0</v>
      </c>
      <c r="AK156" s="237">
        <f t="shared" si="44"/>
        <v>0</v>
      </c>
      <c r="AL156" s="237">
        <f t="shared" si="44"/>
        <v>0</v>
      </c>
      <c r="AM156" s="237">
        <f t="shared" si="44"/>
        <v>0</v>
      </c>
      <c r="AN156" s="237">
        <f t="shared" si="44"/>
        <v>0</v>
      </c>
      <c r="AO156" s="237">
        <f t="shared" si="44"/>
        <v>0</v>
      </c>
    </row>
    <row r="157" spans="3:41" x14ac:dyDescent="0.25">
      <c r="C157" s="82"/>
      <c r="D157" s="293"/>
      <c r="E157" s="293"/>
      <c r="J157" s="237"/>
      <c r="K157" s="237"/>
      <c r="L157" s="237"/>
      <c r="M157" s="237"/>
      <c r="N157" s="237"/>
      <c r="O157" s="237"/>
      <c r="P157" s="237"/>
      <c r="Q157" s="237"/>
      <c r="R157" s="237"/>
      <c r="S157" s="237"/>
      <c r="T157" s="237"/>
      <c r="U157" s="237"/>
      <c r="V157" s="237"/>
      <c r="W157" s="237"/>
      <c r="X157" s="237"/>
      <c r="Y157" s="237"/>
      <c r="Z157" s="237"/>
      <c r="AA157" s="237"/>
      <c r="AB157" s="237"/>
      <c r="AC157" s="237"/>
      <c r="AD157" s="237"/>
      <c r="AE157" s="237"/>
      <c r="AF157" s="237"/>
      <c r="AG157" s="237"/>
      <c r="AH157" s="237"/>
      <c r="AI157" s="237"/>
      <c r="AJ157" s="237"/>
      <c r="AK157" s="237"/>
      <c r="AL157" s="237"/>
      <c r="AM157" s="237"/>
      <c r="AN157" s="237"/>
      <c r="AO157" s="237"/>
    </row>
    <row r="158" spans="3:41" x14ac:dyDescent="0.25">
      <c r="C158" s="82"/>
      <c r="D158" s="293"/>
      <c r="E158" s="293" t="s">
        <v>1229</v>
      </c>
      <c r="G158" s="293" t="s">
        <v>94</v>
      </c>
      <c r="J158" s="502">
        <f>IF(J156&lt;&gt;0,J154/J156,0)</f>
        <v>1</v>
      </c>
      <c r="K158" s="502">
        <f t="shared" ref="K158:AO158" si="45">IF(K156&lt;&gt;0,K154/K156,0)</f>
        <v>0</v>
      </c>
      <c r="L158" s="502">
        <f t="shared" si="45"/>
        <v>0</v>
      </c>
      <c r="M158" s="502">
        <f t="shared" si="45"/>
        <v>1</v>
      </c>
      <c r="N158" s="502">
        <f t="shared" si="45"/>
        <v>1</v>
      </c>
      <c r="O158" s="502">
        <f t="shared" si="45"/>
        <v>1</v>
      </c>
      <c r="P158" s="502">
        <f t="shared" si="45"/>
        <v>1</v>
      </c>
      <c r="Q158" s="502">
        <f t="shared" si="45"/>
        <v>0</v>
      </c>
      <c r="R158" s="502">
        <f t="shared" si="45"/>
        <v>0</v>
      </c>
      <c r="S158" s="502">
        <f t="shared" si="45"/>
        <v>0.99946257029528673</v>
      </c>
      <c r="T158" s="502">
        <f t="shared" si="45"/>
        <v>0.99215620129845394</v>
      </c>
      <c r="U158" s="502">
        <f t="shared" si="45"/>
        <v>0.98272499655260837</v>
      </c>
      <c r="V158" s="502">
        <f t="shared" si="45"/>
        <v>0.95295154840265672</v>
      </c>
      <c r="W158" s="502">
        <f t="shared" si="45"/>
        <v>0</v>
      </c>
      <c r="X158" s="502">
        <f t="shared" si="45"/>
        <v>5.3742970471330732E-4</v>
      </c>
      <c r="Y158" s="502">
        <f t="shared" si="45"/>
        <v>7.843798701546105E-3</v>
      </c>
      <c r="Z158" s="502">
        <f t="shared" si="45"/>
        <v>1.7275003447391624E-2</v>
      </c>
      <c r="AA158" s="502">
        <f t="shared" si="45"/>
        <v>4.704845159734336E-2</v>
      </c>
      <c r="AB158" s="502">
        <f t="shared" si="45"/>
        <v>0</v>
      </c>
      <c r="AC158" s="502">
        <f t="shared" si="45"/>
        <v>1</v>
      </c>
      <c r="AD158" s="502">
        <f t="shared" si="45"/>
        <v>1</v>
      </c>
      <c r="AE158" s="502">
        <f t="shared" si="45"/>
        <v>1</v>
      </c>
      <c r="AF158" s="502">
        <f t="shared" si="45"/>
        <v>1</v>
      </c>
      <c r="AG158" s="502">
        <f t="shared" si="45"/>
        <v>1</v>
      </c>
      <c r="AH158" s="502">
        <f t="shared" si="45"/>
        <v>0</v>
      </c>
      <c r="AI158" s="502">
        <f t="shared" si="45"/>
        <v>0</v>
      </c>
      <c r="AJ158" s="502">
        <f t="shared" si="45"/>
        <v>0</v>
      </c>
      <c r="AK158" s="502">
        <f t="shared" si="45"/>
        <v>0</v>
      </c>
      <c r="AL158" s="502">
        <f t="shared" si="45"/>
        <v>0</v>
      </c>
      <c r="AM158" s="502">
        <f t="shared" si="45"/>
        <v>0</v>
      </c>
      <c r="AN158" s="502">
        <f t="shared" si="45"/>
        <v>0</v>
      </c>
      <c r="AO158" s="502">
        <f t="shared" si="45"/>
        <v>0</v>
      </c>
    </row>
    <row r="159" spans="3:41" x14ac:dyDescent="0.25">
      <c r="C159" s="82"/>
      <c r="D159" s="293"/>
      <c r="E159" s="293"/>
      <c r="J159" s="237"/>
      <c r="K159" s="237"/>
      <c r="L159" s="237"/>
      <c r="M159" s="237"/>
      <c r="N159" s="237"/>
      <c r="O159" s="237"/>
      <c r="P159" s="237"/>
      <c r="Q159" s="237"/>
      <c r="R159" s="237"/>
      <c r="S159" s="237"/>
      <c r="T159" s="237"/>
      <c r="U159" s="237"/>
      <c r="V159" s="237"/>
      <c r="W159" s="237"/>
      <c r="X159" s="237"/>
      <c r="Y159" s="237"/>
      <c r="Z159" s="237"/>
      <c r="AA159" s="237"/>
      <c r="AB159" s="237"/>
      <c r="AC159" s="237"/>
      <c r="AD159" s="237"/>
      <c r="AE159" s="237"/>
      <c r="AF159" s="237"/>
      <c r="AG159" s="237"/>
      <c r="AH159" s="237"/>
      <c r="AI159" s="237"/>
      <c r="AJ159" s="237"/>
      <c r="AK159" s="237"/>
      <c r="AL159" s="237"/>
      <c r="AM159" s="237"/>
      <c r="AN159" s="237"/>
      <c r="AO159" s="237"/>
    </row>
    <row r="160" spans="3:41" x14ac:dyDescent="0.25">
      <c r="C160" s="7" t="str">
        <f ca="1">INDEX('Version control'!$H$35:$H$61,MATCH($A$1,'Version control'!$F$35:$F$61,0),1)&amp;"-E: Calculating unit volumes for matching"</f>
        <v>Section 519-E: Calculating unit volumes for matching</v>
      </c>
      <c r="D160" s="7"/>
      <c r="E160" s="7"/>
      <c r="F160" s="7"/>
      <c r="G160" s="7"/>
      <c r="H160" s="7"/>
      <c r="I160" s="7"/>
      <c r="J160" s="171"/>
      <c r="K160" s="171"/>
      <c r="L160" s="171"/>
      <c r="M160" s="171"/>
      <c r="N160" s="171"/>
      <c r="O160" s="171"/>
      <c r="P160" s="171"/>
      <c r="Q160" s="171"/>
      <c r="R160" s="171"/>
      <c r="S160" s="171"/>
      <c r="T160" s="171"/>
      <c r="U160" s="171"/>
      <c r="V160" s="171"/>
      <c r="W160" s="171"/>
      <c r="X160" s="171"/>
      <c r="Y160" s="171"/>
      <c r="Z160" s="171"/>
      <c r="AA160" s="171"/>
      <c r="AB160" s="171"/>
      <c r="AC160" s="171"/>
      <c r="AD160" s="171"/>
      <c r="AE160" s="171"/>
      <c r="AF160" s="171"/>
      <c r="AG160" s="171"/>
      <c r="AH160" s="171"/>
      <c r="AI160" s="171"/>
      <c r="AJ160" s="171"/>
      <c r="AK160" s="171"/>
      <c r="AL160" s="171"/>
      <c r="AM160" s="171"/>
      <c r="AN160" s="171"/>
      <c r="AO160" s="171"/>
    </row>
    <row r="161" spans="3:43" x14ac:dyDescent="0.25">
      <c r="C161" s="82"/>
      <c r="J161" s="111"/>
      <c r="K161" s="111"/>
      <c r="L161" s="111"/>
      <c r="M161" s="111"/>
      <c r="N161" s="111"/>
      <c r="O161" s="111"/>
      <c r="P161" s="111"/>
      <c r="Q161" s="111"/>
      <c r="R161" s="111"/>
      <c r="S161" s="111"/>
      <c r="T161" s="111"/>
      <c r="U161" s="111"/>
      <c r="V161" s="111"/>
      <c r="W161" s="111"/>
      <c r="X161" s="111"/>
      <c r="Y161" s="111"/>
      <c r="Z161" s="111"/>
      <c r="AA161" s="111"/>
      <c r="AB161" s="111"/>
      <c r="AC161" s="111"/>
      <c r="AD161" s="111"/>
      <c r="AE161" s="111"/>
      <c r="AF161" s="111"/>
      <c r="AG161" s="111"/>
      <c r="AH161" s="111"/>
      <c r="AI161" s="111"/>
      <c r="AJ161" s="111"/>
      <c r="AK161" s="111"/>
      <c r="AL161" s="111"/>
      <c r="AM161" s="111"/>
      <c r="AN161" s="111"/>
      <c r="AO161" s="111"/>
    </row>
    <row r="162" spans="3:43" x14ac:dyDescent="0.25">
      <c r="C162" s="82"/>
      <c r="D162" s="82" t="s">
        <v>1237</v>
      </c>
      <c r="I162" s="293" t="s">
        <v>359</v>
      </c>
      <c r="J162" s="111"/>
      <c r="K162" s="111"/>
      <c r="L162" s="111"/>
      <c r="M162" s="111"/>
      <c r="N162" s="111"/>
      <c r="O162" s="111"/>
      <c r="P162" s="111"/>
      <c r="Q162" s="111"/>
      <c r="R162" s="111"/>
      <c r="S162" s="111"/>
      <c r="T162" s="111"/>
      <c r="U162" s="111"/>
      <c r="V162" s="111"/>
      <c r="W162" s="111"/>
      <c r="X162" s="111"/>
      <c r="Y162" s="111"/>
      <c r="Z162" s="111"/>
      <c r="AA162" s="111"/>
      <c r="AB162" s="111"/>
      <c r="AC162" s="111"/>
      <c r="AD162" s="111"/>
      <c r="AE162" s="111"/>
      <c r="AF162" s="111"/>
      <c r="AG162" s="111"/>
      <c r="AH162" s="111"/>
      <c r="AI162" s="111"/>
      <c r="AJ162" s="111"/>
      <c r="AK162" s="111"/>
      <c r="AL162" s="111"/>
      <c r="AM162" s="111"/>
      <c r="AN162" s="111"/>
      <c r="AO162" s="111"/>
      <c r="AQ162" s="293" t="s">
        <v>1234</v>
      </c>
    </row>
    <row r="163" spans="3:43" x14ac:dyDescent="0.25">
      <c r="C163" s="82"/>
      <c r="D163" s="82" t="s">
        <v>1124</v>
      </c>
      <c r="J163" s="111"/>
      <c r="K163" s="111"/>
      <c r="L163" s="111"/>
      <c r="M163" s="111"/>
      <c r="N163" s="111"/>
      <c r="O163" s="111"/>
      <c r="P163" s="111"/>
      <c r="Q163" s="111"/>
      <c r="R163" s="111"/>
      <c r="S163" s="111"/>
      <c r="T163" s="111"/>
      <c r="U163" s="111"/>
      <c r="V163" s="111"/>
      <c r="W163" s="111"/>
      <c r="X163" s="111"/>
      <c r="Y163" s="111"/>
      <c r="Z163" s="111"/>
      <c r="AA163" s="111"/>
      <c r="AB163" s="111"/>
      <c r="AC163" s="111"/>
      <c r="AD163" s="111"/>
      <c r="AE163" s="111"/>
      <c r="AF163" s="111"/>
      <c r="AG163" s="111"/>
      <c r="AH163" s="111"/>
      <c r="AI163" s="111"/>
      <c r="AJ163" s="111"/>
      <c r="AK163" s="111"/>
      <c r="AL163" s="111"/>
      <c r="AM163" s="111"/>
      <c r="AN163" s="111"/>
      <c r="AO163" s="111"/>
    </row>
    <row r="164" spans="3:43" x14ac:dyDescent="0.25">
      <c r="C164" s="82"/>
      <c r="J164" s="111"/>
      <c r="K164" s="111"/>
      <c r="L164" s="111"/>
      <c r="M164" s="111"/>
      <c r="N164" s="111"/>
      <c r="O164" s="111"/>
      <c r="P164" s="111"/>
      <c r="Q164" s="111"/>
      <c r="R164" s="111"/>
      <c r="S164" s="111"/>
      <c r="T164" s="111"/>
      <c r="U164" s="111"/>
      <c r="V164" s="111"/>
      <c r="W164" s="111"/>
      <c r="X164" s="111"/>
      <c r="Y164" s="111"/>
      <c r="Z164" s="111"/>
      <c r="AA164" s="111"/>
      <c r="AB164" s="111"/>
      <c r="AC164" s="111"/>
      <c r="AD164" s="111"/>
      <c r="AE164" s="111"/>
      <c r="AF164" s="111"/>
      <c r="AG164" s="111"/>
      <c r="AH164" s="111"/>
      <c r="AI164" s="111"/>
      <c r="AJ164" s="111"/>
      <c r="AK164" s="111"/>
      <c r="AL164" s="111"/>
      <c r="AM164" s="111"/>
      <c r="AN164" s="111"/>
      <c r="AO164" s="111"/>
    </row>
    <row r="165" spans="3:43" x14ac:dyDescent="0.25">
      <c r="C165" s="82"/>
      <c r="D165" s="293"/>
      <c r="E165" s="293" t="s">
        <v>1125</v>
      </c>
      <c r="G165" s="293" t="s">
        <v>120</v>
      </c>
      <c r="J165" s="237">
        <f t="shared" ref="J165:AO165" si="46">SUM(J53:J55)</f>
        <v>12143967.001487436</v>
      </c>
      <c r="K165" s="237">
        <f t="shared" si="46"/>
        <v>150446.67048186305</v>
      </c>
      <c r="L165" s="237">
        <f t="shared" si="46"/>
        <v>178.83457722949936</v>
      </c>
      <c r="M165" s="237">
        <f t="shared" si="46"/>
        <v>222972.40828527231</v>
      </c>
      <c r="N165" s="237">
        <f t="shared" si="46"/>
        <v>550374.57544728345</v>
      </c>
      <c r="O165" s="237">
        <f t="shared" si="46"/>
        <v>660350.49507651303</v>
      </c>
      <c r="P165" s="237">
        <f t="shared" si="46"/>
        <v>1661987.7108683551</v>
      </c>
      <c r="Q165" s="237">
        <f t="shared" si="46"/>
        <v>31903.884124617314</v>
      </c>
      <c r="R165" s="237">
        <f t="shared" si="46"/>
        <v>958.23334568750738</v>
      </c>
      <c r="S165" s="237">
        <f t="shared" si="46"/>
        <v>955321.23322538775</v>
      </c>
      <c r="T165" s="237">
        <f t="shared" si="46"/>
        <v>907447.97103617107</v>
      </c>
      <c r="U165" s="237">
        <f t="shared" si="46"/>
        <v>747621.68733428395</v>
      </c>
      <c r="V165" s="237">
        <f t="shared" si="46"/>
        <v>2459599.1653861571</v>
      </c>
      <c r="W165" s="237">
        <f t="shared" si="46"/>
        <v>0</v>
      </c>
      <c r="X165" s="237">
        <f t="shared" si="46"/>
        <v>1469.6564251662166</v>
      </c>
      <c r="Y165" s="237">
        <f t="shared" si="46"/>
        <v>18637.652453263661</v>
      </c>
      <c r="Z165" s="237">
        <f t="shared" si="46"/>
        <v>23000.351644667797</v>
      </c>
      <c r="AA165" s="237">
        <f t="shared" si="46"/>
        <v>305992.05665528943</v>
      </c>
      <c r="AB165" s="237">
        <f t="shared" si="46"/>
        <v>8261.4256387956939</v>
      </c>
      <c r="AC165" s="237">
        <f t="shared" si="46"/>
        <v>301789.71164832375</v>
      </c>
      <c r="AD165" s="237">
        <f t="shared" si="46"/>
        <v>1046761.2498509381</v>
      </c>
      <c r="AE165" s="237">
        <f t="shared" si="46"/>
        <v>830829.31744577549</v>
      </c>
      <c r="AF165" s="237">
        <f t="shared" si="46"/>
        <v>2206240.3772150632</v>
      </c>
      <c r="AG165" s="237">
        <f t="shared" si="46"/>
        <v>195230.1304630462</v>
      </c>
      <c r="AH165" s="237">
        <f t="shared" si="46"/>
        <v>6997.5549723252525</v>
      </c>
      <c r="AI165" s="237">
        <f t="shared" si="46"/>
        <v>274.92011051908435</v>
      </c>
      <c r="AJ165" s="237">
        <f t="shared" si="46"/>
        <v>44625.245166284119</v>
      </c>
      <c r="AK165" s="237">
        <f t="shared" si="46"/>
        <v>0</v>
      </c>
      <c r="AL165" s="237">
        <f t="shared" si="46"/>
        <v>0</v>
      </c>
      <c r="AM165" s="237">
        <f t="shared" si="46"/>
        <v>0</v>
      </c>
      <c r="AN165" s="237">
        <f t="shared" si="46"/>
        <v>879847.11449808395</v>
      </c>
      <c r="AO165" s="237">
        <f t="shared" si="46"/>
        <v>0</v>
      </c>
    </row>
    <row r="166" spans="3:43" x14ac:dyDescent="0.25">
      <c r="C166" s="82"/>
      <c r="D166" s="293"/>
      <c r="E166" s="293"/>
      <c r="J166" s="111"/>
      <c r="K166" s="111"/>
      <c r="L166" s="111"/>
      <c r="M166" s="111"/>
      <c r="N166" s="111"/>
      <c r="O166" s="111"/>
      <c r="P166" s="111"/>
      <c r="Q166" s="111"/>
      <c r="R166" s="111"/>
      <c r="S166" s="111"/>
      <c r="T166" s="111"/>
      <c r="U166" s="111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</row>
    <row r="167" spans="3:43" x14ac:dyDescent="0.25">
      <c r="C167" s="82"/>
      <c r="D167" s="293"/>
      <c r="E167" s="293" t="s">
        <v>1126</v>
      </c>
      <c r="G167" s="293" t="s">
        <v>120</v>
      </c>
      <c r="J167" s="237">
        <f t="shared" ref="J167:AO167" si="47">IF(J32,J165, 0)</f>
        <v>12143967.001487436</v>
      </c>
      <c r="K167" s="237">
        <f t="shared" si="47"/>
        <v>0</v>
      </c>
      <c r="L167" s="237">
        <f t="shared" si="47"/>
        <v>0</v>
      </c>
      <c r="M167" s="237">
        <f t="shared" si="47"/>
        <v>222972.40828527231</v>
      </c>
      <c r="N167" s="237">
        <f t="shared" si="47"/>
        <v>550374.57544728345</v>
      </c>
      <c r="O167" s="237">
        <f t="shared" si="47"/>
        <v>660350.49507651303</v>
      </c>
      <c r="P167" s="237">
        <f t="shared" si="47"/>
        <v>1661987.7108683551</v>
      </c>
      <c r="Q167" s="237">
        <f t="shared" si="47"/>
        <v>0</v>
      </c>
      <c r="R167" s="237">
        <f t="shared" si="47"/>
        <v>0</v>
      </c>
      <c r="S167" s="237">
        <f t="shared" si="47"/>
        <v>955321.23322538775</v>
      </c>
      <c r="T167" s="237">
        <f t="shared" si="47"/>
        <v>907447.97103617107</v>
      </c>
      <c r="U167" s="237">
        <f t="shared" si="47"/>
        <v>747621.68733428395</v>
      </c>
      <c r="V167" s="237">
        <f t="shared" si="47"/>
        <v>2459599.1653861571</v>
      </c>
      <c r="W167" s="237">
        <f t="shared" si="47"/>
        <v>0</v>
      </c>
      <c r="X167" s="237">
        <f t="shared" si="47"/>
        <v>1469.6564251662166</v>
      </c>
      <c r="Y167" s="237">
        <f t="shared" si="47"/>
        <v>18637.652453263661</v>
      </c>
      <c r="Z167" s="237">
        <f t="shared" si="47"/>
        <v>23000.351644667797</v>
      </c>
      <c r="AA167" s="237">
        <f t="shared" si="47"/>
        <v>305992.05665528943</v>
      </c>
      <c r="AB167" s="237">
        <f t="shared" si="47"/>
        <v>0</v>
      </c>
      <c r="AC167" s="237">
        <f t="shared" si="47"/>
        <v>301789.71164832375</v>
      </c>
      <c r="AD167" s="237">
        <f t="shared" si="47"/>
        <v>1046761.2498509381</v>
      </c>
      <c r="AE167" s="237">
        <f t="shared" si="47"/>
        <v>830829.31744577549</v>
      </c>
      <c r="AF167" s="237">
        <f t="shared" si="47"/>
        <v>2206240.3772150632</v>
      </c>
      <c r="AG167" s="237">
        <f t="shared" si="47"/>
        <v>195230.1304630462</v>
      </c>
      <c r="AH167" s="237">
        <f t="shared" si="47"/>
        <v>0</v>
      </c>
      <c r="AI167" s="237">
        <f t="shared" si="47"/>
        <v>0</v>
      </c>
      <c r="AJ167" s="237">
        <f t="shared" si="47"/>
        <v>0</v>
      </c>
      <c r="AK167" s="237">
        <f t="shared" si="47"/>
        <v>0</v>
      </c>
      <c r="AL167" s="237">
        <f t="shared" si="47"/>
        <v>0</v>
      </c>
      <c r="AM167" s="237">
        <f t="shared" si="47"/>
        <v>0</v>
      </c>
      <c r="AN167" s="237">
        <f t="shared" si="47"/>
        <v>0</v>
      </c>
      <c r="AO167" s="237">
        <f t="shared" si="47"/>
        <v>0</v>
      </c>
    </row>
    <row r="168" spans="3:43" x14ac:dyDescent="0.25">
      <c r="C168" s="82"/>
      <c r="D168" s="293"/>
      <c r="E168" s="293"/>
      <c r="J168" s="111"/>
      <c r="K168" s="111"/>
      <c r="L168" s="111"/>
      <c r="M168" s="111"/>
      <c r="N168" s="111"/>
      <c r="O168" s="111"/>
      <c r="P168" s="111"/>
      <c r="Q168" s="111"/>
      <c r="R168" s="111"/>
      <c r="S168" s="111"/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</row>
    <row r="169" spans="3:43" x14ac:dyDescent="0.25">
      <c r="C169" s="82"/>
      <c r="D169" s="293"/>
      <c r="E169" s="82" t="s">
        <v>1127</v>
      </c>
      <c r="J169" s="111"/>
      <c r="K169" s="111"/>
      <c r="L169" s="111"/>
      <c r="M169" s="111"/>
      <c r="N169" s="111"/>
      <c r="O169" s="111"/>
      <c r="P169" s="111"/>
      <c r="Q169" s="111"/>
      <c r="R169" s="111"/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</row>
    <row r="170" spans="3:43" x14ac:dyDescent="0.25">
      <c r="C170" s="82"/>
      <c r="D170" s="293"/>
      <c r="E170" s="293"/>
      <c r="J170" s="111"/>
      <c r="K170" s="111"/>
      <c r="L170" s="111"/>
      <c r="M170" s="111"/>
      <c r="N170" s="111"/>
      <c r="O170" s="111"/>
      <c r="P170" s="111"/>
      <c r="Q170" s="111"/>
      <c r="R170" s="111"/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</row>
    <row r="171" spans="3:43" x14ac:dyDescent="0.25">
      <c r="C171" s="82"/>
      <c r="D171" s="293"/>
      <c r="E171" s="293" t="s">
        <v>1128</v>
      </c>
      <c r="G171" s="293" t="s">
        <v>94</v>
      </c>
      <c r="J171" s="503">
        <v>1</v>
      </c>
      <c r="K171" s="79"/>
      <c r="L171" s="279"/>
      <c r="M171" s="465">
        <f>'Volume adjustments'!K689</f>
        <v>7.2022674942564424E-2</v>
      </c>
      <c r="N171" s="465">
        <f>'Volume adjustments'!L689</f>
        <v>0.17777737366220056</v>
      </c>
      <c r="O171" s="465">
        <f>'Volume adjustments'!M689</f>
        <v>0.21330087171237957</v>
      </c>
      <c r="P171" s="465">
        <f>'Volume adjustments'!N689</f>
        <v>0.53684131403945878</v>
      </c>
      <c r="Q171" s="79"/>
      <c r="R171" s="79"/>
      <c r="S171" s="79"/>
      <c r="T171" s="79"/>
      <c r="U171" s="79"/>
      <c r="V171" s="79"/>
      <c r="W171" s="79"/>
      <c r="X171" s="79"/>
      <c r="Y171" s="79"/>
      <c r="Z171" s="79"/>
      <c r="AA171" s="79"/>
      <c r="AB171" s="79"/>
      <c r="AC171" s="79"/>
      <c r="AD171" s="79"/>
      <c r="AE171" s="79"/>
      <c r="AF171" s="79"/>
      <c r="AG171" s="79"/>
      <c r="AH171" s="79"/>
      <c r="AI171" s="79"/>
      <c r="AJ171" s="79"/>
      <c r="AK171" s="79"/>
      <c r="AL171" s="79"/>
      <c r="AM171" s="79"/>
      <c r="AN171" s="79"/>
      <c r="AO171" s="79"/>
    </row>
    <row r="172" spans="3:43" x14ac:dyDescent="0.25">
      <c r="C172" s="82"/>
      <c r="D172" s="293"/>
      <c r="E172" s="293"/>
      <c r="J172" s="111"/>
      <c r="K172" s="111"/>
      <c r="L172" s="111"/>
      <c r="M172" s="111"/>
      <c r="N172" s="111"/>
      <c r="O172" s="111"/>
      <c r="P172" s="111"/>
      <c r="Q172" s="111"/>
      <c r="R172" s="111"/>
      <c r="S172" s="111"/>
      <c r="T172" s="111"/>
      <c r="U172" s="111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</row>
    <row r="173" spans="3:43" x14ac:dyDescent="0.25">
      <c r="C173" s="82"/>
      <c r="D173" s="293"/>
      <c r="E173" s="293" t="s">
        <v>1129</v>
      </c>
      <c r="G173" s="293" t="s">
        <v>120</v>
      </c>
      <c r="J173" s="237">
        <f>J171*$K165</f>
        <v>150446.67048186305</v>
      </c>
      <c r="K173" s="279"/>
      <c r="L173" s="279"/>
      <c r="M173" s="237">
        <f>M171*$Q165</f>
        <v>2297.8030757125543</v>
      </c>
      <c r="N173" s="237">
        <f>N171*$Q165</f>
        <v>5671.7887292976411</v>
      </c>
      <c r="O173" s="237">
        <f>O171*$Q165</f>
        <v>6805.1262947916211</v>
      </c>
      <c r="P173" s="237">
        <f>P171*$Q165</f>
        <v>17127.323076422188</v>
      </c>
      <c r="Q173" s="279"/>
      <c r="R173" s="279"/>
      <c r="S173" s="279"/>
      <c r="T173" s="279"/>
      <c r="U173" s="279"/>
      <c r="V173" s="279"/>
      <c r="W173" s="279"/>
      <c r="X173" s="279"/>
      <c r="Y173" s="279"/>
      <c r="Z173" s="279"/>
      <c r="AA173" s="279"/>
      <c r="AB173" s="279"/>
      <c r="AC173" s="279"/>
      <c r="AD173" s="279"/>
      <c r="AE173" s="279"/>
      <c r="AF173" s="279"/>
      <c r="AG173" s="279"/>
      <c r="AH173" s="279"/>
      <c r="AI173" s="279"/>
      <c r="AJ173" s="279"/>
      <c r="AK173" s="279"/>
      <c r="AL173" s="279"/>
      <c r="AM173" s="279"/>
      <c r="AN173" s="279"/>
      <c r="AO173" s="279"/>
    </row>
    <row r="174" spans="3:43" x14ac:dyDescent="0.25">
      <c r="C174" s="82"/>
      <c r="D174" s="293"/>
      <c r="E174" s="293"/>
      <c r="J174" s="111"/>
      <c r="K174" s="111"/>
      <c r="L174" s="111"/>
      <c r="M174" s="111"/>
      <c r="N174" s="111"/>
      <c r="O174" s="111"/>
      <c r="P174" s="111"/>
      <c r="Q174" s="111"/>
      <c r="R174" s="111"/>
      <c r="S174" s="111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</row>
    <row r="175" spans="3:43" x14ac:dyDescent="0.25">
      <c r="C175" s="82"/>
      <c r="D175" s="293"/>
      <c r="E175" s="293" t="s">
        <v>1130</v>
      </c>
      <c r="G175" s="293" t="s">
        <v>120</v>
      </c>
      <c r="J175" s="237">
        <f t="shared" ref="J175:AO175" si="48">J167+J173</f>
        <v>12294413.671969298</v>
      </c>
      <c r="K175" s="237">
        <f t="shared" si="48"/>
        <v>0</v>
      </c>
      <c r="L175" s="237">
        <f t="shared" si="48"/>
        <v>0</v>
      </c>
      <c r="M175" s="237">
        <f t="shared" si="48"/>
        <v>225270.21136098486</v>
      </c>
      <c r="N175" s="237">
        <f t="shared" si="48"/>
        <v>556046.36417658115</v>
      </c>
      <c r="O175" s="237">
        <f t="shared" si="48"/>
        <v>667155.62137130462</v>
      </c>
      <c r="P175" s="237">
        <f t="shared" si="48"/>
        <v>1679115.0339447772</v>
      </c>
      <c r="Q175" s="237">
        <f t="shared" si="48"/>
        <v>0</v>
      </c>
      <c r="R175" s="237">
        <f t="shared" si="48"/>
        <v>0</v>
      </c>
      <c r="S175" s="237">
        <f t="shared" si="48"/>
        <v>955321.23322538775</v>
      </c>
      <c r="T175" s="237">
        <f t="shared" si="48"/>
        <v>907447.97103617107</v>
      </c>
      <c r="U175" s="237">
        <f t="shared" si="48"/>
        <v>747621.68733428395</v>
      </c>
      <c r="V175" s="237">
        <f t="shared" si="48"/>
        <v>2459599.1653861571</v>
      </c>
      <c r="W175" s="237">
        <f t="shared" si="48"/>
        <v>0</v>
      </c>
      <c r="X175" s="237">
        <f t="shared" si="48"/>
        <v>1469.6564251662166</v>
      </c>
      <c r="Y175" s="237">
        <f t="shared" si="48"/>
        <v>18637.652453263661</v>
      </c>
      <c r="Z175" s="237">
        <f t="shared" si="48"/>
        <v>23000.351644667797</v>
      </c>
      <c r="AA175" s="237">
        <f t="shared" si="48"/>
        <v>305992.05665528943</v>
      </c>
      <c r="AB175" s="237">
        <f t="shared" si="48"/>
        <v>0</v>
      </c>
      <c r="AC175" s="237">
        <f t="shared" si="48"/>
        <v>301789.71164832375</v>
      </c>
      <c r="AD175" s="237">
        <f t="shared" si="48"/>
        <v>1046761.2498509381</v>
      </c>
      <c r="AE175" s="237">
        <f t="shared" si="48"/>
        <v>830829.31744577549</v>
      </c>
      <c r="AF175" s="237">
        <f t="shared" si="48"/>
        <v>2206240.3772150632</v>
      </c>
      <c r="AG175" s="237">
        <f t="shared" si="48"/>
        <v>195230.1304630462</v>
      </c>
      <c r="AH175" s="237">
        <f t="shared" si="48"/>
        <v>0</v>
      </c>
      <c r="AI175" s="237">
        <f t="shared" si="48"/>
        <v>0</v>
      </c>
      <c r="AJ175" s="237">
        <f t="shared" si="48"/>
        <v>0</v>
      </c>
      <c r="AK175" s="237">
        <f t="shared" si="48"/>
        <v>0</v>
      </c>
      <c r="AL175" s="237">
        <f t="shared" si="48"/>
        <v>0</v>
      </c>
      <c r="AM175" s="237">
        <f t="shared" si="48"/>
        <v>0</v>
      </c>
      <c r="AN175" s="237">
        <f t="shared" si="48"/>
        <v>0</v>
      </c>
      <c r="AO175" s="237">
        <f t="shared" si="48"/>
        <v>0</v>
      </c>
    </row>
    <row r="176" spans="3:43" x14ac:dyDescent="0.25">
      <c r="C176" s="82"/>
      <c r="D176" s="293"/>
      <c r="E176" s="293"/>
      <c r="J176" s="111"/>
      <c r="K176" s="111"/>
      <c r="L176" s="111"/>
      <c r="M176" s="111"/>
      <c r="N176" s="111"/>
      <c r="O176" s="111"/>
      <c r="P176" s="111"/>
      <c r="Q176" s="111"/>
      <c r="R176" s="111"/>
      <c r="S176" s="111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</row>
    <row r="177" spans="3:43" x14ac:dyDescent="0.25">
      <c r="C177" s="7" t="str">
        <f ca="1">INDEX('Version control'!$H$35:$H$61,MATCH($A$1,'Version control'!$F$35:$F$61,0),1)&amp;"-F: Allocating revenue to tariffs"</f>
        <v>Section 519-F: Allocating revenue to tariffs</v>
      </c>
      <c r="D177" s="7"/>
      <c r="E177" s="7"/>
      <c r="F177" s="7"/>
      <c r="G177" s="7"/>
      <c r="H177" s="7"/>
      <c r="I177" s="7"/>
      <c r="J177" s="171"/>
      <c r="K177" s="171"/>
      <c r="L177" s="171"/>
      <c r="M177" s="171"/>
      <c r="N177" s="171"/>
      <c r="O177" s="171"/>
      <c r="P177" s="171"/>
      <c r="Q177" s="171"/>
      <c r="R177" s="171"/>
      <c r="S177" s="171"/>
      <c r="T177" s="171"/>
      <c r="U177" s="171"/>
      <c r="V177" s="171"/>
      <c r="W177" s="171"/>
      <c r="X177" s="171"/>
      <c r="Y177" s="171"/>
      <c r="Z177" s="171"/>
      <c r="AA177" s="171"/>
      <c r="AB177" s="171"/>
      <c r="AC177" s="171"/>
      <c r="AD177" s="171"/>
      <c r="AE177" s="171"/>
      <c r="AF177" s="171"/>
      <c r="AG177" s="171"/>
      <c r="AH177" s="171"/>
      <c r="AI177" s="171"/>
      <c r="AJ177" s="171"/>
      <c r="AK177" s="171"/>
      <c r="AL177" s="171"/>
      <c r="AM177" s="171"/>
      <c r="AN177" s="171"/>
      <c r="AO177" s="171"/>
    </row>
    <row r="178" spans="3:43" x14ac:dyDescent="0.25">
      <c r="C178" s="82"/>
      <c r="J178" s="111"/>
      <c r="K178" s="111"/>
      <c r="L178" s="111"/>
      <c r="M178" s="111"/>
      <c r="N178" s="111"/>
      <c r="O178" s="111"/>
      <c r="P178" s="111"/>
      <c r="Q178" s="111"/>
      <c r="R178" s="111"/>
      <c r="S178" s="111"/>
      <c r="T178" s="111"/>
      <c r="U178" s="111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</row>
    <row r="179" spans="3:43" x14ac:dyDescent="0.25">
      <c r="C179" s="82"/>
      <c r="D179" s="82" t="s">
        <v>1131</v>
      </c>
      <c r="I179" s="293" t="s">
        <v>359</v>
      </c>
      <c r="J179" s="111"/>
      <c r="K179" s="111"/>
      <c r="L179" s="111"/>
      <c r="M179" s="111"/>
      <c r="N179" s="111"/>
      <c r="O179" s="111"/>
      <c r="P179" s="111"/>
      <c r="Q179" s="111"/>
      <c r="R179" s="111"/>
      <c r="S179" s="111"/>
      <c r="T179" s="111"/>
      <c r="U179" s="111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Q179" s="293" t="s">
        <v>1234</v>
      </c>
    </row>
    <row r="180" spans="3:43" x14ac:dyDescent="0.25">
      <c r="C180" s="82"/>
      <c r="D180" s="82" t="s">
        <v>1132</v>
      </c>
      <c r="J180" s="111"/>
      <c r="K180" s="111"/>
      <c r="L180" s="111"/>
      <c r="M180" s="111"/>
      <c r="N180" s="111"/>
      <c r="O180" s="111"/>
      <c r="P180" s="111"/>
      <c r="Q180" s="111"/>
      <c r="R180" s="111"/>
      <c r="S180" s="111"/>
      <c r="T180" s="111"/>
      <c r="U180" s="111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</row>
    <row r="181" spans="3:43" x14ac:dyDescent="0.25">
      <c r="C181" s="82"/>
      <c r="D181" s="82" t="s">
        <v>1133</v>
      </c>
      <c r="J181" s="111"/>
      <c r="K181" s="111"/>
      <c r="L181" s="111"/>
      <c r="M181" s="111"/>
      <c r="N181" s="111"/>
      <c r="O181" s="111"/>
      <c r="P181" s="111"/>
      <c r="Q181" s="111"/>
      <c r="R181" s="111"/>
      <c r="S181" s="111"/>
      <c r="T181" s="111"/>
      <c r="U181" s="111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</row>
    <row r="182" spans="3:43" x14ac:dyDescent="0.25">
      <c r="C182" s="82"/>
      <c r="J182" s="111"/>
      <c r="K182" s="111"/>
      <c r="L182" s="111"/>
      <c r="M182" s="111"/>
      <c r="N182" s="111"/>
      <c r="O182" s="111"/>
      <c r="P182" s="111"/>
      <c r="Q182" s="111"/>
      <c r="R182" s="111"/>
      <c r="S182" s="111"/>
      <c r="T182" s="111"/>
      <c r="U182" s="111"/>
      <c r="V182" s="111"/>
      <c r="W182" s="111"/>
      <c r="X182" s="111"/>
      <c r="Y182" s="111"/>
      <c r="Z182" s="111"/>
      <c r="AA182" s="111"/>
      <c r="AB182" s="111"/>
      <c r="AC182" s="111"/>
      <c r="AD182" s="111"/>
      <c r="AE182" s="111"/>
      <c r="AF182" s="111"/>
      <c r="AG182" s="111"/>
      <c r="AH182" s="111"/>
      <c r="AI182" s="111"/>
      <c r="AJ182" s="111"/>
      <c r="AK182" s="111"/>
      <c r="AL182" s="111"/>
      <c r="AM182" s="111"/>
      <c r="AN182" s="111"/>
      <c r="AO182" s="111"/>
    </row>
    <row r="183" spans="3:43" x14ac:dyDescent="0.25">
      <c r="C183" s="82"/>
      <c r="D183" s="293"/>
      <c r="E183" s="293" t="s">
        <v>1134</v>
      </c>
      <c r="G183" s="293" t="s">
        <v>120</v>
      </c>
      <c r="J183" s="237">
        <f t="shared" ref="J183:AO183" si="49">SUMIF($J$150:$AO$150,J150,$J$175:$AO$175)</f>
        <v>12294413.671969298</v>
      </c>
      <c r="K183" s="237">
        <f t="shared" si="49"/>
        <v>0</v>
      </c>
      <c r="L183" s="237">
        <f t="shared" si="49"/>
        <v>0</v>
      </c>
      <c r="M183" s="237">
        <f t="shared" si="49"/>
        <v>225270.21136098486</v>
      </c>
      <c r="N183" s="237">
        <f t="shared" si="49"/>
        <v>556046.36417658115</v>
      </c>
      <c r="O183" s="237">
        <f t="shared" si="49"/>
        <v>667155.62137130462</v>
      </c>
      <c r="P183" s="237">
        <f t="shared" si="49"/>
        <v>1679115.0339447772</v>
      </c>
      <c r="Q183" s="237">
        <f t="shared" si="49"/>
        <v>0</v>
      </c>
      <c r="R183" s="237">
        <f t="shared" si="49"/>
        <v>0</v>
      </c>
      <c r="S183" s="237">
        <f t="shared" si="49"/>
        <v>956790.88965055393</v>
      </c>
      <c r="T183" s="237">
        <f t="shared" si="49"/>
        <v>926085.62348943471</v>
      </c>
      <c r="U183" s="237">
        <f t="shared" si="49"/>
        <v>770622.03897895175</v>
      </c>
      <c r="V183" s="237">
        <f t="shared" si="49"/>
        <v>2765591.2220414467</v>
      </c>
      <c r="W183" s="237">
        <f t="shared" si="49"/>
        <v>0</v>
      </c>
      <c r="X183" s="237">
        <f t="shared" si="49"/>
        <v>956790.88965055393</v>
      </c>
      <c r="Y183" s="237">
        <f t="shared" si="49"/>
        <v>926085.62348943471</v>
      </c>
      <c r="Z183" s="237">
        <f t="shared" si="49"/>
        <v>770622.03897895175</v>
      </c>
      <c r="AA183" s="237">
        <f t="shared" si="49"/>
        <v>2765591.2220414467</v>
      </c>
      <c r="AB183" s="237">
        <f t="shared" si="49"/>
        <v>0</v>
      </c>
      <c r="AC183" s="237">
        <f t="shared" si="49"/>
        <v>301789.71164832375</v>
      </c>
      <c r="AD183" s="237">
        <f t="shared" si="49"/>
        <v>1046761.2498509381</v>
      </c>
      <c r="AE183" s="237">
        <f t="shared" si="49"/>
        <v>830829.31744577549</v>
      </c>
      <c r="AF183" s="237">
        <f t="shared" si="49"/>
        <v>2206240.3772150632</v>
      </c>
      <c r="AG183" s="237">
        <f t="shared" si="49"/>
        <v>195230.1304630462</v>
      </c>
      <c r="AH183" s="237">
        <f t="shared" si="49"/>
        <v>0</v>
      </c>
      <c r="AI183" s="237">
        <f t="shared" si="49"/>
        <v>0</v>
      </c>
      <c r="AJ183" s="237">
        <f t="shared" si="49"/>
        <v>0</v>
      </c>
      <c r="AK183" s="237">
        <f t="shared" si="49"/>
        <v>0</v>
      </c>
      <c r="AL183" s="237">
        <f t="shared" si="49"/>
        <v>0</v>
      </c>
      <c r="AM183" s="237">
        <f t="shared" si="49"/>
        <v>0</v>
      </c>
      <c r="AN183" s="237">
        <f t="shared" si="49"/>
        <v>0</v>
      </c>
      <c r="AO183" s="237">
        <f t="shared" si="49"/>
        <v>0</v>
      </c>
    </row>
    <row r="184" spans="3:43" x14ac:dyDescent="0.25">
      <c r="C184" s="82"/>
      <c r="D184" s="293"/>
      <c r="E184" s="293"/>
      <c r="J184" s="111"/>
      <c r="K184" s="111"/>
      <c r="L184" s="111"/>
      <c r="M184" s="111"/>
      <c r="N184" s="111"/>
      <c r="O184" s="111"/>
      <c r="P184" s="111"/>
      <c r="Q184" s="111"/>
      <c r="R184" s="111"/>
      <c r="S184" s="111"/>
      <c r="T184" s="111"/>
      <c r="U184" s="111"/>
      <c r="V184" s="111"/>
      <c r="W184" s="111"/>
      <c r="X184" s="111"/>
      <c r="Y184" s="111"/>
      <c r="Z184" s="111"/>
      <c r="AA184" s="111"/>
      <c r="AB184" s="111"/>
      <c r="AC184" s="111"/>
      <c r="AD184" s="111"/>
      <c r="AE184" s="111"/>
      <c r="AF184" s="111"/>
      <c r="AG184" s="111"/>
      <c r="AH184" s="111"/>
      <c r="AI184" s="111"/>
      <c r="AJ184" s="111"/>
      <c r="AK184" s="111"/>
      <c r="AL184" s="111"/>
      <c r="AM184" s="111"/>
      <c r="AN184" s="111"/>
      <c r="AO184" s="111"/>
    </row>
    <row r="185" spans="3:43" x14ac:dyDescent="0.25">
      <c r="C185" s="82"/>
      <c r="D185" s="293"/>
      <c r="E185" s="293" t="s">
        <v>1135</v>
      </c>
      <c r="G185" s="293" t="s">
        <v>120</v>
      </c>
      <c r="J185" s="237">
        <f>J158*J183</f>
        <v>12294413.671969298</v>
      </c>
      <c r="K185" s="237">
        <f t="shared" ref="K185:AO185" si="50">K158*K183</f>
        <v>0</v>
      </c>
      <c r="L185" s="237">
        <f t="shared" si="50"/>
        <v>0</v>
      </c>
      <c r="M185" s="237">
        <f t="shared" si="50"/>
        <v>225270.21136098486</v>
      </c>
      <c r="N185" s="237">
        <f t="shared" si="50"/>
        <v>556046.36417658115</v>
      </c>
      <c r="O185" s="237">
        <f t="shared" si="50"/>
        <v>667155.62137130462</v>
      </c>
      <c r="P185" s="237">
        <f t="shared" si="50"/>
        <v>1679115.0339447772</v>
      </c>
      <c r="Q185" s="237">
        <f t="shared" si="50"/>
        <v>0</v>
      </c>
      <c r="R185" s="237">
        <f t="shared" si="50"/>
        <v>0</v>
      </c>
      <c r="S185" s="237">
        <f t="shared" si="50"/>
        <v>956276.68180525664</v>
      </c>
      <c r="T185" s="237">
        <f t="shared" si="50"/>
        <v>918821.59427838784</v>
      </c>
      <c r="U185" s="237">
        <f t="shared" si="50"/>
        <v>757309.54059895442</v>
      </c>
      <c r="V185" s="237">
        <f t="shared" si="50"/>
        <v>2635474.4372931924</v>
      </c>
      <c r="W185" s="237">
        <f t="shared" si="50"/>
        <v>0</v>
      </c>
      <c r="X185" s="237">
        <f t="shared" si="50"/>
        <v>514.20784529727985</v>
      </c>
      <c r="Y185" s="237">
        <f t="shared" si="50"/>
        <v>7264.0292110469427</v>
      </c>
      <c r="Z185" s="237">
        <f t="shared" si="50"/>
        <v>13312.498379997354</v>
      </c>
      <c r="AA185" s="237">
        <f t="shared" si="50"/>
        <v>130116.78474825468</v>
      </c>
      <c r="AB185" s="237">
        <f t="shared" si="50"/>
        <v>0</v>
      </c>
      <c r="AC185" s="237">
        <f t="shared" si="50"/>
        <v>301789.71164832375</v>
      </c>
      <c r="AD185" s="237">
        <f t="shared" si="50"/>
        <v>1046761.2498509381</v>
      </c>
      <c r="AE185" s="237">
        <f t="shared" si="50"/>
        <v>830829.31744577549</v>
      </c>
      <c r="AF185" s="237">
        <f t="shared" si="50"/>
        <v>2206240.3772150632</v>
      </c>
      <c r="AG185" s="237">
        <f t="shared" si="50"/>
        <v>195230.1304630462</v>
      </c>
      <c r="AH185" s="237">
        <f t="shared" si="50"/>
        <v>0</v>
      </c>
      <c r="AI185" s="237">
        <f t="shared" si="50"/>
        <v>0</v>
      </c>
      <c r="AJ185" s="237">
        <f t="shared" si="50"/>
        <v>0</v>
      </c>
      <c r="AK185" s="237">
        <f t="shared" si="50"/>
        <v>0</v>
      </c>
      <c r="AL185" s="237">
        <f t="shared" si="50"/>
        <v>0</v>
      </c>
      <c r="AM185" s="237">
        <f t="shared" si="50"/>
        <v>0</v>
      </c>
      <c r="AN185" s="237">
        <f t="shared" si="50"/>
        <v>0</v>
      </c>
      <c r="AO185" s="237">
        <f t="shared" si="50"/>
        <v>0</v>
      </c>
    </row>
    <row r="186" spans="3:43" x14ac:dyDescent="0.25">
      <c r="C186" s="82"/>
      <c r="D186" s="293"/>
      <c r="E186" s="293"/>
      <c r="J186" s="237"/>
      <c r="K186" s="237"/>
      <c r="L186" s="237"/>
      <c r="M186" s="237"/>
      <c r="N186" s="237"/>
      <c r="O186" s="237"/>
      <c r="P186" s="237"/>
      <c r="Q186" s="237"/>
      <c r="R186" s="237"/>
      <c r="S186" s="237"/>
      <c r="T186" s="237"/>
      <c r="U186" s="237"/>
      <c r="V186" s="237"/>
      <c r="W186" s="237"/>
      <c r="X186" s="237"/>
      <c r="Y186" s="237"/>
      <c r="Z186" s="237"/>
      <c r="AA186" s="237"/>
      <c r="AB186" s="237"/>
      <c r="AC186" s="237"/>
      <c r="AD186" s="237"/>
      <c r="AE186" s="237"/>
      <c r="AF186" s="237"/>
      <c r="AG186" s="237"/>
      <c r="AH186" s="237"/>
      <c r="AI186" s="237"/>
      <c r="AJ186" s="237"/>
      <c r="AK186" s="237"/>
      <c r="AL186" s="237"/>
      <c r="AM186" s="237"/>
      <c r="AN186" s="237"/>
      <c r="AO186" s="237"/>
    </row>
    <row r="187" spans="3:43" x14ac:dyDescent="0.25">
      <c r="C187" s="82"/>
      <c r="D187" s="293"/>
      <c r="E187" s="293" t="s">
        <v>142</v>
      </c>
      <c r="G187" s="293" t="s">
        <v>120</v>
      </c>
      <c r="H187" s="237">
        <f>SUM($J$185:$AO$185)</f>
        <v>25421941.463606481</v>
      </c>
      <c r="J187" s="237"/>
      <c r="K187" s="237"/>
      <c r="L187" s="237"/>
      <c r="M187" s="237"/>
      <c r="N187" s="237"/>
      <c r="O187" s="237"/>
      <c r="P187" s="237"/>
      <c r="Q187" s="237"/>
      <c r="R187" s="237"/>
      <c r="S187" s="237"/>
      <c r="T187" s="237"/>
      <c r="U187" s="237"/>
      <c r="V187" s="237"/>
      <c r="W187" s="237"/>
      <c r="X187" s="237"/>
      <c r="Y187" s="237"/>
      <c r="Z187" s="237"/>
      <c r="AA187" s="237"/>
      <c r="AB187" s="237"/>
      <c r="AC187" s="237"/>
      <c r="AD187" s="237"/>
      <c r="AE187" s="237"/>
      <c r="AF187" s="237"/>
      <c r="AG187" s="237"/>
      <c r="AH187" s="237"/>
      <c r="AI187" s="237"/>
      <c r="AJ187" s="237"/>
      <c r="AK187" s="237"/>
      <c r="AL187" s="237"/>
      <c r="AM187" s="237"/>
      <c r="AN187" s="237"/>
      <c r="AO187" s="237"/>
    </row>
    <row r="188" spans="3:43" x14ac:dyDescent="0.25">
      <c r="C188" s="82"/>
      <c r="D188" s="293"/>
      <c r="E188" s="293"/>
      <c r="J188" s="111"/>
      <c r="K188" s="111"/>
      <c r="L188" s="111"/>
      <c r="M188" s="111"/>
      <c r="N188" s="111"/>
      <c r="O188" s="111"/>
      <c r="P188" s="111"/>
      <c r="Q188" s="111"/>
      <c r="R188" s="111"/>
      <c r="S188" s="111"/>
      <c r="T188" s="111"/>
      <c r="U188" s="111"/>
      <c r="V188" s="111"/>
      <c r="W188" s="111"/>
      <c r="X188" s="111"/>
      <c r="Y188" s="111"/>
      <c r="Z188" s="111"/>
      <c r="AA188" s="111"/>
      <c r="AB188" s="111"/>
      <c r="AC188" s="111"/>
      <c r="AD188" s="111"/>
      <c r="AE188" s="111"/>
      <c r="AF188" s="111"/>
      <c r="AG188" s="111"/>
      <c r="AH188" s="111"/>
      <c r="AI188" s="111"/>
      <c r="AJ188" s="111"/>
      <c r="AK188" s="111"/>
      <c r="AL188" s="111"/>
      <c r="AM188" s="111"/>
      <c r="AN188" s="111"/>
      <c r="AO188" s="111"/>
    </row>
    <row r="189" spans="3:43" x14ac:dyDescent="0.25">
      <c r="C189" s="82"/>
      <c r="D189" s="293"/>
      <c r="E189" s="293" t="s">
        <v>1136</v>
      </c>
      <c r="G189" s="293" t="s">
        <v>94</v>
      </c>
      <c r="J189" s="504">
        <f>J185/$H187</f>
        <v>0.48361427035656279</v>
      </c>
      <c r="K189" s="504">
        <f t="shared" ref="K189:AO189" si="51">K185/$H187</f>
        <v>0</v>
      </c>
      <c r="L189" s="504">
        <f t="shared" si="51"/>
        <v>0</v>
      </c>
      <c r="M189" s="504">
        <f t="shared" si="51"/>
        <v>8.8612512810430696E-3</v>
      </c>
      <c r="N189" s="504">
        <f t="shared" si="51"/>
        <v>2.1872694694565539E-2</v>
      </c>
      <c r="O189" s="504">
        <f t="shared" si="51"/>
        <v>2.6243299408363074E-2</v>
      </c>
      <c r="P189" s="504">
        <f t="shared" si="51"/>
        <v>6.6049834799146362E-2</v>
      </c>
      <c r="Q189" s="504">
        <f t="shared" si="51"/>
        <v>0</v>
      </c>
      <c r="R189" s="504">
        <f t="shared" si="51"/>
        <v>0</v>
      </c>
      <c r="S189" s="504">
        <f t="shared" si="51"/>
        <v>3.7616193994240855E-2</v>
      </c>
      <c r="T189" s="504">
        <f t="shared" si="51"/>
        <v>3.6142856972342319E-2</v>
      </c>
      <c r="U189" s="504">
        <f t="shared" si="51"/>
        <v>2.9789602878407335E-2</v>
      </c>
      <c r="V189" s="504">
        <f t="shared" si="51"/>
        <v>0.10366928273617822</v>
      </c>
      <c r="W189" s="504">
        <f t="shared" si="51"/>
        <v>0</v>
      </c>
      <c r="X189" s="504">
        <f t="shared" si="51"/>
        <v>2.0226930584094415E-5</v>
      </c>
      <c r="Y189" s="504">
        <f t="shared" si="51"/>
        <v>2.8573857041744728E-4</v>
      </c>
      <c r="Z189" s="504">
        <f t="shared" si="51"/>
        <v>5.2366175097426164E-4</v>
      </c>
      <c r="AA189" s="504">
        <f t="shared" si="51"/>
        <v>5.1182866947643299E-3</v>
      </c>
      <c r="AB189" s="504">
        <f t="shared" si="51"/>
        <v>0</v>
      </c>
      <c r="AC189" s="504">
        <f t="shared" si="51"/>
        <v>1.1871229901160758E-2</v>
      </c>
      <c r="AD189" s="504">
        <f t="shared" si="51"/>
        <v>4.1175503898845001E-2</v>
      </c>
      <c r="AE189" s="504">
        <f t="shared" si="51"/>
        <v>3.2681584081025963E-2</v>
      </c>
      <c r="AF189" s="504">
        <f t="shared" si="51"/>
        <v>8.678488935919669E-2</v>
      </c>
      <c r="AG189" s="504">
        <f t="shared" si="51"/>
        <v>7.6795916921818721E-3</v>
      </c>
      <c r="AH189" s="504">
        <f t="shared" si="51"/>
        <v>0</v>
      </c>
      <c r="AI189" s="504">
        <f t="shared" si="51"/>
        <v>0</v>
      </c>
      <c r="AJ189" s="504">
        <f t="shared" si="51"/>
        <v>0</v>
      </c>
      <c r="AK189" s="504">
        <f t="shared" si="51"/>
        <v>0</v>
      </c>
      <c r="AL189" s="504">
        <f t="shared" si="51"/>
        <v>0</v>
      </c>
      <c r="AM189" s="504">
        <f t="shared" si="51"/>
        <v>0</v>
      </c>
      <c r="AN189" s="504">
        <f t="shared" si="51"/>
        <v>0</v>
      </c>
      <c r="AO189" s="504">
        <f t="shared" si="51"/>
        <v>0</v>
      </c>
    </row>
    <row r="190" spans="3:43" x14ac:dyDescent="0.25">
      <c r="C190" s="82"/>
      <c r="D190" s="293"/>
      <c r="E190" s="293"/>
      <c r="J190" s="111"/>
      <c r="K190" s="111"/>
      <c r="L190" s="111"/>
      <c r="M190" s="111"/>
      <c r="N190" s="111"/>
      <c r="O190" s="111"/>
      <c r="P190" s="111"/>
      <c r="Q190" s="111"/>
      <c r="R190" s="111"/>
      <c r="S190" s="111"/>
      <c r="T190" s="111"/>
      <c r="U190" s="111"/>
      <c r="V190" s="111"/>
      <c r="W190" s="111"/>
      <c r="X190" s="111"/>
      <c r="Y190" s="111"/>
      <c r="Z190" s="111"/>
      <c r="AA190" s="111"/>
      <c r="AB190" s="111"/>
      <c r="AC190" s="111"/>
      <c r="AD190" s="111"/>
      <c r="AE190" s="111"/>
      <c r="AF190" s="111"/>
      <c r="AG190" s="111"/>
      <c r="AH190" s="111"/>
      <c r="AI190" s="111"/>
      <c r="AJ190" s="111"/>
      <c r="AK190" s="111"/>
      <c r="AL190" s="111"/>
      <c r="AM190" s="111"/>
      <c r="AN190" s="111"/>
      <c r="AO190" s="111"/>
    </row>
    <row r="191" spans="3:43" x14ac:dyDescent="0.25">
      <c r="C191" s="82"/>
      <c r="D191" s="293"/>
      <c r="E191" s="293" t="s">
        <v>1137</v>
      </c>
      <c r="G191" s="293" t="s">
        <v>107</v>
      </c>
      <c r="J191" s="237">
        <f>$H$85 * J189</f>
        <v>59798357.075522393</v>
      </c>
      <c r="K191" s="237">
        <f t="shared" ref="K191:AO191" si="52">$H$85 * K189</f>
        <v>0</v>
      </c>
      <c r="L191" s="237">
        <f t="shared" si="52"/>
        <v>0</v>
      </c>
      <c r="M191" s="237">
        <f t="shared" si="52"/>
        <v>1095683.6899148235</v>
      </c>
      <c r="N191" s="237">
        <f t="shared" si="52"/>
        <v>2704533.9389699525</v>
      </c>
      <c r="O191" s="237">
        <f t="shared" si="52"/>
        <v>3244954.2642819672</v>
      </c>
      <c r="P191" s="237">
        <f t="shared" si="52"/>
        <v>8166987.3041309873</v>
      </c>
      <c r="Q191" s="237">
        <f t="shared" si="52"/>
        <v>0</v>
      </c>
      <c r="R191" s="237">
        <f t="shared" si="52"/>
        <v>0</v>
      </c>
      <c r="S191" s="237">
        <f t="shared" si="52"/>
        <v>4651199.8056452945</v>
      </c>
      <c r="T191" s="237">
        <f t="shared" si="52"/>
        <v>4469023.3507133126</v>
      </c>
      <c r="U191" s="237">
        <f t="shared" si="52"/>
        <v>3683450.6739175213</v>
      </c>
      <c r="V191" s="237">
        <f t="shared" si="52"/>
        <v>12818589.456118908</v>
      </c>
      <c r="W191" s="237">
        <f t="shared" si="52"/>
        <v>0</v>
      </c>
      <c r="X191" s="237">
        <f t="shared" si="52"/>
        <v>2501.037069724402</v>
      </c>
      <c r="Y191" s="237">
        <f t="shared" si="52"/>
        <v>35331.250774452958</v>
      </c>
      <c r="Z191" s="237">
        <f t="shared" si="52"/>
        <v>64750.182719928176</v>
      </c>
      <c r="AA191" s="237">
        <f t="shared" si="52"/>
        <v>632870.3558783629</v>
      </c>
      <c r="AB191" s="237">
        <f t="shared" si="52"/>
        <v>0</v>
      </c>
      <c r="AC191" s="237">
        <f t="shared" si="52"/>
        <v>1467864.1389796948</v>
      </c>
      <c r="AD191" s="237">
        <f t="shared" si="52"/>
        <v>5091304.446190821</v>
      </c>
      <c r="AE191" s="237">
        <f t="shared" si="52"/>
        <v>4041040.8758823723</v>
      </c>
      <c r="AF191" s="237">
        <f t="shared" si="52"/>
        <v>10730853.328283148</v>
      </c>
      <c r="AG191" s="237">
        <f t="shared" si="52"/>
        <v>949572.81939741876</v>
      </c>
      <c r="AH191" s="237">
        <f t="shared" si="52"/>
        <v>0</v>
      </c>
      <c r="AI191" s="237">
        <f t="shared" si="52"/>
        <v>0</v>
      </c>
      <c r="AJ191" s="237">
        <f t="shared" si="52"/>
        <v>0</v>
      </c>
      <c r="AK191" s="237">
        <f t="shared" si="52"/>
        <v>0</v>
      </c>
      <c r="AL191" s="237">
        <f t="shared" si="52"/>
        <v>0</v>
      </c>
      <c r="AM191" s="237">
        <f t="shared" si="52"/>
        <v>0</v>
      </c>
      <c r="AN191" s="237">
        <f t="shared" si="52"/>
        <v>0</v>
      </c>
      <c r="AO191" s="237">
        <f t="shared" si="52"/>
        <v>0</v>
      </c>
    </row>
    <row r="192" spans="3:43" x14ac:dyDescent="0.25">
      <c r="C192" s="82"/>
      <c r="D192" s="293"/>
      <c r="E192" s="293"/>
      <c r="J192" s="111"/>
      <c r="K192" s="111"/>
      <c r="L192" s="111"/>
      <c r="M192" s="111"/>
      <c r="N192" s="111"/>
      <c r="O192" s="111"/>
      <c r="P192" s="111"/>
      <c r="Q192" s="111"/>
      <c r="R192" s="111"/>
      <c r="S192" s="111"/>
      <c r="T192" s="111"/>
      <c r="U192" s="111"/>
      <c r="V192" s="111"/>
      <c r="W192" s="111"/>
      <c r="X192" s="111"/>
      <c r="Y192" s="111"/>
      <c r="Z192" s="111"/>
      <c r="AA192" s="111"/>
      <c r="AB192" s="111"/>
      <c r="AC192" s="111"/>
      <c r="AD192" s="111"/>
      <c r="AE192" s="111"/>
      <c r="AF192" s="111"/>
      <c r="AG192" s="111"/>
      <c r="AH192" s="111"/>
      <c r="AI192" s="111"/>
      <c r="AJ192" s="111"/>
      <c r="AK192" s="111"/>
      <c r="AL192" s="111"/>
      <c r="AM192" s="111"/>
      <c r="AN192" s="111"/>
      <c r="AO192" s="111"/>
    </row>
    <row r="193" spans="3:43" x14ac:dyDescent="0.25">
      <c r="C193" s="7" t="str">
        <f ca="1">INDEX('Version control'!$H$35:$H$61,MATCH($A$1,'Version control'!$F$35:$F$61,0),1)&amp;"-G: Calculating the residual fixed charge"</f>
        <v>Section 519-G: Calculating the residual fixed charge</v>
      </c>
      <c r="D193" s="7"/>
      <c r="E193" s="7"/>
      <c r="F193" s="7"/>
      <c r="G193" s="7"/>
      <c r="H193" s="7"/>
      <c r="I193" s="7"/>
      <c r="J193" s="171"/>
      <c r="K193" s="171"/>
      <c r="L193" s="171"/>
      <c r="M193" s="171"/>
      <c r="N193" s="171"/>
      <c r="O193" s="171"/>
      <c r="P193" s="171"/>
      <c r="Q193" s="171"/>
      <c r="R193" s="171"/>
      <c r="S193" s="171"/>
      <c r="T193" s="171"/>
      <c r="U193" s="171"/>
      <c r="V193" s="171"/>
      <c r="W193" s="171"/>
      <c r="X193" s="171"/>
      <c r="Y193" s="171"/>
      <c r="Z193" s="171"/>
      <c r="AA193" s="171"/>
      <c r="AB193" s="171"/>
      <c r="AC193" s="171"/>
      <c r="AD193" s="171"/>
      <c r="AE193" s="171"/>
      <c r="AF193" s="171"/>
      <c r="AG193" s="171"/>
      <c r="AH193" s="171"/>
      <c r="AI193" s="171"/>
      <c r="AJ193" s="171"/>
      <c r="AK193" s="171"/>
      <c r="AL193" s="171"/>
      <c r="AM193" s="171"/>
      <c r="AN193" s="171"/>
      <c r="AO193" s="171"/>
    </row>
    <row r="194" spans="3:43" x14ac:dyDescent="0.25">
      <c r="C194" s="82"/>
      <c r="D194" s="293"/>
      <c r="E194" s="293"/>
      <c r="J194" s="111"/>
      <c r="K194" s="111"/>
      <c r="L194" s="111"/>
      <c r="M194" s="111"/>
      <c r="N194" s="111"/>
      <c r="O194" s="111"/>
      <c r="P194" s="111"/>
      <c r="Q194" s="111"/>
      <c r="R194" s="111"/>
      <c r="S194" s="111"/>
      <c r="T194" s="111"/>
      <c r="U194" s="111"/>
      <c r="V194" s="111"/>
      <c r="W194" s="111"/>
      <c r="X194" s="111"/>
      <c r="Y194" s="111"/>
      <c r="Z194" s="111"/>
      <c r="AA194" s="111"/>
      <c r="AB194" s="111"/>
      <c r="AC194" s="111"/>
      <c r="AD194" s="111"/>
      <c r="AE194" s="111"/>
      <c r="AF194" s="111"/>
      <c r="AG194" s="111"/>
      <c r="AH194" s="111"/>
      <c r="AI194" s="111"/>
      <c r="AJ194" s="111"/>
      <c r="AK194" s="111"/>
      <c r="AL194" s="111"/>
      <c r="AM194" s="111"/>
      <c r="AN194" s="111"/>
      <c r="AO194" s="111"/>
    </row>
    <row r="195" spans="3:43" x14ac:dyDescent="0.25">
      <c r="C195" s="82"/>
      <c r="D195" s="82" t="s">
        <v>1138</v>
      </c>
      <c r="E195" s="293"/>
      <c r="J195" s="111"/>
      <c r="K195" s="111"/>
      <c r="L195" s="111"/>
      <c r="M195" s="111"/>
      <c r="N195" s="111"/>
      <c r="O195" s="111"/>
      <c r="P195" s="111"/>
      <c r="Q195" s="111"/>
      <c r="R195" s="111"/>
      <c r="S195" s="111"/>
      <c r="T195" s="111"/>
      <c r="U195" s="111"/>
      <c r="V195" s="111"/>
      <c r="W195" s="111"/>
      <c r="X195" s="111"/>
      <c r="Y195" s="111"/>
      <c r="Z195" s="111"/>
      <c r="AA195" s="111"/>
      <c r="AB195" s="111"/>
      <c r="AC195" s="111"/>
      <c r="AD195" s="111"/>
      <c r="AE195" s="111"/>
      <c r="AF195" s="111"/>
      <c r="AG195" s="111"/>
      <c r="AH195" s="111"/>
      <c r="AI195" s="111"/>
      <c r="AJ195" s="111"/>
      <c r="AK195" s="111"/>
      <c r="AL195" s="111"/>
      <c r="AM195" s="111"/>
      <c r="AN195" s="111"/>
      <c r="AO195" s="111"/>
    </row>
    <row r="196" spans="3:43" x14ac:dyDescent="0.25">
      <c r="C196" s="82"/>
      <c r="D196" s="293"/>
      <c r="E196" s="293"/>
      <c r="J196" s="237"/>
      <c r="K196" s="237"/>
      <c r="L196" s="237"/>
      <c r="M196" s="237"/>
      <c r="N196" s="237"/>
      <c r="O196" s="237"/>
      <c r="P196" s="237"/>
      <c r="Q196" s="237"/>
      <c r="R196" s="237"/>
      <c r="S196" s="237"/>
      <c r="T196" s="237"/>
      <c r="U196" s="237"/>
      <c r="V196" s="237"/>
      <c r="W196" s="237"/>
      <c r="X196" s="237"/>
      <c r="Y196" s="237"/>
      <c r="Z196" s="237"/>
      <c r="AA196" s="237"/>
      <c r="AB196" s="237"/>
      <c r="AC196" s="237"/>
      <c r="AD196" s="237"/>
      <c r="AE196" s="237"/>
      <c r="AF196" s="237"/>
      <c r="AG196" s="237"/>
      <c r="AH196" s="237"/>
      <c r="AI196" s="237"/>
      <c r="AJ196" s="237"/>
      <c r="AK196" s="237"/>
      <c r="AL196" s="237"/>
      <c r="AM196" s="237"/>
      <c r="AN196" s="237"/>
      <c r="AO196" s="237"/>
    </row>
    <row r="197" spans="3:43" x14ac:dyDescent="0.25">
      <c r="C197" s="82"/>
      <c r="D197" s="293"/>
      <c r="E197" s="293" t="s">
        <v>1025</v>
      </c>
      <c r="G197" s="293" t="s">
        <v>1230</v>
      </c>
      <c r="I197" s="293" t="s">
        <v>359</v>
      </c>
      <c r="J197" s="237">
        <f t="shared" ref="J197:AO197" si="53">IF(J33, J191/J154, 0)</f>
        <v>20.104715843097694</v>
      </c>
      <c r="K197" s="237">
        <f t="shared" si="53"/>
        <v>0</v>
      </c>
      <c r="L197" s="237">
        <f t="shared" si="53"/>
        <v>0</v>
      </c>
      <c r="M197" s="237">
        <f t="shared" si="53"/>
        <v>11.796425948793095</v>
      </c>
      <c r="N197" s="237">
        <f t="shared" si="53"/>
        <v>38.749703060533086</v>
      </c>
      <c r="O197" s="237">
        <f t="shared" si="53"/>
        <v>87.8240677995026</v>
      </c>
      <c r="P197" s="237">
        <f t="shared" si="53"/>
        <v>238.9435634565331</v>
      </c>
      <c r="Q197" s="237">
        <f t="shared" si="53"/>
        <v>0</v>
      </c>
      <c r="R197" s="237">
        <f t="shared" si="53"/>
        <v>0</v>
      </c>
      <c r="S197" s="237">
        <f t="shared" si="53"/>
        <v>438.38449728275435</v>
      </c>
      <c r="T197" s="237">
        <f t="shared" si="53"/>
        <v>814.85527052500902</v>
      </c>
      <c r="U197" s="237">
        <f t="shared" si="53"/>
        <v>1261.0536042674535</v>
      </c>
      <c r="V197" s="237">
        <f t="shared" si="53"/>
        <v>3224.7152377978714</v>
      </c>
      <c r="W197" s="237">
        <f t="shared" si="53"/>
        <v>0</v>
      </c>
      <c r="X197" s="237">
        <f t="shared" si="53"/>
        <v>438.38449728275435</v>
      </c>
      <c r="Y197" s="237">
        <f t="shared" si="53"/>
        <v>814.85527052500902</v>
      </c>
      <c r="Z197" s="237">
        <f t="shared" si="53"/>
        <v>1261.0536042674535</v>
      </c>
      <c r="AA197" s="237">
        <f t="shared" si="53"/>
        <v>3224.7152377978709</v>
      </c>
      <c r="AB197" s="237">
        <f t="shared" si="53"/>
        <v>0</v>
      </c>
      <c r="AC197" s="237">
        <f t="shared" si="53"/>
        <v>2687.7162245245768</v>
      </c>
      <c r="AD197" s="237">
        <f t="shared" si="53"/>
        <v>7841.7690460611548</v>
      </c>
      <c r="AE197" s="237">
        <f t="shared" si="53"/>
        <v>14393.332441113709</v>
      </c>
      <c r="AF197" s="237">
        <f t="shared" si="53"/>
        <v>37813.086694734338</v>
      </c>
      <c r="AG197" s="237">
        <f t="shared" si="53"/>
        <v>0</v>
      </c>
      <c r="AH197" s="237">
        <f t="shared" si="53"/>
        <v>0</v>
      </c>
      <c r="AI197" s="237">
        <f t="shared" si="53"/>
        <v>0</v>
      </c>
      <c r="AJ197" s="237">
        <f t="shared" si="53"/>
        <v>0</v>
      </c>
      <c r="AK197" s="237">
        <f t="shared" si="53"/>
        <v>0</v>
      </c>
      <c r="AL197" s="237">
        <f t="shared" si="53"/>
        <v>0</v>
      </c>
      <c r="AM197" s="237">
        <f t="shared" si="53"/>
        <v>0</v>
      </c>
      <c r="AN197" s="237">
        <f t="shared" si="53"/>
        <v>0</v>
      </c>
      <c r="AO197" s="237">
        <f t="shared" si="53"/>
        <v>0</v>
      </c>
      <c r="AQ197" s="293" t="s">
        <v>1243</v>
      </c>
    </row>
    <row r="198" spans="3:43" x14ac:dyDescent="0.25">
      <c r="C198" s="82"/>
      <c r="D198" s="293"/>
      <c r="E198" s="293"/>
      <c r="J198" s="111"/>
      <c r="K198" s="111"/>
      <c r="L198" s="111"/>
      <c r="M198" s="111"/>
      <c r="N198" s="111"/>
      <c r="O198" s="111"/>
      <c r="P198" s="111"/>
      <c r="Q198" s="111"/>
      <c r="R198" s="111"/>
      <c r="S198" s="111"/>
      <c r="T198" s="111"/>
      <c r="U198" s="111"/>
      <c r="V198" s="111"/>
      <c r="W198" s="111"/>
      <c r="X198" s="111"/>
      <c r="Y198" s="111"/>
      <c r="Z198" s="111"/>
      <c r="AA198" s="111"/>
      <c r="AB198" s="111"/>
      <c r="AC198" s="111"/>
      <c r="AD198" s="111"/>
      <c r="AE198" s="111"/>
      <c r="AF198" s="111"/>
      <c r="AG198" s="111"/>
      <c r="AH198" s="111"/>
      <c r="AI198" s="111"/>
      <c r="AJ198" s="111"/>
      <c r="AK198" s="111"/>
      <c r="AL198" s="111"/>
      <c r="AM198" s="111"/>
      <c r="AN198" s="111"/>
      <c r="AO198" s="111"/>
    </row>
    <row r="199" spans="3:43" x14ac:dyDescent="0.25">
      <c r="C199" s="82"/>
      <c r="D199" s="293"/>
      <c r="E199" s="293" t="s">
        <v>1025</v>
      </c>
      <c r="G199" s="293" t="s">
        <v>252</v>
      </c>
      <c r="I199" s="293" t="s">
        <v>359</v>
      </c>
      <c r="J199" s="237">
        <f t="shared" ref="J199:AO199" si="54">J197 * hundred / days_in_year</f>
        <v>5.4930917604092055</v>
      </c>
      <c r="K199" s="237">
        <f t="shared" si="54"/>
        <v>0</v>
      </c>
      <c r="L199" s="237">
        <f t="shared" si="54"/>
        <v>0</v>
      </c>
      <c r="M199" s="237">
        <f t="shared" si="54"/>
        <v>3.223067199123796</v>
      </c>
      <c r="N199" s="237">
        <f t="shared" si="54"/>
        <v>10.587350562987183</v>
      </c>
      <c r="O199" s="237">
        <f t="shared" si="54"/>
        <v>23.99564693975481</v>
      </c>
      <c r="P199" s="237">
        <f t="shared" si="54"/>
        <v>65.28512662746806</v>
      </c>
      <c r="Q199" s="237">
        <f t="shared" si="54"/>
        <v>0</v>
      </c>
      <c r="R199" s="237">
        <f t="shared" si="54"/>
        <v>0</v>
      </c>
      <c r="S199" s="237">
        <f t="shared" si="54"/>
        <v>119.7771850499329</v>
      </c>
      <c r="T199" s="237">
        <f t="shared" si="54"/>
        <v>222.63805205601338</v>
      </c>
      <c r="U199" s="237">
        <f t="shared" si="54"/>
        <v>344.55016510039712</v>
      </c>
      <c r="V199" s="237">
        <f t="shared" si="54"/>
        <v>881.06973710324348</v>
      </c>
      <c r="W199" s="237">
        <f t="shared" si="54"/>
        <v>0</v>
      </c>
      <c r="X199" s="237">
        <f t="shared" si="54"/>
        <v>119.7771850499329</v>
      </c>
      <c r="Y199" s="237">
        <f t="shared" si="54"/>
        <v>222.63805205601338</v>
      </c>
      <c r="Z199" s="237">
        <f t="shared" si="54"/>
        <v>344.55016510039712</v>
      </c>
      <c r="AA199" s="237">
        <f t="shared" si="54"/>
        <v>881.06973710324348</v>
      </c>
      <c r="AB199" s="237">
        <f t="shared" si="54"/>
        <v>0</v>
      </c>
      <c r="AC199" s="237">
        <f t="shared" si="54"/>
        <v>734.34869522529414</v>
      </c>
      <c r="AD199" s="237">
        <f t="shared" si="54"/>
        <v>2142.5598486505887</v>
      </c>
      <c r="AE199" s="237">
        <f t="shared" si="54"/>
        <v>3932.6044921075709</v>
      </c>
      <c r="AF199" s="237">
        <f t="shared" si="54"/>
        <v>10331.444452113208</v>
      </c>
      <c r="AG199" s="237">
        <f t="shared" si="54"/>
        <v>0</v>
      </c>
      <c r="AH199" s="237">
        <f t="shared" si="54"/>
        <v>0</v>
      </c>
      <c r="AI199" s="237">
        <f t="shared" si="54"/>
        <v>0</v>
      </c>
      <c r="AJ199" s="237">
        <f t="shared" si="54"/>
        <v>0</v>
      </c>
      <c r="AK199" s="237">
        <f t="shared" si="54"/>
        <v>0</v>
      </c>
      <c r="AL199" s="237">
        <f t="shared" si="54"/>
        <v>0</v>
      </c>
      <c r="AM199" s="237">
        <f t="shared" si="54"/>
        <v>0</v>
      </c>
      <c r="AN199" s="237">
        <f t="shared" si="54"/>
        <v>0</v>
      </c>
      <c r="AO199" s="237">
        <f t="shared" si="54"/>
        <v>0</v>
      </c>
      <c r="AQ199" s="293" t="s">
        <v>1244</v>
      </c>
    </row>
    <row r="200" spans="3:43" x14ac:dyDescent="0.25">
      <c r="C200" s="82"/>
      <c r="D200" s="293"/>
      <c r="E200" s="293"/>
      <c r="J200" s="111"/>
      <c r="K200" s="111"/>
      <c r="L200" s="111"/>
      <c r="M200" s="111"/>
      <c r="N200" s="111"/>
      <c r="O200" s="111"/>
      <c r="P200" s="111"/>
      <c r="Q200" s="111"/>
      <c r="R200" s="111"/>
      <c r="S200" s="111"/>
      <c r="T200" s="111"/>
      <c r="U200" s="111"/>
      <c r="V200" s="111"/>
      <c r="W200" s="111"/>
      <c r="X200" s="111"/>
      <c r="Y200" s="111"/>
      <c r="Z200" s="111"/>
      <c r="AA200" s="111"/>
      <c r="AB200" s="111"/>
      <c r="AC200" s="111"/>
      <c r="AD200" s="111"/>
      <c r="AE200" s="111"/>
      <c r="AF200" s="111"/>
      <c r="AG200" s="111"/>
      <c r="AH200" s="111"/>
      <c r="AI200" s="111"/>
      <c r="AJ200" s="111"/>
      <c r="AK200" s="111"/>
      <c r="AL200" s="111"/>
      <c r="AM200" s="111"/>
      <c r="AN200" s="111"/>
      <c r="AO200" s="111"/>
    </row>
    <row r="201" spans="3:43" x14ac:dyDescent="0.25">
      <c r="C201" s="7" t="str">
        <f ca="1">INDEX('Version control'!$H$35:$H$61,MATCH($A$1,'Version control'!$F$35:$F$61,0),1)&amp;"-H: Calculating the initial residual unit rate"</f>
        <v>Section 519-H: Calculating the initial residual unit rate</v>
      </c>
      <c r="D201" s="7"/>
      <c r="E201" s="7"/>
      <c r="F201" s="7"/>
      <c r="G201" s="7"/>
      <c r="H201" s="7"/>
      <c r="I201" s="7"/>
      <c r="J201" s="171"/>
      <c r="K201" s="171"/>
      <c r="L201" s="171"/>
      <c r="M201" s="171"/>
      <c r="N201" s="171"/>
      <c r="O201" s="171"/>
      <c r="P201" s="171"/>
      <c r="Q201" s="171"/>
      <c r="R201" s="171"/>
      <c r="S201" s="171"/>
      <c r="T201" s="171"/>
      <c r="U201" s="171"/>
      <c r="V201" s="171"/>
      <c r="W201" s="171"/>
      <c r="X201" s="171"/>
      <c r="Y201" s="171"/>
      <c r="Z201" s="171"/>
      <c r="AA201" s="171"/>
      <c r="AB201" s="171"/>
      <c r="AC201" s="171"/>
      <c r="AD201" s="171"/>
      <c r="AE201" s="171"/>
      <c r="AF201" s="171"/>
      <c r="AG201" s="171"/>
      <c r="AH201" s="171"/>
      <c r="AI201" s="171"/>
      <c r="AJ201" s="171"/>
      <c r="AK201" s="171"/>
      <c r="AL201" s="171"/>
      <c r="AM201" s="171"/>
      <c r="AN201" s="171"/>
      <c r="AO201" s="171"/>
    </row>
    <row r="202" spans="3:43" x14ac:dyDescent="0.25">
      <c r="C202" s="82"/>
      <c r="D202" s="293"/>
      <c r="E202" s="293"/>
      <c r="J202" s="111"/>
      <c r="K202" s="111"/>
      <c r="L202" s="111"/>
      <c r="M202" s="111"/>
      <c r="N202" s="111"/>
      <c r="O202" s="111"/>
      <c r="P202" s="111"/>
      <c r="Q202" s="111"/>
      <c r="R202" s="111"/>
      <c r="S202" s="111"/>
      <c r="T202" s="111"/>
      <c r="U202" s="111"/>
      <c r="V202" s="111"/>
      <c r="W202" s="111"/>
      <c r="X202" s="111"/>
      <c r="Y202" s="111"/>
      <c r="Z202" s="111"/>
      <c r="AA202" s="111"/>
      <c r="AB202" s="111"/>
      <c r="AC202" s="111"/>
      <c r="AD202" s="111"/>
      <c r="AE202" s="111"/>
      <c r="AF202" s="111"/>
      <c r="AG202" s="111"/>
      <c r="AH202" s="111"/>
      <c r="AI202" s="111"/>
      <c r="AJ202" s="111"/>
      <c r="AK202" s="111"/>
      <c r="AL202" s="111"/>
      <c r="AM202" s="111"/>
      <c r="AN202" s="111"/>
      <c r="AO202" s="111"/>
    </row>
    <row r="203" spans="3:43" x14ac:dyDescent="0.25">
      <c r="C203" s="82"/>
      <c r="D203" s="82" t="s">
        <v>1140</v>
      </c>
      <c r="E203" s="293"/>
      <c r="I203" s="293" t="s">
        <v>359</v>
      </c>
      <c r="J203" s="111"/>
      <c r="K203" s="111"/>
      <c r="L203" s="111"/>
      <c r="M203" s="111"/>
      <c r="N203" s="111"/>
      <c r="O203" s="111"/>
      <c r="P203" s="111"/>
      <c r="Q203" s="111"/>
      <c r="R203" s="111"/>
      <c r="S203" s="111"/>
      <c r="T203" s="111"/>
      <c r="U203" s="111"/>
      <c r="V203" s="111"/>
      <c r="W203" s="111"/>
      <c r="X203" s="111"/>
      <c r="Y203" s="111"/>
      <c r="Z203" s="111"/>
      <c r="AA203" s="111"/>
      <c r="AB203" s="111"/>
      <c r="AC203" s="111"/>
      <c r="AD203" s="111"/>
      <c r="AE203" s="111"/>
      <c r="AF203" s="111"/>
      <c r="AG203" s="111"/>
      <c r="AH203" s="111"/>
      <c r="AI203" s="111"/>
      <c r="AJ203" s="111"/>
      <c r="AK203" s="111"/>
      <c r="AL203" s="111"/>
      <c r="AM203" s="111"/>
      <c r="AN203" s="111"/>
      <c r="AO203" s="111"/>
      <c r="AQ203" s="293" t="s">
        <v>1236</v>
      </c>
    </row>
    <row r="204" spans="3:43" x14ac:dyDescent="0.25">
      <c r="C204" s="82"/>
      <c r="D204" s="82" t="s">
        <v>1141</v>
      </c>
      <c r="E204" s="293"/>
      <c r="J204" s="111"/>
      <c r="K204" s="111"/>
      <c r="L204" s="111"/>
      <c r="M204" s="111"/>
      <c r="N204" s="111"/>
      <c r="O204" s="111"/>
      <c r="P204" s="111"/>
      <c r="Q204" s="111"/>
      <c r="R204" s="111"/>
      <c r="S204" s="111"/>
      <c r="T204" s="111"/>
      <c r="U204" s="111"/>
      <c r="V204" s="111"/>
      <c r="W204" s="111"/>
      <c r="X204" s="111"/>
      <c r="Y204" s="111"/>
      <c r="Z204" s="111"/>
      <c r="AA204" s="111"/>
      <c r="AB204" s="111"/>
      <c r="AC204" s="111"/>
      <c r="AD204" s="111"/>
      <c r="AE204" s="111"/>
      <c r="AF204" s="111"/>
      <c r="AG204" s="111"/>
      <c r="AH204" s="111"/>
      <c r="AI204" s="111"/>
      <c r="AJ204" s="111"/>
      <c r="AK204" s="111"/>
      <c r="AL204" s="111"/>
      <c r="AM204" s="111"/>
      <c r="AN204" s="111"/>
      <c r="AO204" s="111"/>
    </row>
    <row r="205" spans="3:43" x14ac:dyDescent="0.25">
      <c r="C205" s="82"/>
      <c r="D205" s="293"/>
      <c r="E205" s="293"/>
      <c r="J205" s="111"/>
      <c r="K205" s="111"/>
      <c r="L205" s="111"/>
      <c r="M205" s="111"/>
      <c r="N205" s="111"/>
      <c r="O205" s="111"/>
      <c r="P205" s="111"/>
      <c r="Q205" s="111"/>
      <c r="R205" s="111"/>
      <c r="S205" s="111"/>
      <c r="T205" s="111"/>
      <c r="U205" s="111"/>
      <c r="V205" s="111"/>
      <c r="W205" s="111"/>
      <c r="X205" s="111"/>
      <c r="Y205" s="111"/>
      <c r="Z205" s="111"/>
      <c r="AA205" s="111"/>
      <c r="AB205" s="111"/>
      <c r="AC205" s="111"/>
      <c r="AD205" s="111"/>
      <c r="AE205" s="111"/>
      <c r="AF205" s="111"/>
      <c r="AG205" s="111"/>
      <c r="AH205" s="111"/>
      <c r="AI205" s="111"/>
      <c r="AJ205" s="111"/>
      <c r="AK205" s="111"/>
      <c r="AL205" s="111"/>
      <c r="AM205" s="111"/>
      <c r="AN205" s="111"/>
      <c r="AO205" s="111"/>
    </row>
    <row r="206" spans="3:43" x14ac:dyDescent="0.25">
      <c r="C206" s="82"/>
      <c r="D206" s="293"/>
      <c r="E206" s="293" t="s">
        <v>1142</v>
      </c>
      <c r="G206" s="293" t="s">
        <v>1143</v>
      </c>
      <c r="J206" s="441">
        <f t="shared" ref="J206:AO206" si="55">IF(J34, J191/J185, 0)</f>
        <v>0</v>
      </c>
      <c r="K206" s="441">
        <f t="shared" si="55"/>
        <v>0</v>
      </c>
      <c r="L206" s="441">
        <f t="shared" si="55"/>
        <v>0</v>
      </c>
      <c r="M206" s="441">
        <f t="shared" si="55"/>
        <v>0</v>
      </c>
      <c r="N206" s="441">
        <f t="shared" si="55"/>
        <v>0</v>
      </c>
      <c r="O206" s="441">
        <f t="shared" si="55"/>
        <v>0</v>
      </c>
      <c r="P206" s="441">
        <f t="shared" si="55"/>
        <v>0</v>
      </c>
      <c r="Q206" s="441">
        <f t="shared" si="55"/>
        <v>0</v>
      </c>
      <c r="R206" s="441">
        <f t="shared" si="55"/>
        <v>0</v>
      </c>
      <c r="S206" s="441">
        <f t="shared" si="55"/>
        <v>0</v>
      </c>
      <c r="T206" s="441">
        <f t="shared" si="55"/>
        <v>0</v>
      </c>
      <c r="U206" s="441">
        <f t="shared" si="55"/>
        <v>0</v>
      </c>
      <c r="V206" s="441">
        <f t="shared" si="55"/>
        <v>0</v>
      </c>
      <c r="W206" s="441">
        <f t="shared" si="55"/>
        <v>0</v>
      </c>
      <c r="X206" s="441">
        <f t="shared" si="55"/>
        <v>0</v>
      </c>
      <c r="Y206" s="441">
        <f t="shared" si="55"/>
        <v>0</v>
      </c>
      <c r="Z206" s="441">
        <f t="shared" si="55"/>
        <v>0</v>
      </c>
      <c r="AA206" s="441">
        <f t="shared" si="55"/>
        <v>0</v>
      </c>
      <c r="AB206" s="441">
        <f t="shared" si="55"/>
        <v>0</v>
      </c>
      <c r="AC206" s="441">
        <f t="shared" si="55"/>
        <v>0</v>
      </c>
      <c r="AD206" s="441">
        <f t="shared" si="55"/>
        <v>0</v>
      </c>
      <c r="AE206" s="441">
        <f t="shared" si="55"/>
        <v>0</v>
      </c>
      <c r="AF206" s="441">
        <f t="shared" si="55"/>
        <v>0</v>
      </c>
      <c r="AG206" s="441">
        <f t="shared" si="55"/>
        <v>4.8638640825841017</v>
      </c>
      <c r="AH206" s="441">
        <f t="shared" si="55"/>
        <v>0</v>
      </c>
      <c r="AI206" s="441">
        <f t="shared" si="55"/>
        <v>0</v>
      </c>
      <c r="AJ206" s="441">
        <f t="shared" si="55"/>
        <v>0</v>
      </c>
      <c r="AK206" s="441">
        <f t="shared" si="55"/>
        <v>0</v>
      </c>
      <c r="AL206" s="441">
        <f t="shared" si="55"/>
        <v>0</v>
      </c>
      <c r="AM206" s="441">
        <f t="shared" si="55"/>
        <v>0</v>
      </c>
      <c r="AN206" s="441">
        <f t="shared" si="55"/>
        <v>0</v>
      </c>
      <c r="AO206" s="441">
        <f t="shared" si="55"/>
        <v>0</v>
      </c>
    </row>
    <row r="207" spans="3:43" x14ac:dyDescent="0.25">
      <c r="C207" s="82"/>
      <c r="D207" s="293"/>
      <c r="E207" s="293"/>
      <c r="J207" s="441"/>
      <c r="K207" s="441"/>
      <c r="L207" s="441"/>
      <c r="M207" s="441"/>
      <c r="N207" s="441"/>
      <c r="O207" s="441"/>
      <c r="P207" s="441"/>
      <c r="Q207" s="441"/>
      <c r="R207" s="441"/>
      <c r="S207" s="441"/>
      <c r="T207" s="441"/>
      <c r="U207" s="441"/>
      <c r="V207" s="441"/>
      <c r="W207" s="441"/>
      <c r="X207" s="441"/>
      <c r="Y207" s="441"/>
      <c r="Z207" s="441"/>
      <c r="AA207" s="441"/>
      <c r="AB207" s="441"/>
      <c r="AC207" s="441"/>
      <c r="AD207" s="441"/>
      <c r="AE207" s="441"/>
      <c r="AF207" s="441"/>
      <c r="AG207" s="441"/>
      <c r="AH207" s="441"/>
      <c r="AI207" s="441"/>
      <c r="AJ207" s="441"/>
      <c r="AK207" s="441"/>
      <c r="AL207" s="441"/>
      <c r="AM207" s="441"/>
      <c r="AN207" s="441"/>
      <c r="AO207" s="441"/>
    </row>
    <row r="208" spans="3:43" x14ac:dyDescent="0.25">
      <c r="C208" s="82"/>
      <c r="E208" s="293" t="s">
        <v>1142</v>
      </c>
      <c r="G208" s="293" t="s">
        <v>183</v>
      </c>
      <c r="J208" s="441">
        <f t="shared" ref="J208:AO208" si="56">J206*hundred/thousand</f>
        <v>0</v>
      </c>
      <c r="K208" s="441">
        <f t="shared" si="56"/>
        <v>0</v>
      </c>
      <c r="L208" s="441">
        <f t="shared" si="56"/>
        <v>0</v>
      </c>
      <c r="M208" s="441">
        <f t="shared" si="56"/>
        <v>0</v>
      </c>
      <c r="N208" s="441">
        <f t="shared" si="56"/>
        <v>0</v>
      </c>
      <c r="O208" s="441">
        <f t="shared" si="56"/>
        <v>0</v>
      </c>
      <c r="P208" s="441">
        <f t="shared" si="56"/>
        <v>0</v>
      </c>
      <c r="Q208" s="441">
        <f t="shared" si="56"/>
        <v>0</v>
      </c>
      <c r="R208" s="441">
        <f t="shared" si="56"/>
        <v>0</v>
      </c>
      <c r="S208" s="441">
        <f t="shared" si="56"/>
        <v>0</v>
      </c>
      <c r="T208" s="441">
        <f t="shared" si="56"/>
        <v>0</v>
      </c>
      <c r="U208" s="441">
        <f t="shared" si="56"/>
        <v>0</v>
      </c>
      <c r="V208" s="441">
        <f t="shared" si="56"/>
        <v>0</v>
      </c>
      <c r="W208" s="441">
        <f t="shared" si="56"/>
        <v>0</v>
      </c>
      <c r="X208" s="441">
        <f t="shared" si="56"/>
        <v>0</v>
      </c>
      <c r="Y208" s="441">
        <f t="shared" si="56"/>
        <v>0</v>
      </c>
      <c r="Z208" s="441">
        <f t="shared" si="56"/>
        <v>0</v>
      </c>
      <c r="AA208" s="441">
        <f t="shared" si="56"/>
        <v>0</v>
      </c>
      <c r="AB208" s="441">
        <f t="shared" si="56"/>
        <v>0</v>
      </c>
      <c r="AC208" s="441">
        <f t="shared" si="56"/>
        <v>0</v>
      </c>
      <c r="AD208" s="441">
        <f t="shared" si="56"/>
        <v>0</v>
      </c>
      <c r="AE208" s="441">
        <f t="shared" si="56"/>
        <v>0</v>
      </c>
      <c r="AF208" s="441">
        <f t="shared" si="56"/>
        <v>0</v>
      </c>
      <c r="AG208" s="441">
        <f t="shared" si="56"/>
        <v>0.48638640825841017</v>
      </c>
      <c r="AH208" s="441">
        <f t="shared" si="56"/>
        <v>0</v>
      </c>
      <c r="AI208" s="441">
        <f t="shared" si="56"/>
        <v>0</v>
      </c>
      <c r="AJ208" s="441">
        <f t="shared" si="56"/>
        <v>0</v>
      </c>
      <c r="AK208" s="441">
        <f t="shared" si="56"/>
        <v>0</v>
      </c>
      <c r="AL208" s="441">
        <f t="shared" si="56"/>
        <v>0</v>
      </c>
      <c r="AM208" s="441">
        <f t="shared" si="56"/>
        <v>0</v>
      </c>
      <c r="AN208" s="441">
        <f t="shared" si="56"/>
        <v>0</v>
      </c>
      <c r="AO208" s="441">
        <f t="shared" si="56"/>
        <v>0</v>
      </c>
    </row>
    <row r="209" spans="2:43" x14ac:dyDescent="0.25">
      <c r="C209" s="82"/>
      <c r="D209" s="293"/>
      <c r="E209" s="293"/>
      <c r="J209" s="111"/>
      <c r="K209" s="111"/>
      <c r="L209" s="111"/>
      <c r="M209" s="111"/>
      <c r="N209" s="111"/>
      <c r="O209" s="111"/>
      <c r="P209" s="111"/>
      <c r="Q209" s="111"/>
      <c r="R209" s="111"/>
      <c r="S209" s="111"/>
      <c r="T209" s="111"/>
      <c r="U209" s="111"/>
      <c r="V209" s="111"/>
      <c r="W209" s="111"/>
      <c r="X209" s="111"/>
      <c r="Y209" s="111"/>
      <c r="Z209" s="111"/>
      <c r="AA209" s="111"/>
      <c r="AB209" s="111"/>
      <c r="AC209" s="111"/>
      <c r="AD209" s="111"/>
      <c r="AE209" s="111"/>
      <c r="AF209" s="111"/>
      <c r="AG209" s="111"/>
      <c r="AH209" s="111"/>
      <c r="AI209" s="111"/>
      <c r="AJ209" s="111"/>
      <c r="AK209" s="111"/>
      <c r="AL209" s="111"/>
      <c r="AM209" s="111"/>
      <c r="AN209" s="111"/>
      <c r="AO209" s="111"/>
    </row>
    <row r="210" spans="2:43" x14ac:dyDescent="0.25">
      <c r="B210" s="95" t="s">
        <v>1144</v>
      </c>
      <c r="C210" s="95"/>
      <c r="D210" s="95"/>
      <c r="E210" s="95"/>
      <c r="F210" s="95"/>
      <c r="G210" s="95"/>
      <c r="H210" s="95"/>
      <c r="I210" s="95"/>
      <c r="J210" s="160"/>
      <c r="K210" s="160"/>
      <c r="L210" s="160"/>
      <c r="M210" s="160"/>
      <c r="N210" s="160"/>
      <c r="O210" s="160"/>
      <c r="P210" s="160"/>
      <c r="Q210" s="160"/>
      <c r="R210" s="160"/>
      <c r="S210" s="160"/>
      <c r="T210" s="160"/>
      <c r="U210" s="160"/>
      <c r="V210" s="160"/>
      <c r="W210" s="160"/>
      <c r="X210" s="160"/>
      <c r="Y210" s="160"/>
      <c r="Z210" s="160"/>
      <c r="AA210" s="160"/>
      <c r="AB210" s="160"/>
      <c r="AC210" s="160"/>
      <c r="AD210" s="160"/>
      <c r="AE210" s="160"/>
      <c r="AF210" s="160"/>
      <c r="AG210" s="160"/>
      <c r="AH210" s="160"/>
      <c r="AI210" s="160"/>
      <c r="AJ210" s="160"/>
      <c r="AK210" s="160"/>
      <c r="AL210" s="160"/>
      <c r="AM210" s="160"/>
      <c r="AN210" s="160"/>
      <c r="AO210" s="160"/>
      <c r="AP210" s="72"/>
      <c r="AQ210" s="72"/>
    </row>
    <row r="211" spans="2:43" x14ac:dyDescent="0.25">
      <c r="C211" s="82"/>
      <c r="J211" s="111"/>
      <c r="K211" s="111"/>
      <c r="L211" s="111"/>
      <c r="M211" s="111"/>
      <c r="N211" s="111"/>
      <c r="O211" s="111"/>
      <c r="P211" s="111"/>
      <c r="Q211" s="111"/>
      <c r="R211" s="111"/>
      <c r="S211" s="111"/>
      <c r="T211" s="111"/>
      <c r="U211" s="111"/>
      <c r="V211" s="111"/>
      <c r="W211" s="111"/>
      <c r="X211" s="111"/>
      <c r="Y211" s="111"/>
      <c r="Z211" s="111"/>
      <c r="AA211" s="111"/>
      <c r="AB211" s="111"/>
      <c r="AC211" s="111"/>
      <c r="AD211" s="111"/>
      <c r="AE211" s="111"/>
      <c r="AF211" s="111"/>
      <c r="AG211" s="111"/>
      <c r="AH211" s="111"/>
      <c r="AI211" s="111"/>
      <c r="AJ211" s="111"/>
      <c r="AK211" s="111"/>
      <c r="AL211" s="111"/>
      <c r="AM211" s="111"/>
      <c r="AN211" s="111"/>
      <c r="AO211" s="111"/>
    </row>
    <row r="212" spans="2:43" x14ac:dyDescent="0.25">
      <c r="C212" s="82" t="s">
        <v>1145</v>
      </c>
      <c r="I212" s="293" t="s">
        <v>359</v>
      </c>
      <c r="J212" s="111"/>
      <c r="K212" s="111"/>
      <c r="L212" s="111"/>
      <c r="M212" s="111"/>
      <c r="N212" s="111"/>
      <c r="O212" s="111"/>
      <c r="P212" s="111"/>
      <c r="Q212" s="111"/>
      <c r="R212" s="111"/>
      <c r="S212" s="111"/>
      <c r="T212" s="111"/>
      <c r="U212" s="111"/>
      <c r="V212" s="111"/>
      <c r="W212" s="111"/>
      <c r="X212" s="111"/>
      <c r="Y212" s="111"/>
      <c r="Z212" s="111"/>
      <c r="AA212" s="111"/>
      <c r="AB212" s="111"/>
      <c r="AC212" s="111"/>
      <c r="AD212" s="111"/>
      <c r="AE212" s="111"/>
      <c r="AF212" s="111"/>
      <c r="AG212" s="111"/>
      <c r="AH212" s="111"/>
      <c r="AI212" s="111"/>
      <c r="AJ212" s="111"/>
      <c r="AK212" s="111"/>
      <c r="AL212" s="111"/>
      <c r="AM212" s="111"/>
      <c r="AN212" s="111"/>
      <c r="AO212" s="111"/>
      <c r="AQ212" s="293" t="s">
        <v>744</v>
      </c>
    </row>
    <row r="213" spans="2:43" x14ac:dyDescent="0.25">
      <c r="C213" s="82"/>
      <c r="J213" s="111"/>
      <c r="K213" s="111"/>
      <c r="L213" s="111"/>
      <c r="M213" s="111"/>
      <c r="N213" s="111"/>
      <c r="O213" s="111"/>
      <c r="P213" s="111"/>
      <c r="Q213" s="111"/>
      <c r="R213" s="111"/>
      <c r="S213" s="111"/>
      <c r="T213" s="111"/>
      <c r="U213" s="111"/>
      <c r="V213" s="111"/>
      <c r="W213" s="111"/>
      <c r="X213" s="111"/>
      <c r="Y213" s="111"/>
      <c r="Z213" s="111"/>
      <c r="AA213" s="111"/>
      <c r="AB213" s="111"/>
      <c r="AC213" s="111"/>
      <c r="AD213" s="111"/>
      <c r="AE213" s="111"/>
      <c r="AF213" s="111"/>
      <c r="AG213" s="111"/>
      <c r="AH213" s="111"/>
      <c r="AI213" s="111"/>
      <c r="AJ213" s="111"/>
      <c r="AK213" s="111"/>
      <c r="AL213" s="111"/>
      <c r="AM213" s="111"/>
      <c r="AN213" s="111"/>
      <c r="AO213" s="111"/>
    </row>
    <row r="214" spans="2:43" x14ac:dyDescent="0.25">
      <c r="C214" s="7" t="str">
        <f ca="1">INDEX('Version control'!$H$35:$H$61,MATCH($A$1,'Version control'!$F$35:$F$61,0),1)&amp;"-I: Floor on negative residual fixed charges"</f>
        <v>Section 519-I: Floor on negative residual fixed charges</v>
      </c>
      <c r="D214" s="7"/>
      <c r="E214" s="7"/>
      <c r="F214" s="7"/>
      <c r="G214" s="7"/>
      <c r="H214" s="7"/>
      <c r="I214" s="7"/>
      <c r="J214" s="171"/>
      <c r="K214" s="171"/>
      <c r="L214" s="171"/>
      <c r="M214" s="171"/>
      <c r="N214" s="171"/>
      <c r="O214" s="171"/>
      <c r="P214" s="171"/>
      <c r="Q214" s="171"/>
      <c r="R214" s="171"/>
      <c r="S214" s="171"/>
      <c r="T214" s="171"/>
      <c r="U214" s="171"/>
      <c r="V214" s="171"/>
      <c r="W214" s="171"/>
      <c r="X214" s="171"/>
      <c r="Y214" s="171"/>
      <c r="Z214" s="171"/>
      <c r="AA214" s="171"/>
      <c r="AB214" s="171"/>
      <c r="AC214" s="171"/>
      <c r="AD214" s="171"/>
      <c r="AE214" s="171"/>
      <c r="AF214" s="171"/>
      <c r="AG214" s="171"/>
      <c r="AH214" s="171"/>
      <c r="AI214" s="171"/>
      <c r="AJ214" s="171"/>
      <c r="AK214" s="171"/>
      <c r="AL214" s="171"/>
      <c r="AM214" s="171"/>
      <c r="AN214" s="171"/>
      <c r="AO214" s="171"/>
    </row>
    <row r="215" spans="2:43" x14ac:dyDescent="0.25">
      <c r="C215" s="82"/>
      <c r="J215" s="111"/>
      <c r="K215" s="111"/>
      <c r="L215" s="111"/>
      <c r="M215" s="111"/>
      <c r="N215" s="111"/>
      <c r="O215" s="111"/>
      <c r="P215" s="111"/>
      <c r="Q215" s="111"/>
      <c r="R215" s="111"/>
      <c r="S215" s="111"/>
      <c r="T215" s="111"/>
      <c r="U215" s="111"/>
      <c r="V215" s="111"/>
      <c r="W215" s="111"/>
      <c r="X215" s="111"/>
      <c r="Y215" s="111"/>
      <c r="Z215" s="111"/>
      <c r="AA215" s="111"/>
      <c r="AB215" s="111"/>
      <c r="AC215" s="111"/>
      <c r="AD215" s="111"/>
      <c r="AE215" s="111"/>
      <c r="AF215" s="111"/>
      <c r="AG215" s="111"/>
      <c r="AH215" s="111"/>
      <c r="AI215" s="111"/>
      <c r="AJ215" s="111"/>
      <c r="AK215" s="111"/>
      <c r="AL215" s="111"/>
      <c r="AM215" s="111"/>
      <c r="AN215" s="111"/>
      <c r="AO215" s="111"/>
    </row>
    <row r="216" spans="2:43" x14ac:dyDescent="0.25">
      <c r="C216" s="82"/>
      <c r="D216" s="82" t="s">
        <v>1146</v>
      </c>
      <c r="J216" s="111"/>
      <c r="K216" s="111"/>
      <c r="L216" s="111"/>
      <c r="M216" s="111"/>
      <c r="N216" s="111"/>
      <c r="O216" s="111"/>
      <c r="P216" s="111"/>
      <c r="Q216" s="111"/>
      <c r="R216" s="111"/>
      <c r="S216" s="111"/>
      <c r="T216" s="111"/>
      <c r="U216" s="111"/>
      <c r="V216" s="111"/>
      <c r="W216" s="111"/>
      <c r="X216" s="111"/>
      <c r="Y216" s="111"/>
      <c r="Z216" s="111"/>
      <c r="AA216" s="111"/>
      <c r="AB216" s="111"/>
      <c r="AC216" s="111"/>
      <c r="AD216" s="111"/>
      <c r="AE216" s="111"/>
      <c r="AF216" s="111"/>
      <c r="AG216" s="111"/>
      <c r="AH216" s="111"/>
      <c r="AI216" s="111"/>
      <c r="AJ216" s="111"/>
      <c r="AK216" s="111"/>
      <c r="AL216" s="111"/>
      <c r="AM216" s="111"/>
      <c r="AN216" s="111"/>
      <c r="AO216" s="111"/>
    </row>
    <row r="217" spans="2:43" x14ac:dyDescent="0.25">
      <c r="C217" s="82"/>
      <c r="D217" s="82" t="s">
        <v>1147</v>
      </c>
      <c r="J217" s="111"/>
      <c r="K217" s="111"/>
      <c r="L217" s="111"/>
      <c r="M217" s="111"/>
      <c r="N217" s="111"/>
      <c r="O217" s="111"/>
      <c r="P217" s="111"/>
      <c r="Q217" s="111"/>
      <c r="R217" s="111"/>
      <c r="S217" s="111"/>
      <c r="T217" s="111"/>
      <c r="U217" s="111"/>
      <c r="V217" s="111"/>
      <c r="W217" s="111"/>
      <c r="X217" s="111"/>
      <c r="Y217" s="111"/>
      <c r="Z217" s="111"/>
      <c r="AA217" s="111"/>
      <c r="AB217" s="111"/>
      <c r="AC217" s="111"/>
      <c r="AD217" s="111"/>
      <c r="AE217" s="111"/>
      <c r="AF217" s="111"/>
      <c r="AG217" s="111"/>
      <c r="AH217" s="111"/>
      <c r="AI217" s="111"/>
      <c r="AJ217" s="111"/>
      <c r="AK217" s="111"/>
      <c r="AL217" s="111"/>
      <c r="AM217" s="111"/>
      <c r="AN217" s="111"/>
      <c r="AO217" s="111"/>
    </row>
    <row r="218" spans="2:43" x14ac:dyDescent="0.25">
      <c r="C218" s="82"/>
      <c r="D218" s="82" t="s">
        <v>1148</v>
      </c>
      <c r="J218" s="111"/>
      <c r="K218" s="111"/>
      <c r="L218" s="111"/>
      <c r="M218" s="111"/>
      <c r="N218" s="111"/>
      <c r="O218" s="111"/>
      <c r="P218" s="111"/>
      <c r="Q218" s="111"/>
      <c r="R218" s="111"/>
      <c r="S218" s="111"/>
      <c r="T218" s="111"/>
      <c r="U218" s="111"/>
      <c r="V218" s="111"/>
      <c r="W218" s="111"/>
      <c r="X218" s="111"/>
      <c r="Y218" s="111"/>
      <c r="Z218" s="111"/>
      <c r="AA218" s="111"/>
      <c r="AB218" s="111"/>
      <c r="AC218" s="111"/>
      <c r="AD218" s="111"/>
      <c r="AE218" s="111"/>
      <c r="AF218" s="111"/>
      <c r="AG218" s="111"/>
      <c r="AH218" s="111"/>
      <c r="AI218" s="111"/>
      <c r="AJ218" s="111"/>
      <c r="AK218" s="111"/>
      <c r="AL218" s="111"/>
      <c r="AM218" s="111"/>
      <c r="AN218" s="111"/>
      <c r="AO218" s="111"/>
    </row>
    <row r="219" spans="2:43" x14ac:dyDescent="0.25">
      <c r="C219" s="82"/>
      <c r="J219" s="111"/>
      <c r="K219" s="111"/>
      <c r="L219" s="111"/>
      <c r="M219" s="111"/>
      <c r="N219" s="111"/>
      <c r="O219" s="111"/>
      <c r="P219" s="111"/>
      <c r="Q219" s="111"/>
      <c r="R219" s="111"/>
      <c r="S219" s="111"/>
      <c r="T219" s="111"/>
      <c r="U219" s="111"/>
      <c r="V219" s="111"/>
      <c r="W219" s="111"/>
      <c r="X219" s="111"/>
      <c r="Y219" s="111"/>
      <c r="Z219" s="111"/>
      <c r="AA219" s="111"/>
      <c r="AB219" s="111"/>
      <c r="AC219" s="111"/>
      <c r="AD219" s="111"/>
      <c r="AE219" s="111"/>
      <c r="AF219" s="111"/>
      <c r="AG219" s="111"/>
      <c r="AH219" s="111"/>
      <c r="AI219" s="111"/>
      <c r="AJ219" s="111"/>
      <c r="AK219" s="111"/>
      <c r="AL219" s="111"/>
      <c r="AM219" s="111"/>
      <c r="AN219" s="111"/>
      <c r="AO219" s="111"/>
    </row>
    <row r="220" spans="2:43" x14ac:dyDescent="0.25">
      <c r="C220" s="82"/>
      <c r="E220" s="82" t="s">
        <v>1240</v>
      </c>
      <c r="J220" s="111"/>
      <c r="K220" s="111"/>
      <c r="L220" s="111"/>
      <c r="M220" s="111"/>
      <c r="N220" s="111"/>
      <c r="O220" s="111"/>
      <c r="P220" s="111"/>
      <c r="Q220" s="111"/>
      <c r="R220" s="111"/>
      <c r="S220" s="111"/>
      <c r="T220" s="111"/>
      <c r="U220" s="111"/>
      <c r="V220" s="111"/>
      <c r="W220" s="111"/>
      <c r="X220" s="111"/>
      <c r="Y220" s="111"/>
      <c r="Z220" s="111"/>
      <c r="AA220" s="111"/>
      <c r="AB220" s="111"/>
      <c r="AC220" s="111"/>
      <c r="AD220" s="111"/>
      <c r="AE220" s="111"/>
      <c r="AF220" s="111"/>
      <c r="AG220" s="111"/>
      <c r="AH220" s="111"/>
      <c r="AI220" s="111"/>
      <c r="AJ220" s="111"/>
      <c r="AK220" s="111"/>
      <c r="AL220" s="111"/>
      <c r="AM220" s="111"/>
      <c r="AN220" s="111"/>
      <c r="AO220" s="111"/>
    </row>
    <row r="221" spans="2:43" x14ac:dyDescent="0.25">
      <c r="C221" s="82"/>
      <c r="E221" s="82" t="s">
        <v>1149</v>
      </c>
      <c r="J221" s="111"/>
      <c r="K221" s="111"/>
      <c r="L221" s="111"/>
      <c r="M221" s="111"/>
      <c r="N221" s="111"/>
      <c r="O221" s="111"/>
      <c r="P221" s="111"/>
      <c r="Q221" s="111"/>
      <c r="R221" s="111"/>
      <c r="S221" s="111"/>
      <c r="T221" s="111"/>
      <c r="U221" s="111"/>
      <c r="V221" s="111"/>
      <c r="W221" s="111"/>
      <c r="X221" s="111"/>
      <c r="Y221" s="111"/>
      <c r="Z221" s="111"/>
      <c r="AA221" s="111"/>
      <c r="AB221" s="111"/>
      <c r="AC221" s="111"/>
      <c r="AD221" s="111"/>
      <c r="AE221" s="111"/>
      <c r="AF221" s="111"/>
      <c r="AG221" s="111"/>
      <c r="AH221" s="111"/>
      <c r="AI221" s="111"/>
      <c r="AJ221" s="111"/>
      <c r="AK221" s="111"/>
      <c r="AL221" s="111"/>
      <c r="AM221" s="111"/>
      <c r="AN221" s="111"/>
      <c r="AO221" s="111"/>
    </row>
    <row r="222" spans="2:43" x14ac:dyDescent="0.25">
      <c r="C222" s="82"/>
      <c r="J222" s="111"/>
      <c r="K222" s="111"/>
      <c r="L222" s="111"/>
      <c r="M222" s="111"/>
      <c r="N222" s="111"/>
      <c r="O222" s="111"/>
      <c r="P222" s="111"/>
      <c r="Q222" s="111"/>
      <c r="R222" s="111"/>
      <c r="S222" s="111"/>
      <c r="T222" s="111"/>
      <c r="U222" s="111"/>
      <c r="V222" s="111"/>
      <c r="W222" s="111"/>
      <c r="X222" s="111"/>
      <c r="Y222" s="111"/>
      <c r="Z222" s="111"/>
      <c r="AA222" s="111"/>
      <c r="AB222" s="111"/>
      <c r="AC222" s="111"/>
      <c r="AD222" s="111"/>
      <c r="AE222" s="111"/>
      <c r="AF222" s="111"/>
      <c r="AG222" s="111"/>
      <c r="AH222" s="111"/>
      <c r="AI222" s="111"/>
      <c r="AJ222" s="111"/>
      <c r="AK222" s="111"/>
      <c r="AL222" s="111"/>
      <c r="AM222" s="111"/>
      <c r="AN222" s="111"/>
      <c r="AO222" s="111"/>
    </row>
    <row r="223" spans="2:43" x14ac:dyDescent="0.25">
      <c r="C223" s="82"/>
      <c r="E223" s="293" t="s">
        <v>1150</v>
      </c>
      <c r="G223" s="293" t="s">
        <v>252</v>
      </c>
      <c r="J223" s="237">
        <f t="array" ref="J223">MIN(IF($J150:$AO150=J150,$J43:$AO43+$J48:$AO48))</f>
        <v>5.1926640684165113</v>
      </c>
      <c r="K223" s="237">
        <f t="array" ref="K223">MIN(IF($J150:$AO150=K150,$J43:$AO43+$J48:$AO48))</f>
        <v>0</v>
      </c>
      <c r="L223" s="237">
        <f t="array" ref="L223">MIN(IF($J150:$AO150=L150,$J43:$AO43+$J48:$AO48))</f>
        <v>0</v>
      </c>
      <c r="M223" s="237">
        <f t="array" ref="M223">MIN(IF($J150:$AO150=M150,$J43:$AO43+$J48:$AO48))</f>
        <v>8.1540261864912296</v>
      </c>
      <c r="N223" s="237">
        <f t="array" ref="N223">MIN(IF($J150:$AO150=N150,$J43:$AO43+$J48:$AO48))</f>
        <v>8.1540261864912296</v>
      </c>
      <c r="O223" s="237">
        <f t="array" ref="O223">MIN(IF($J150:$AO150=O150,$J43:$AO43+$J48:$AO48))</f>
        <v>8.1540261864912296</v>
      </c>
      <c r="P223" s="237">
        <f t="array" ref="P223">MIN(IF($J150:$AO150=P150,$J43:$AO43+$J48:$AO48))</f>
        <v>8.1540261864912296</v>
      </c>
      <c r="Q223" s="237">
        <f t="array" ref="Q223">MIN(IF($J150:$AO150=Q150,$J43:$AO43+$J48:$AO48))</f>
        <v>0</v>
      </c>
      <c r="R223" s="237">
        <f t="array" ref="R223">MIN(IF($J150:$AO150=R150,$J43:$AO43+$J48:$AO48))</f>
        <v>0</v>
      </c>
      <c r="S223" s="237">
        <f t="array" ref="S223">MIN(IF($J150:$AO150=S150,$J43:$AO43+$J48:$AO48))</f>
        <v>17.265218941937768</v>
      </c>
      <c r="T223" s="237">
        <f t="array" ref="T223">MIN(IF($J150:$AO150=T150,$J43:$AO43+$J48:$AO48))</f>
        <v>17.265218941937768</v>
      </c>
      <c r="U223" s="237">
        <f t="array" ref="U223">MIN(IF($J150:$AO150=U150,$J43:$AO43+$J48:$AO48))</f>
        <v>17.265218941937768</v>
      </c>
      <c r="V223" s="237">
        <f t="array" ref="V223">MIN(IF($J150:$AO150=V150,$J43:$AO43+$J48:$AO48))</f>
        <v>17.265218941937768</v>
      </c>
      <c r="W223" s="237">
        <f t="array" ref="W223">MIN(IF($J150:$AO150=W150,$J43:$AO43+$J48:$AO48))</f>
        <v>0</v>
      </c>
      <c r="X223" s="237">
        <f t="array" ref="X223">MIN(IF($J150:$AO150=X150,$J43:$AO43+$J48:$AO48))</f>
        <v>17.265218941937768</v>
      </c>
      <c r="Y223" s="237">
        <f t="array" ref="Y223">MIN(IF($J150:$AO150=Y150,$J43:$AO43+$J48:$AO48))</f>
        <v>17.265218941937768</v>
      </c>
      <c r="Z223" s="237">
        <f t="array" ref="Z223">MIN(IF($J150:$AO150=Z150,$J43:$AO43+$J48:$AO48))</f>
        <v>17.265218941937768</v>
      </c>
      <c r="AA223" s="237">
        <f t="array" ref="AA223">MIN(IF($J150:$AO150=AA150,$J43:$AO43+$J48:$AO48))</f>
        <v>17.265218941937768</v>
      </c>
      <c r="AB223" s="237">
        <f t="array" ref="AB223">MIN(IF($J150:$AO150=AB150,$J43:$AO43+$J48:$AO48))</f>
        <v>0</v>
      </c>
      <c r="AC223" s="237">
        <f t="array" ref="AC223">MIN(IF($J150:$AO150=AC150,$J43:$AO43+$J48:$AO48))</f>
        <v>174.34507255411731</v>
      </c>
      <c r="AD223" s="237">
        <f t="array" ref="AD223">MIN(IF($J150:$AO150=AD150,$J43:$AO43+$J48:$AO48))</f>
        <v>174.34507255411731</v>
      </c>
      <c r="AE223" s="237">
        <f t="array" ref="AE223">MIN(IF($J150:$AO150=AE150,$J43:$AO43+$J48:$AO48))</f>
        <v>174.34507255411731</v>
      </c>
      <c r="AF223" s="237">
        <f t="array" ref="AF223">MIN(IF($J150:$AO150=AF150,$J43:$AO43+$J48:$AO48))</f>
        <v>174.34507255411731</v>
      </c>
      <c r="AG223" s="237">
        <f t="array" ref="AG223">MIN(IF($J150:$AO150=AG150,$J43:$AO43+$J48:$AO48))</f>
        <v>0</v>
      </c>
      <c r="AH223" s="237">
        <f t="array" ref="AH223">MIN(IF($J150:$AO150=AH150,$J43:$AO43+$J48:$AO48))</f>
        <v>0</v>
      </c>
      <c r="AI223" s="237">
        <f t="array" ref="AI223">MIN(IF($J150:$AO150=AI150,$J43:$AO43+$J48:$AO48))</f>
        <v>0</v>
      </c>
      <c r="AJ223" s="237">
        <f t="array" ref="AJ223">MIN(IF($J150:$AO150=AJ150,$J43:$AO43+$J48:$AO48))</f>
        <v>0</v>
      </c>
      <c r="AK223" s="237">
        <f t="array" ref="AK223">MIN(IF($J150:$AO150=AK150,$J43:$AO43+$J48:$AO48))</f>
        <v>0</v>
      </c>
      <c r="AL223" s="237">
        <f t="array" ref="AL223">MIN(IF($J150:$AO150=AL150,$J43:$AO43+$J48:$AO48))</f>
        <v>0</v>
      </c>
      <c r="AM223" s="237">
        <f t="array" ref="AM223">MIN(IF($J150:$AO150=AM150,$J43:$AO43+$J48:$AO48))</f>
        <v>0</v>
      </c>
      <c r="AN223" s="237">
        <f t="array" ref="AN223">MIN(IF($J150:$AO150=AN150,$J43:$AO43+$J48:$AO48))</f>
        <v>0</v>
      </c>
      <c r="AO223" s="237">
        <f t="array" ref="AO223">MIN(IF($J150:$AO150=AO150,$J43:$AO43+$J48:$AO48))</f>
        <v>0</v>
      </c>
    </row>
    <row r="224" spans="2:43" x14ac:dyDescent="0.25">
      <c r="C224" s="82"/>
      <c r="J224" s="111"/>
      <c r="K224" s="111"/>
      <c r="L224" s="111"/>
      <c r="M224" s="111"/>
      <c r="N224" s="111"/>
      <c r="O224" s="111"/>
      <c r="P224" s="111"/>
      <c r="Q224" s="111"/>
      <c r="R224" s="111"/>
      <c r="S224" s="111"/>
      <c r="T224" s="111"/>
      <c r="U224" s="111"/>
      <c r="V224" s="111"/>
      <c r="W224" s="111"/>
      <c r="X224" s="111"/>
      <c r="Y224" s="111"/>
      <c r="Z224" s="111"/>
      <c r="AA224" s="111"/>
      <c r="AB224" s="111"/>
      <c r="AC224" s="111"/>
      <c r="AD224" s="111"/>
      <c r="AE224" s="111"/>
      <c r="AF224" s="111"/>
      <c r="AG224" s="111"/>
      <c r="AH224" s="111"/>
      <c r="AI224" s="111"/>
      <c r="AJ224" s="111"/>
      <c r="AK224" s="111"/>
      <c r="AL224" s="111"/>
      <c r="AM224" s="111"/>
      <c r="AN224" s="111"/>
      <c r="AO224" s="111"/>
    </row>
    <row r="225" spans="3:43" x14ac:dyDescent="0.25">
      <c r="C225" s="82"/>
      <c r="E225" s="293" t="s">
        <v>1151</v>
      </c>
      <c r="G225" s="293" t="s">
        <v>252</v>
      </c>
      <c r="J225" s="237">
        <f>MAX(-J223,J199)</f>
        <v>5.4930917604092055</v>
      </c>
      <c r="K225" s="237">
        <f t="shared" ref="K225:AO225" si="57">MAX(-K223,K199)</f>
        <v>0</v>
      </c>
      <c r="L225" s="237">
        <f t="shared" si="57"/>
        <v>0</v>
      </c>
      <c r="M225" s="237">
        <f t="shared" si="57"/>
        <v>3.223067199123796</v>
      </c>
      <c r="N225" s="237">
        <f t="shared" si="57"/>
        <v>10.587350562987183</v>
      </c>
      <c r="O225" s="237">
        <f t="shared" si="57"/>
        <v>23.99564693975481</v>
      </c>
      <c r="P225" s="237">
        <f t="shared" si="57"/>
        <v>65.28512662746806</v>
      </c>
      <c r="Q225" s="237">
        <f t="shared" si="57"/>
        <v>0</v>
      </c>
      <c r="R225" s="237">
        <f t="shared" si="57"/>
        <v>0</v>
      </c>
      <c r="S225" s="237">
        <f t="shared" si="57"/>
        <v>119.7771850499329</v>
      </c>
      <c r="T225" s="237">
        <f t="shared" si="57"/>
        <v>222.63805205601338</v>
      </c>
      <c r="U225" s="237">
        <f t="shared" si="57"/>
        <v>344.55016510039712</v>
      </c>
      <c r="V225" s="237">
        <f t="shared" si="57"/>
        <v>881.06973710324348</v>
      </c>
      <c r="W225" s="237">
        <f t="shared" si="57"/>
        <v>0</v>
      </c>
      <c r="X225" s="237">
        <f t="shared" si="57"/>
        <v>119.7771850499329</v>
      </c>
      <c r="Y225" s="237">
        <f t="shared" si="57"/>
        <v>222.63805205601338</v>
      </c>
      <c r="Z225" s="237">
        <f t="shared" si="57"/>
        <v>344.55016510039712</v>
      </c>
      <c r="AA225" s="237">
        <f t="shared" si="57"/>
        <v>881.06973710324348</v>
      </c>
      <c r="AB225" s="237">
        <f t="shared" si="57"/>
        <v>0</v>
      </c>
      <c r="AC225" s="237">
        <f t="shared" si="57"/>
        <v>734.34869522529414</v>
      </c>
      <c r="AD225" s="237">
        <f t="shared" si="57"/>
        <v>2142.5598486505887</v>
      </c>
      <c r="AE225" s="237">
        <f t="shared" si="57"/>
        <v>3932.6044921075709</v>
      </c>
      <c r="AF225" s="237">
        <f t="shared" si="57"/>
        <v>10331.444452113208</v>
      </c>
      <c r="AG225" s="237">
        <f t="shared" si="57"/>
        <v>0</v>
      </c>
      <c r="AH225" s="237">
        <f t="shared" si="57"/>
        <v>0</v>
      </c>
      <c r="AI225" s="237">
        <f t="shared" si="57"/>
        <v>0</v>
      </c>
      <c r="AJ225" s="237">
        <f t="shared" si="57"/>
        <v>0</v>
      </c>
      <c r="AK225" s="237">
        <f t="shared" si="57"/>
        <v>0</v>
      </c>
      <c r="AL225" s="237">
        <f t="shared" si="57"/>
        <v>0</v>
      </c>
      <c r="AM225" s="237">
        <f t="shared" si="57"/>
        <v>0</v>
      </c>
      <c r="AN225" s="237">
        <f t="shared" si="57"/>
        <v>0</v>
      </c>
      <c r="AO225" s="237">
        <f t="shared" si="57"/>
        <v>0</v>
      </c>
    </row>
    <row r="226" spans="3:43" x14ac:dyDescent="0.25">
      <c r="C226" s="82"/>
      <c r="J226" s="111"/>
      <c r="K226" s="111"/>
      <c r="L226" s="111"/>
      <c r="M226" s="111"/>
      <c r="N226" s="111"/>
      <c r="O226" s="111"/>
      <c r="P226" s="111"/>
      <c r="Q226" s="111"/>
      <c r="R226" s="111"/>
      <c r="S226" s="111"/>
      <c r="T226" s="111"/>
      <c r="U226" s="111"/>
      <c r="V226" s="111"/>
      <c r="W226" s="111"/>
      <c r="X226" s="111"/>
      <c r="Y226" s="111"/>
      <c r="Z226" s="111"/>
      <c r="AA226" s="111"/>
      <c r="AB226" s="111"/>
      <c r="AC226" s="111"/>
      <c r="AD226" s="111"/>
      <c r="AE226" s="111"/>
      <c r="AF226" s="111"/>
      <c r="AG226" s="111"/>
      <c r="AH226" s="111"/>
      <c r="AI226" s="111"/>
      <c r="AJ226" s="111"/>
      <c r="AK226" s="111"/>
      <c r="AL226" s="111"/>
      <c r="AM226" s="111"/>
      <c r="AN226" s="111"/>
      <c r="AO226" s="111"/>
    </row>
    <row r="227" spans="3:43" x14ac:dyDescent="0.25">
      <c r="C227" s="82"/>
      <c r="E227" s="293" t="s">
        <v>1152</v>
      </c>
      <c r="G227" s="293" t="s">
        <v>252</v>
      </c>
      <c r="J227" s="237">
        <f xml:space="preserve"> J199 - J225</f>
        <v>0</v>
      </c>
      <c r="K227" s="237">
        <f t="shared" ref="K227:AO227" si="58" xml:space="preserve"> K199 - K225</f>
        <v>0</v>
      </c>
      <c r="L227" s="237">
        <f t="shared" si="58"/>
        <v>0</v>
      </c>
      <c r="M227" s="237">
        <f t="shared" si="58"/>
        <v>0</v>
      </c>
      <c r="N227" s="237">
        <f t="shared" si="58"/>
        <v>0</v>
      </c>
      <c r="O227" s="237">
        <f t="shared" si="58"/>
        <v>0</v>
      </c>
      <c r="P227" s="237">
        <f t="shared" si="58"/>
        <v>0</v>
      </c>
      <c r="Q227" s="237">
        <f t="shared" si="58"/>
        <v>0</v>
      </c>
      <c r="R227" s="237">
        <f t="shared" si="58"/>
        <v>0</v>
      </c>
      <c r="S227" s="237">
        <f t="shared" si="58"/>
        <v>0</v>
      </c>
      <c r="T227" s="237">
        <f t="shared" si="58"/>
        <v>0</v>
      </c>
      <c r="U227" s="237">
        <f t="shared" si="58"/>
        <v>0</v>
      </c>
      <c r="V227" s="237">
        <f t="shared" si="58"/>
        <v>0</v>
      </c>
      <c r="W227" s="237">
        <f t="shared" si="58"/>
        <v>0</v>
      </c>
      <c r="X227" s="237">
        <f t="shared" si="58"/>
        <v>0</v>
      </c>
      <c r="Y227" s="237">
        <f t="shared" si="58"/>
        <v>0</v>
      </c>
      <c r="Z227" s="237">
        <f t="shared" si="58"/>
        <v>0</v>
      </c>
      <c r="AA227" s="237">
        <f t="shared" si="58"/>
        <v>0</v>
      </c>
      <c r="AB227" s="237">
        <f t="shared" si="58"/>
        <v>0</v>
      </c>
      <c r="AC227" s="237">
        <f t="shared" si="58"/>
        <v>0</v>
      </c>
      <c r="AD227" s="237">
        <f t="shared" si="58"/>
        <v>0</v>
      </c>
      <c r="AE227" s="237">
        <f t="shared" si="58"/>
        <v>0</v>
      </c>
      <c r="AF227" s="237">
        <f t="shared" si="58"/>
        <v>0</v>
      </c>
      <c r="AG227" s="237">
        <f t="shared" si="58"/>
        <v>0</v>
      </c>
      <c r="AH227" s="237">
        <f t="shared" si="58"/>
        <v>0</v>
      </c>
      <c r="AI227" s="237">
        <f t="shared" si="58"/>
        <v>0</v>
      </c>
      <c r="AJ227" s="237">
        <f t="shared" si="58"/>
        <v>0</v>
      </c>
      <c r="AK227" s="237">
        <f t="shared" si="58"/>
        <v>0</v>
      </c>
      <c r="AL227" s="237">
        <f t="shared" si="58"/>
        <v>0</v>
      </c>
      <c r="AM227" s="237">
        <f t="shared" si="58"/>
        <v>0</v>
      </c>
      <c r="AN227" s="237">
        <f t="shared" si="58"/>
        <v>0</v>
      </c>
      <c r="AO227" s="237">
        <f t="shared" si="58"/>
        <v>0</v>
      </c>
    </row>
    <row r="228" spans="3:43" x14ac:dyDescent="0.25">
      <c r="C228" s="82"/>
      <c r="J228" s="111"/>
      <c r="K228" s="111"/>
      <c r="L228" s="111"/>
      <c r="M228" s="111"/>
      <c r="N228" s="111"/>
      <c r="O228" s="111"/>
      <c r="P228" s="111"/>
      <c r="Q228" s="111"/>
      <c r="R228" s="111"/>
      <c r="S228" s="111"/>
      <c r="T228" s="111"/>
      <c r="U228" s="111"/>
      <c r="V228" s="111"/>
      <c r="W228" s="111"/>
      <c r="X228" s="111"/>
      <c r="Y228" s="111"/>
      <c r="Z228" s="111"/>
      <c r="AA228" s="111"/>
      <c r="AB228" s="111"/>
      <c r="AC228" s="111"/>
      <c r="AD228" s="111"/>
      <c r="AE228" s="111"/>
      <c r="AF228" s="111"/>
      <c r="AG228" s="111"/>
      <c r="AH228" s="111"/>
      <c r="AI228" s="111"/>
      <c r="AJ228" s="111"/>
      <c r="AK228" s="111"/>
      <c r="AL228" s="111"/>
      <c r="AM228" s="111"/>
      <c r="AN228" s="111"/>
      <c r="AO228" s="111"/>
    </row>
    <row r="229" spans="3:43" x14ac:dyDescent="0.25">
      <c r="C229" s="82"/>
      <c r="E229" s="293" t="s">
        <v>1153</v>
      </c>
      <c r="G229" s="293" t="s">
        <v>1139</v>
      </c>
      <c r="J229" s="237">
        <f t="shared" ref="J229:AO229" si="59">J227 * days_in_year / hundred * J154</f>
        <v>0</v>
      </c>
      <c r="K229" s="237">
        <f t="shared" si="59"/>
        <v>0</v>
      </c>
      <c r="L229" s="237">
        <f t="shared" si="59"/>
        <v>0</v>
      </c>
      <c r="M229" s="237">
        <f t="shared" si="59"/>
        <v>0</v>
      </c>
      <c r="N229" s="237">
        <f t="shared" si="59"/>
        <v>0</v>
      </c>
      <c r="O229" s="237">
        <f t="shared" si="59"/>
        <v>0</v>
      </c>
      <c r="P229" s="237">
        <f t="shared" si="59"/>
        <v>0</v>
      </c>
      <c r="Q229" s="237">
        <f t="shared" si="59"/>
        <v>0</v>
      </c>
      <c r="R229" s="237">
        <f t="shared" si="59"/>
        <v>0</v>
      </c>
      <c r="S229" s="237">
        <f t="shared" si="59"/>
        <v>0</v>
      </c>
      <c r="T229" s="237">
        <f t="shared" si="59"/>
        <v>0</v>
      </c>
      <c r="U229" s="237">
        <f t="shared" si="59"/>
        <v>0</v>
      </c>
      <c r="V229" s="237">
        <f t="shared" si="59"/>
        <v>0</v>
      </c>
      <c r="W229" s="237">
        <f t="shared" si="59"/>
        <v>0</v>
      </c>
      <c r="X229" s="237">
        <f t="shared" si="59"/>
        <v>0</v>
      </c>
      <c r="Y229" s="237">
        <f t="shared" si="59"/>
        <v>0</v>
      </c>
      <c r="Z229" s="237">
        <f t="shared" si="59"/>
        <v>0</v>
      </c>
      <c r="AA229" s="237">
        <f t="shared" si="59"/>
        <v>0</v>
      </c>
      <c r="AB229" s="237">
        <f t="shared" si="59"/>
        <v>0</v>
      </c>
      <c r="AC229" s="237">
        <f t="shared" si="59"/>
        <v>0</v>
      </c>
      <c r="AD229" s="237">
        <f t="shared" si="59"/>
        <v>0</v>
      </c>
      <c r="AE229" s="237">
        <f t="shared" si="59"/>
        <v>0</v>
      </c>
      <c r="AF229" s="237">
        <f t="shared" si="59"/>
        <v>0</v>
      </c>
      <c r="AG229" s="237">
        <f t="shared" si="59"/>
        <v>0</v>
      </c>
      <c r="AH229" s="237">
        <f t="shared" si="59"/>
        <v>0</v>
      </c>
      <c r="AI229" s="237">
        <f t="shared" si="59"/>
        <v>0</v>
      </c>
      <c r="AJ229" s="237">
        <f t="shared" si="59"/>
        <v>0</v>
      </c>
      <c r="AK229" s="237">
        <f t="shared" si="59"/>
        <v>0</v>
      </c>
      <c r="AL229" s="237">
        <f t="shared" si="59"/>
        <v>0</v>
      </c>
      <c r="AM229" s="237">
        <f t="shared" si="59"/>
        <v>0</v>
      </c>
      <c r="AN229" s="237">
        <f t="shared" si="59"/>
        <v>0</v>
      </c>
      <c r="AO229" s="237">
        <f t="shared" si="59"/>
        <v>0</v>
      </c>
    </row>
    <row r="230" spans="3:43" x14ac:dyDescent="0.25">
      <c r="C230" s="82"/>
      <c r="D230" s="293"/>
      <c r="E230" s="293"/>
      <c r="J230" s="111"/>
      <c r="K230" s="111"/>
      <c r="L230" s="111"/>
      <c r="M230" s="111"/>
      <c r="N230" s="111"/>
      <c r="O230" s="111"/>
      <c r="P230" s="111"/>
      <c r="Q230" s="111"/>
      <c r="R230" s="111"/>
      <c r="S230" s="111"/>
      <c r="T230" s="111"/>
      <c r="U230" s="111"/>
      <c r="V230" s="111"/>
      <c r="W230" s="111"/>
      <c r="X230" s="111"/>
      <c r="Y230" s="111"/>
      <c r="Z230" s="111"/>
      <c r="AA230" s="111"/>
      <c r="AB230" s="111"/>
      <c r="AC230" s="111"/>
      <c r="AD230" s="111"/>
      <c r="AE230" s="111"/>
      <c r="AF230" s="111"/>
      <c r="AG230" s="111"/>
      <c r="AH230" s="111"/>
      <c r="AI230" s="111"/>
      <c r="AJ230" s="111"/>
      <c r="AK230" s="111"/>
      <c r="AL230" s="111"/>
      <c r="AM230" s="111"/>
      <c r="AN230" s="111"/>
      <c r="AO230" s="111"/>
    </row>
    <row r="231" spans="3:43" x14ac:dyDescent="0.25">
      <c r="C231" s="82"/>
      <c r="D231" s="293"/>
      <c r="E231" s="293" t="s">
        <v>1154</v>
      </c>
      <c r="G231" s="293" t="s">
        <v>1139</v>
      </c>
      <c r="H231" s="252">
        <f>SUM(J229:AO229)</f>
        <v>0</v>
      </c>
      <c r="J231" s="111"/>
      <c r="K231" s="111"/>
      <c r="L231" s="111"/>
      <c r="M231" s="111"/>
      <c r="N231" s="111"/>
      <c r="O231" s="111"/>
      <c r="P231" s="111"/>
      <c r="Q231" s="111"/>
      <c r="R231" s="111"/>
      <c r="S231" s="111"/>
      <c r="T231" s="111"/>
      <c r="U231" s="111"/>
      <c r="V231" s="111"/>
      <c r="W231" s="111"/>
      <c r="X231" s="111"/>
      <c r="Y231" s="111"/>
      <c r="Z231" s="111"/>
      <c r="AA231" s="111"/>
      <c r="AB231" s="111"/>
      <c r="AC231" s="111"/>
      <c r="AD231" s="111"/>
      <c r="AE231" s="111"/>
      <c r="AF231" s="111"/>
      <c r="AG231" s="111"/>
      <c r="AH231" s="111"/>
      <c r="AI231" s="111"/>
      <c r="AJ231" s="111"/>
      <c r="AK231" s="111"/>
      <c r="AL231" s="111"/>
      <c r="AM231" s="111"/>
      <c r="AN231" s="111"/>
      <c r="AO231" s="111"/>
    </row>
    <row r="232" spans="3:43" x14ac:dyDescent="0.25">
      <c r="C232" s="82"/>
      <c r="D232" s="293"/>
      <c r="E232" s="293"/>
      <c r="J232" s="111"/>
      <c r="K232" s="111"/>
      <c r="L232" s="111"/>
      <c r="M232" s="111"/>
      <c r="N232" s="111"/>
      <c r="O232" s="111"/>
      <c r="P232" s="111"/>
      <c r="Q232" s="111"/>
      <c r="R232" s="111"/>
      <c r="S232" s="111"/>
      <c r="T232" s="111"/>
      <c r="U232" s="111"/>
      <c r="V232" s="111"/>
      <c r="W232" s="111"/>
      <c r="X232" s="111"/>
      <c r="Y232" s="111"/>
      <c r="Z232" s="111"/>
      <c r="AA232" s="111"/>
      <c r="AB232" s="111"/>
      <c r="AC232" s="111"/>
      <c r="AD232" s="111"/>
      <c r="AE232" s="111"/>
      <c r="AF232" s="111"/>
      <c r="AG232" s="111"/>
      <c r="AH232" s="111"/>
      <c r="AI232" s="111"/>
      <c r="AJ232" s="111"/>
      <c r="AK232" s="111"/>
      <c r="AL232" s="111"/>
      <c r="AM232" s="111"/>
      <c r="AN232" s="111"/>
      <c r="AO232" s="111"/>
    </row>
    <row r="233" spans="3:43" x14ac:dyDescent="0.25">
      <c r="C233" s="7" t="str">
        <f ca="1">INDEX('Version control'!$H$35:$H$61,MATCH($A$1,'Version control'!$F$35:$F$61,0),1)&amp;"-J: Ranking unit rate volumes and tariffs"</f>
        <v>Section 519-J: Ranking unit rate volumes and tariffs</v>
      </c>
      <c r="D233" s="7"/>
      <c r="E233" s="7"/>
      <c r="F233" s="7"/>
      <c r="G233" s="7"/>
      <c r="H233" s="7"/>
      <c r="I233" s="7"/>
      <c r="J233" s="171"/>
      <c r="K233" s="171"/>
      <c r="L233" s="171"/>
      <c r="M233" s="171"/>
      <c r="N233" s="171"/>
      <c r="O233" s="171"/>
      <c r="P233" s="171"/>
      <c r="Q233" s="171"/>
      <c r="R233" s="171"/>
      <c r="S233" s="171"/>
      <c r="T233" s="171"/>
      <c r="U233" s="171"/>
      <c r="V233" s="171"/>
      <c r="W233" s="171"/>
      <c r="X233" s="171"/>
      <c r="Y233" s="171"/>
      <c r="Z233" s="171"/>
      <c r="AA233" s="171"/>
      <c r="AB233" s="171"/>
      <c r="AC233" s="171"/>
      <c r="AD233" s="171"/>
      <c r="AE233" s="171"/>
      <c r="AF233" s="171"/>
      <c r="AG233" s="171"/>
      <c r="AH233" s="171"/>
      <c r="AI233" s="171"/>
      <c r="AJ233" s="171"/>
      <c r="AK233" s="171"/>
      <c r="AL233" s="171"/>
      <c r="AM233" s="171"/>
      <c r="AN233" s="171"/>
      <c r="AO233" s="171"/>
    </row>
    <row r="234" spans="3:43" x14ac:dyDescent="0.25">
      <c r="C234" s="82"/>
      <c r="J234" s="111"/>
      <c r="K234" s="111"/>
      <c r="L234" s="111"/>
      <c r="M234" s="111"/>
      <c r="N234" s="111"/>
      <c r="O234" s="111"/>
      <c r="P234" s="111"/>
      <c r="Q234" s="111"/>
      <c r="R234" s="111"/>
      <c r="S234" s="111"/>
      <c r="T234" s="111"/>
      <c r="U234" s="111"/>
      <c r="V234" s="111"/>
      <c r="W234" s="111"/>
      <c r="X234" s="111"/>
      <c r="Y234" s="111"/>
      <c r="Z234" s="111"/>
      <c r="AA234" s="111"/>
      <c r="AB234" s="111"/>
      <c r="AC234" s="111"/>
      <c r="AD234" s="111"/>
      <c r="AE234" s="111"/>
      <c r="AF234" s="111"/>
      <c r="AG234" s="111"/>
      <c r="AH234" s="111"/>
      <c r="AI234" s="111"/>
      <c r="AJ234" s="111"/>
      <c r="AK234" s="111"/>
      <c r="AL234" s="111"/>
      <c r="AM234" s="111"/>
      <c r="AN234" s="111"/>
      <c r="AO234" s="111"/>
    </row>
    <row r="235" spans="3:43" x14ac:dyDescent="0.25">
      <c r="C235" s="82"/>
      <c r="D235" s="82" t="s">
        <v>1155</v>
      </c>
      <c r="I235" s="293" t="s">
        <v>359</v>
      </c>
      <c r="J235" s="111"/>
      <c r="K235" s="111"/>
      <c r="L235" s="111"/>
      <c r="M235" s="111"/>
      <c r="N235" s="111"/>
      <c r="O235" s="111"/>
      <c r="P235" s="111"/>
      <c r="Q235" s="111"/>
      <c r="R235" s="111"/>
      <c r="S235" s="111"/>
      <c r="T235" s="111"/>
      <c r="U235" s="111"/>
      <c r="V235" s="111"/>
      <c r="W235" s="111"/>
      <c r="X235" s="111"/>
      <c r="Y235" s="111"/>
      <c r="Z235" s="111"/>
      <c r="AA235" s="111"/>
      <c r="AB235" s="111"/>
      <c r="AC235" s="111"/>
      <c r="AD235" s="111"/>
      <c r="AE235" s="111"/>
      <c r="AF235" s="111"/>
      <c r="AG235" s="111"/>
      <c r="AH235" s="111"/>
      <c r="AI235" s="111"/>
      <c r="AJ235" s="111"/>
      <c r="AK235" s="111"/>
      <c r="AL235" s="111"/>
      <c r="AM235" s="111"/>
      <c r="AN235" s="111"/>
      <c r="AO235" s="111"/>
      <c r="AQ235" s="293" t="s">
        <v>744</v>
      </c>
    </row>
    <row r="236" spans="3:43" x14ac:dyDescent="0.25">
      <c r="C236" s="82"/>
      <c r="D236" s="82" t="s">
        <v>1156</v>
      </c>
      <c r="J236" s="111"/>
      <c r="K236" s="111"/>
      <c r="L236" s="111"/>
      <c r="M236" s="111"/>
      <c r="N236" s="111"/>
      <c r="O236" s="111"/>
      <c r="P236" s="111"/>
      <c r="Q236" s="111"/>
      <c r="R236" s="111"/>
      <c r="S236" s="111"/>
      <c r="T236" s="111"/>
      <c r="U236" s="111"/>
      <c r="V236" s="111"/>
      <c r="W236" s="111"/>
      <c r="X236" s="111"/>
      <c r="Y236" s="111"/>
      <c r="Z236" s="111"/>
      <c r="AA236" s="111"/>
      <c r="AB236" s="111"/>
      <c r="AC236" s="111"/>
      <c r="AD236" s="111"/>
      <c r="AE236" s="111"/>
      <c r="AF236" s="111"/>
      <c r="AG236" s="111"/>
      <c r="AH236" s="111"/>
      <c r="AI236" s="111"/>
      <c r="AJ236" s="111"/>
      <c r="AK236" s="111"/>
      <c r="AL236" s="111"/>
      <c r="AM236" s="111"/>
      <c r="AN236" s="111"/>
      <c r="AO236" s="111"/>
    </row>
    <row r="237" spans="3:43" x14ac:dyDescent="0.25">
      <c r="C237" s="82"/>
      <c r="J237" s="111"/>
      <c r="K237" s="111"/>
      <c r="L237" s="111"/>
      <c r="M237" s="111"/>
      <c r="N237" s="111"/>
      <c r="O237" s="111"/>
      <c r="P237" s="111"/>
      <c r="Q237" s="111"/>
      <c r="R237" s="111"/>
      <c r="S237" s="111"/>
      <c r="T237" s="111"/>
      <c r="U237" s="111"/>
      <c r="V237" s="111"/>
      <c r="W237" s="111"/>
      <c r="X237" s="111"/>
      <c r="Y237" s="111"/>
      <c r="Z237" s="111"/>
      <c r="AA237" s="111"/>
      <c r="AB237" s="111"/>
      <c r="AC237" s="111"/>
      <c r="AD237" s="111"/>
      <c r="AE237" s="111"/>
      <c r="AF237" s="111"/>
      <c r="AG237" s="111"/>
      <c r="AH237" s="111"/>
      <c r="AI237" s="111"/>
      <c r="AJ237" s="111"/>
      <c r="AK237" s="111"/>
      <c r="AL237" s="111"/>
      <c r="AM237" s="111"/>
      <c r="AN237" s="111"/>
      <c r="AO237" s="111"/>
    </row>
    <row r="238" spans="3:43" x14ac:dyDescent="0.25">
      <c r="C238" s="82"/>
      <c r="E238" s="505" t="s">
        <v>1157</v>
      </c>
      <c r="G238" s="293" t="s">
        <v>1024</v>
      </c>
      <c r="J238" s="111" t="b">
        <f>J229&lt;0</f>
        <v>0</v>
      </c>
      <c r="K238" s="111" t="b">
        <f t="shared" ref="K238:AO238" si="60">K229&lt;0</f>
        <v>0</v>
      </c>
      <c r="L238" s="111" t="b">
        <f t="shared" si="60"/>
        <v>0</v>
      </c>
      <c r="M238" s="111" t="b">
        <f t="shared" si="60"/>
        <v>0</v>
      </c>
      <c r="N238" s="111" t="b">
        <f t="shared" si="60"/>
        <v>0</v>
      </c>
      <c r="O238" s="111" t="b">
        <f t="shared" si="60"/>
        <v>0</v>
      </c>
      <c r="P238" s="111" t="b">
        <f t="shared" si="60"/>
        <v>0</v>
      </c>
      <c r="Q238" s="111" t="b">
        <f t="shared" si="60"/>
        <v>0</v>
      </c>
      <c r="R238" s="111" t="b">
        <f t="shared" si="60"/>
        <v>0</v>
      </c>
      <c r="S238" s="111" t="b">
        <f t="shared" si="60"/>
        <v>0</v>
      </c>
      <c r="T238" s="111" t="b">
        <f t="shared" si="60"/>
        <v>0</v>
      </c>
      <c r="U238" s="111" t="b">
        <f t="shared" si="60"/>
        <v>0</v>
      </c>
      <c r="V238" s="111" t="b">
        <f t="shared" si="60"/>
        <v>0</v>
      </c>
      <c r="W238" s="111" t="b">
        <f t="shared" si="60"/>
        <v>0</v>
      </c>
      <c r="X238" s="111" t="b">
        <f t="shared" si="60"/>
        <v>0</v>
      </c>
      <c r="Y238" s="111" t="b">
        <f t="shared" si="60"/>
        <v>0</v>
      </c>
      <c r="Z238" s="111" t="b">
        <f t="shared" si="60"/>
        <v>0</v>
      </c>
      <c r="AA238" s="111" t="b">
        <f t="shared" si="60"/>
        <v>0</v>
      </c>
      <c r="AB238" s="111" t="b">
        <f t="shared" si="60"/>
        <v>0</v>
      </c>
      <c r="AC238" s="111" t="b">
        <f t="shared" si="60"/>
        <v>0</v>
      </c>
      <c r="AD238" s="111" t="b">
        <f t="shared" si="60"/>
        <v>0</v>
      </c>
      <c r="AE238" s="111" t="b">
        <f t="shared" si="60"/>
        <v>0</v>
      </c>
      <c r="AF238" s="111" t="b">
        <f t="shared" si="60"/>
        <v>0</v>
      </c>
      <c r="AG238" s="111" t="b">
        <f t="shared" si="60"/>
        <v>0</v>
      </c>
      <c r="AH238" s="111" t="b">
        <f t="shared" si="60"/>
        <v>0</v>
      </c>
      <c r="AI238" s="111" t="b">
        <f t="shared" si="60"/>
        <v>0</v>
      </c>
      <c r="AJ238" s="111" t="b">
        <f t="shared" si="60"/>
        <v>0</v>
      </c>
      <c r="AK238" s="111" t="b">
        <f t="shared" si="60"/>
        <v>0</v>
      </c>
      <c r="AL238" s="111" t="b">
        <f t="shared" si="60"/>
        <v>0</v>
      </c>
      <c r="AM238" s="111" t="b">
        <f t="shared" si="60"/>
        <v>0</v>
      </c>
      <c r="AN238" s="111" t="b">
        <f t="shared" si="60"/>
        <v>0</v>
      </c>
      <c r="AO238" s="111" t="b">
        <f t="shared" si="60"/>
        <v>0</v>
      </c>
    </row>
    <row r="239" spans="3:43" x14ac:dyDescent="0.25">
      <c r="C239" s="82"/>
      <c r="J239" s="111"/>
      <c r="K239" s="111"/>
      <c r="L239" s="111"/>
      <c r="M239" s="111"/>
      <c r="N239" s="111"/>
      <c r="O239" s="111"/>
      <c r="P239" s="111"/>
      <c r="Q239" s="111"/>
      <c r="R239" s="111"/>
      <c r="S239" s="111"/>
      <c r="T239" s="111"/>
      <c r="U239" s="111"/>
      <c r="V239" s="111"/>
      <c r="W239" s="111"/>
      <c r="X239" s="111"/>
      <c r="Y239" s="111"/>
      <c r="Z239" s="111"/>
      <c r="AA239" s="111"/>
      <c r="AB239" s="111"/>
      <c r="AC239" s="111"/>
      <c r="AD239" s="111"/>
      <c r="AE239" s="111"/>
      <c r="AF239" s="111"/>
      <c r="AG239" s="111"/>
      <c r="AH239" s="111"/>
      <c r="AI239" s="111"/>
      <c r="AJ239" s="111"/>
      <c r="AK239" s="111"/>
      <c r="AL239" s="111"/>
      <c r="AM239" s="111"/>
      <c r="AN239" s="111"/>
      <c r="AO239" s="111"/>
    </row>
    <row r="240" spans="3:43" x14ac:dyDescent="0.25">
      <c r="C240" s="82"/>
      <c r="E240" s="82" t="s">
        <v>1158</v>
      </c>
      <c r="J240" s="111"/>
      <c r="K240" s="111"/>
      <c r="L240" s="111"/>
      <c r="M240" s="111"/>
      <c r="N240" s="111"/>
      <c r="O240" s="111"/>
      <c r="P240" s="111"/>
      <c r="Q240" s="111"/>
      <c r="R240" s="111"/>
      <c r="S240" s="111"/>
      <c r="T240" s="111"/>
      <c r="U240" s="111"/>
      <c r="V240" s="111"/>
      <c r="W240" s="111"/>
      <c r="X240" s="111"/>
      <c r="Y240" s="111"/>
      <c r="Z240" s="111"/>
      <c r="AA240" s="111"/>
      <c r="AB240" s="111"/>
      <c r="AC240" s="111"/>
      <c r="AD240" s="111"/>
      <c r="AE240" s="111"/>
      <c r="AF240" s="111"/>
      <c r="AG240" s="111"/>
      <c r="AH240" s="111"/>
      <c r="AI240" s="111"/>
      <c r="AJ240" s="111"/>
      <c r="AK240" s="111"/>
      <c r="AL240" s="111"/>
      <c r="AM240" s="111"/>
      <c r="AN240" s="111"/>
      <c r="AO240" s="111"/>
    </row>
    <row r="241" spans="3:43" x14ac:dyDescent="0.25">
      <c r="C241" s="82"/>
      <c r="E241" s="82" t="s">
        <v>1159</v>
      </c>
      <c r="J241" s="111"/>
      <c r="K241" s="111"/>
      <c r="L241" s="111"/>
      <c r="M241" s="111"/>
      <c r="N241" s="111"/>
      <c r="O241" s="111"/>
      <c r="P241" s="111"/>
      <c r="Q241" s="111"/>
      <c r="R241" s="111"/>
      <c r="S241" s="111"/>
      <c r="T241" s="111"/>
      <c r="U241" s="111"/>
      <c r="V241" s="111"/>
      <c r="W241" s="111"/>
      <c r="X241" s="111"/>
      <c r="Y241" s="111"/>
      <c r="Z241" s="111"/>
      <c r="AA241" s="111"/>
      <c r="AB241" s="111"/>
      <c r="AC241" s="111"/>
      <c r="AD241" s="111"/>
      <c r="AE241" s="111"/>
      <c r="AF241" s="111"/>
      <c r="AG241" s="111"/>
      <c r="AH241" s="111"/>
      <c r="AI241" s="111"/>
      <c r="AJ241" s="111"/>
      <c r="AK241" s="111"/>
      <c r="AL241" s="111"/>
      <c r="AM241" s="111"/>
      <c r="AN241" s="111"/>
      <c r="AO241" s="111"/>
    </row>
    <row r="242" spans="3:43" x14ac:dyDescent="0.25">
      <c r="C242" s="82"/>
      <c r="E242" s="82" t="s">
        <v>1160</v>
      </c>
      <c r="J242" s="111"/>
      <c r="K242" s="111"/>
      <c r="L242" s="111"/>
      <c r="M242" s="111"/>
      <c r="N242" s="111"/>
      <c r="O242" s="111"/>
      <c r="P242" s="111"/>
      <c r="Q242" s="111"/>
      <c r="R242" s="111"/>
      <c r="S242" s="111"/>
      <c r="T242" s="111"/>
      <c r="U242" s="111"/>
      <c r="V242" s="111"/>
      <c r="W242" s="111"/>
      <c r="X242" s="111"/>
      <c r="Y242" s="111"/>
      <c r="Z242" s="111"/>
      <c r="AA242" s="111"/>
      <c r="AB242" s="111"/>
      <c r="AC242" s="111"/>
      <c r="AD242" s="111"/>
      <c r="AE242" s="111"/>
      <c r="AF242" s="111"/>
      <c r="AG242" s="111"/>
      <c r="AH242" s="111"/>
      <c r="AI242" s="111"/>
      <c r="AJ242" s="111"/>
      <c r="AK242" s="111"/>
      <c r="AL242" s="111"/>
      <c r="AM242" s="111"/>
      <c r="AN242" s="111"/>
      <c r="AO242" s="111"/>
    </row>
    <row r="243" spans="3:43" x14ac:dyDescent="0.25">
      <c r="C243" s="82"/>
      <c r="J243" s="111"/>
      <c r="K243" s="111"/>
      <c r="L243" s="111"/>
      <c r="M243" s="111"/>
      <c r="N243" s="111"/>
      <c r="O243" s="111"/>
      <c r="P243" s="111"/>
      <c r="Q243" s="111"/>
      <c r="R243" s="111"/>
      <c r="S243" s="111"/>
      <c r="T243" s="111"/>
      <c r="U243" s="111"/>
      <c r="V243" s="111"/>
      <c r="W243" s="111"/>
      <c r="X243" s="111"/>
      <c r="Y243" s="111"/>
      <c r="Z243" s="111"/>
      <c r="AA243" s="111"/>
      <c r="AB243" s="111"/>
      <c r="AC243" s="111"/>
      <c r="AD243" s="111"/>
      <c r="AE243" s="111"/>
      <c r="AF243" s="111"/>
      <c r="AG243" s="111"/>
      <c r="AH243" s="111"/>
      <c r="AI243" s="111"/>
      <c r="AJ243" s="111"/>
      <c r="AK243" s="111"/>
      <c r="AL243" s="111"/>
      <c r="AM243" s="111"/>
      <c r="AN243" s="111"/>
      <c r="AO243" s="111"/>
    </row>
    <row r="244" spans="3:43" x14ac:dyDescent="0.25">
      <c r="C244" s="82"/>
      <c r="E244" s="96" t="s">
        <v>1161</v>
      </c>
      <c r="J244" s="111"/>
      <c r="K244" s="111"/>
      <c r="L244" s="111"/>
      <c r="M244" s="111"/>
      <c r="N244" s="111"/>
      <c r="O244" s="111"/>
      <c r="P244" s="111"/>
      <c r="Q244" s="111"/>
      <c r="R244" s="111"/>
      <c r="S244" s="111"/>
      <c r="T244" s="111"/>
      <c r="U244" s="111"/>
      <c r="V244" s="111"/>
      <c r="W244" s="111"/>
      <c r="X244" s="111"/>
      <c r="Y244" s="111"/>
      <c r="Z244" s="111"/>
      <c r="AA244" s="111"/>
      <c r="AB244" s="111"/>
      <c r="AC244" s="111"/>
      <c r="AD244" s="111"/>
      <c r="AE244" s="111"/>
      <c r="AF244" s="111"/>
      <c r="AG244" s="111"/>
      <c r="AH244" s="111"/>
      <c r="AI244" s="111"/>
      <c r="AJ244" s="111"/>
      <c r="AK244" s="111"/>
      <c r="AL244" s="111"/>
      <c r="AM244" s="111"/>
      <c r="AN244" s="111"/>
      <c r="AO244" s="111"/>
    </row>
    <row r="245" spans="3:43" x14ac:dyDescent="0.25">
      <c r="C245" s="82"/>
      <c r="F245" s="91" t="s">
        <v>1162</v>
      </c>
      <c r="G245" s="91" t="s">
        <v>426</v>
      </c>
      <c r="H245" s="455">
        <v>1</v>
      </c>
      <c r="J245" s="111"/>
      <c r="K245" s="111"/>
      <c r="L245" s="111"/>
      <c r="M245" s="111"/>
      <c r="N245" s="111"/>
      <c r="O245" s="111"/>
      <c r="P245" s="111"/>
      <c r="Q245" s="111"/>
      <c r="R245" s="111"/>
      <c r="S245" s="111"/>
      <c r="T245" s="111"/>
      <c r="U245" s="111"/>
      <c r="V245" s="111"/>
      <c r="W245" s="111"/>
      <c r="X245" s="111"/>
      <c r="Y245" s="111"/>
      <c r="Z245" s="111"/>
      <c r="AA245" s="111"/>
      <c r="AB245" s="111"/>
      <c r="AC245" s="111"/>
      <c r="AD245" s="111"/>
      <c r="AE245" s="111"/>
      <c r="AF245" s="111"/>
      <c r="AG245" s="111"/>
      <c r="AH245" s="111"/>
      <c r="AI245" s="111"/>
      <c r="AJ245" s="111"/>
      <c r="AK245" s="111"/>
      <c r="AL245" s="111"/>
      <c r="AM245" s="111"/>
      <c r="AN245" s="111"/>
      <c r="AO245" s="111"/>
    </row>
    <row r="246" spans="3:43" x14ac:dyDescent="0.25">
      <c r="C246" s="82"/>
      <c r="F246" s="293" t="s">
        <v>1163</v>
      </c>
      <c r="G246" s="293" t="s">
        <v>426</v>
      </c>
      <c r="H246" s="469">
        <v>2</v>
      </c>
      <c r="J246" s="111"/>
      <c r="K246" s="111"/>
      <c r="L246" s="111"/>
      <c r="M246" s="111"/>
      <c r="N246" s="111"/>
      <c r="O246" s="111"/>
      <c r="P246" s="111"/>
      <c r="Q246" s="111"/>
      <c r="R246" s="111"/>
      <c r="S246" s="111"/>
      <c r="T246" s="111"/>
      <c r="U246" s="111"/>
      <c r="V246" s="111"/>
      <c r="W246" s="111"/>
      <c r="X246" s="111"/>
      <c r="Y246" s="111"/>
      <c r="Z246" s="111"/>
      <c r="AA246" s="111"/>
      <c r="AB246" s="111"/>
      <c r="AC246" s="111"/>
      <c r="AD246" s="111"/>
      <c r="AE246" s="111"/>
      <c r="AF246" s="111"/>
      <c r="AG246" s="111"/>
      <c r="AH246" s="111"/>
      <c r="AI246" s="111"/>
      <c r="AJ246" s="111"/>
      <c r="AK246" s="111"/>
      <c r="AL246" s="111"/>
      <c r="AM246" s="111"/>
      <c r="AN246" s="111"/>
      <c r="AO246" s="111"/>
    </row>
    <row r="247" spans="3:43" x14ac:dyDescent="0.25">
      <c r="C247" s="82"/>
      <c r="F247" s="93" t="s">
        <v>1164</v>
      </c>
      <c r="G247" s="93" t="s">
        <v>426</v>
      </c>
      <c r="H247" s="456">
        <v>3</v>
      </c>
      <c r="J247" s="111"/>
      <c r="K247" s="111"/>
      <c r="L247" s="111"/>
      <c r="M247" s="111"/>
      <c r="N247" s="111"/>
      <c r="O247" s="111"/>
      <c r="P247" s="111"/>
      <c r="Q247" s="111"/>
      <c r="R247" s="111"/>
      <c r="S247" s="111"/>
      <c r="T247" s="111"/>
      <c r="U247" s="111"/>
      <c r="V247" s="111"/>
      <c r="W247" s="111"/>
      <c r="X247" s="111"/>
      <c r="Y247" s="111"/>
      <c r="Z247" s="111"/>
      <c r="AA247" s="111"/>
      <c r="AB247" s="111"/>
      <c r="AC247" s="111"/>
      <c r="AD247" s="111"/>
      <c r="AE247" s="111"/>
      <c r="AF247" s="111"/>
      <c r="AG247" s="111"/>
      <c r="AH247" s="111"/>
      <c r="AI247" s="111"/>
      <c r="AJ247" s="111"/>
      <c r="AK247" s="111"/>
      <c r="AL247" s="111"/>
      <c r="AM247" s="111"/>
      <c r="AN247" s="111"/>
      <c r="AO247" s="111"/>
    </row>
    <row r="248" spans="3:43" x14ac:dyDescent="0.25">
      <c r="C248" s="82"/>
      <c r="J248" s="111"/>
      <c r="K248" s="111"/>
      <c r="L248" s="111"/>
      <c r="M248" s="111"/>
      <c r="N248" s="111"/>
      <c r="O248" s="111"/>
      <c r="P248" s="111"/>
      <c r="Q248" s="111"/>
      <c r="R248" s="111"/>
      <c r="S248" s="111"/>
      <c r="T248" s="111"/>
      <c r="U248" s="111"/>
      <c r="V248" s="111"/>
      <c r="W248" s="111"/>
      <c r="X248" s="111"/>
      <c r="Y248" s="111"/>
      <c r="Z248" s="111"/>
      <c r="AA248" s="111"/>
      <c r="AB248" s="111"/>
      <c r="AC248" s="111"/>
      <c r="AD248" s="111"/>
      <c r="AE248" s="111"/>
      <c r="AF248" s="111"/>
      <c r="AG248" s="111"/>
      <c r="AH248" s="111"/>
      <c r="AI248" s="111"/>
      <c r="AJ248" s="111"/>
      <c r="AK248" s="111"/>
      <c r="AL248" s="111"/>
      <c r="AM248" s="111"/>
      <c r="AN248" s="111"/>
      <c r="AO248" s="111"/>
    </row>
    <row r="249" spans="3:43" x14ac:dyDescent="0.25">
      <c r="C249" s="82"/>
      <c r="E249" s="96" t="s">
        <v>1165</v>
      </c>
      <c r="J249" s="111"/>
      <c r="K249" s="111"/>
      <c r="L249" s="111"/>
      <c r="M249" s="111"/>
      <c r="N249" s="111"/>
      <c r="O249" s="111"/>
      <c r="P249" s="111"/>
      <c r="Q249" s="111"/>
      <c r="R249" s="111"/>
      <c r="S249" s="111"/>
      <c r="T249" s="111"/>
      <c r="U249" s="111"/>
      <c r="V249" s="111"/>
      <c r="W249" s="111"/>
      <c r="X249" s="111"/>
      <c r="Y249" s="111"/>
      <c r="Z249" s="111"/>
      <c r="AA249" s="111"/>
      <c r="AB249" s="111"/>
      <c r="AC249" s="111"/>
      <c r="AD249" s="111"/>
      <c r="AE249" s="111"/>
      <c r="AF249" s="111"/>
      <c r="AG249" s="111"/>
      <c r="AH249" s="111"/>
      <c r="AI249" s="111"/>
      <c r="AJ249" s="111"/>
      <c r="AK249" s="111"/>
      <c r="AL249" s="111"/>
      <c r="AM249" s="111"/>
      <c r="AN249" s="111"/>
      <c r="AO249" s="111"/>
    </row>
    <row r="250" spans="3:43" x14ac:dyDescent="0.25">
      <c r="C250" s="82"/>
      <c r="F250" s="91" t="s">
        <v>1162</v>
      </c>
      <c r="G250" s="91" t="s">
        <v>183</v>
      </c>
      <c r="H250" s="91"/>
      <c r="I250" s="91"/>
      <c r="J250" s="506">
        <f t="shared" ref="J250:AO250" si="61">IF(J$238, SMALL(J$40:J$42,$H245), 0)</f>
        <v>0</v>
      </c>
      <c r="K250" s="506">
        <f t="shared" si="61"/>
        <v>0</v>
      </c>
      <c r="L250" s="506">
        <f t="shared" si="61"/>
        <v>0</v>
      </c>
      <c r="M250" s="506">
        <f t="shared" si="61"/>
        <v>0</v>
      </c>
      <c r="N250" s="506">
        <f t="shared" si="61"/>
        <v>0</v>
      </c>
      <c r="O250" s="506">
        <f t="shared" si="61"/>
        <v>0</v>
      </c>
      <c r="P250" s="506">
        <f t="shared" si="61"/>
        <v>0</v>
      </c>
      <c r="Q250" s="506">
        <f t="shared" si="61"/>
        <v>0</v>
      </c>
      <c r="R250" s="506">
        <f t="shared" si="61"/>
        <v>0</v>
      </c>
      <c r="S250" s="506">
        <f t="shared" si="61"/>
        <v>0</v>
      </c>
      <c r="T250" s="506">
        <f t="shared" si="61"/>
        <v>0</v>
      </c>
      <c r="U250" s="506">
        <f t="shared" si="61"/>
        <v>0</v>
      </c>
      <c r="V250" s="506">
        <f t="shared" si="61"/>
        <v>0</v>
      </c>
      <c r="W250" s="506">
        <f t="shared" si="61"/>
        <v>0</v>
      </c>
      <c r="X250" s="506">
        <f t="shared" si="61"/>
        <v>0</v>
      </c>
      <c r="Y250" s="506">
        <f t="shared" si="61"/>
        <v>0</v>
      </c>
      <c r="Z250" s="506">
        <f t="shared" si="61"/>
        <v>0</v>
      </c>
      <c r="AA250" s="506">
        <f t="shared" si="61"/>
        <v>0</v>
      </c>
      <c r="AB250" s="506">
        <f t="shared" si="61"/>
        <v>0</v>
      </c>
      <c r="AC250" s="506">
        <f t="shared" si="61"/>
        <v>0</v>
      </c>
      <c r="AD250" s="506">
        <f t="shared" si="61"/>
        <v>0</v>
      </c>
      <c r="AE250" s="506">
        <f t="shared" si="61"/>
        <v>0</v>
      </c>
      <c r="AF250" s="506">
        <f t="shared" si="61"/>
        <v>0</v>
      </c>
      <c r="AG250" s="506">
        <f t="shared" si="61"/>
        <v>0</v>
      </c>
      <c r="AH250" s="506">
        <f t="shared" si="61"/>
        <v>0</v>
      </c>
      <c r="AI250" s="506">
        <f t="shared" si="61"/>
        <v>0</v>
      </c>
      <c r="AJ250" s="506">
        <f t="shared" si="61"/>
        <v>0</v>
      </c>
      <c r="AK250" s="506">
        <f t="shared" si="61"/>
        <v>0</v>
      </c>
      <c r="AL250" s="506">
        <f t="shared" si="61"/>
        <v>0</v>
      </c>
      <c r="AM250" s="506">
        <f t="shared" si="61"/>
        <v>0</v>
      </c>
      <c r="AN250" s="506">
        <f t="shared" si="61"/>
        <v>0</v>
      </c>
      <c r="AO250" s="506">
        <f t="shared" si="61"/>
        <v>0</v>
      </c>
    </row>
    <row r="251" spans="3:43" x14ac:dyDescent="0.25">
      <c r="C251" s="82"/>
      <c r="F251" s="293" t="s">
        <v>1163</v>
      </c>
      <c r="G251" s="293" t="s">
        <v>183</v>
      </c>
      <c r="J251" s="441">
        <f t="shared" ref="J251:AO251" si="62">IF(J$238, SMALL(J$40:J$42,$H246), 0)</f>
        <v>0</v>
      </c>
      <c r="K251" s="441">
        <f t="shared" si="62"/>
        <v>0</v>
      </c>
      <c r="L251" s="441">
        <f t="shared" si="62"/>
        <v>0</v>
      </c>
      <c r="M251" s="441">
        <f t="shared" si="62"/>
        <v>0</v>
      </c>
      <c r="N251" s="441">
        <f t="shared" si="62"/>
        <v>0</v>
      </c>
      <c r="O251" s="441">
        <f t="shared" si="62"/>
        <v>0</v>
      </c>
      <c r="P251" s="441">
        <f t="shared" si="62"/>
        <v>0</v>
      </c>
      <c r="Q251" s="441">
        <f t="shared" si="62"/>
        <v>0</v>
      </c>
      <c r="R251" s="441">
        <f t="shared" si="62"/>
        <v>0</v>
      </c>
      <c r="S251" s="441">
        <f t="shared" si="62"/>
        <v>0</v>
      </c>
      <c r="T251" s="441">
        <f t="shared" si="62"/>
        <v>0</v>
      </c>
      <c r="U251" s="441">
        <f t="shared" si="62"/>
        <v>0</v>
      </c>
      <c r="V251" s="441">
        <f t="shared" si="62"/>
        <v>0</v>
      </c>
      <c r="W251" s="441">
        <f t="shared" si="62"/>
        <v>0</v>
      </c>
      <c r="X251" s="441">
        <f t="shared" si="62"/>
        <v>0</v>
      </c>
      <c r="Y251" s="441">
        <f t="shared" si="62"/>
        <v>0</v>
      </c>
      <c r="Z251" s="441">
        <f t="shared" si="62"/>
        <v>0</v>
      </c>
      <c r="AA251" s="441">
        <f t="shared" si="62"/>
        <v>0</v>
      </c>
      <c r="AB251" s="441">
        <f t="shared" si="62"/>
        <v>0</v>
      </c>
      <c r="AC251" s="441">
        <f t="shared" si="62"/>
        <v>0</v>
      </c>
      <c r="AD251" s="441">
        <f t="shared" si="62"/>
        <v>0</v>
      </c>
      <c r="AE251" s="441">
        <f t="shared" si="62"/>
        <v>0</v>
      </c>
      <c r="AF251" s="441">
        <f t="shared" si="62"/>
        <v>0</v>
      </c>
      <c r="AG251" s="441">
        <f t="shared" si="62"/>
        <v>0</v>
      </c>
      <c r="AH251" s="441">
        <f t="shared" si="62"/>
        <v>0</v>
      </c>
      <c r="AI251" s="441">
        <f t="shared" si="62"/>
        <v>0</v>
      </c>
      <c r="AJ251" s="441">
        <f t="shared" si="62"/>
        <v>0</v>
      </c>
      <c r="AK251" s="441">
        <f t="shared" si="62"/>
        <v>0</v>
      </c>
      <c r="AL251" s="441">
        <f t="shared" si="62"/>
        <v>0</v>
      </c>
      <c r="AM251" s="441">
        <f t="shared" si="62"/>
        <v>0</v>
      </c>
      <c r="AN251" s="441">
        <f t="shared" si="62"/>
        <v>0</v>
      </c>
      <c r="AO251" s="441">
        <f t="shared" si="62"/>
        <v>0</v>
      </c>
    </row>
    <row r="252" spans="3:43" x14ac:dyDescent="0.25">
      <c r="C252" s="82"/>
      <c r="F252" s="93" t="s">
        <v>1164</v>
      </c>
      <c r="G252" s="93" t="s">
        <v>183</v>
      </c>
      <c r="H252" s="93"/>
      <c r="I252" s="93"/>
      <c r="J252" s="507">
        <f t="shared" ref="J252:AO252" si="63">IF(J$238, SMALL(J$40:J$42,$H247), 0)</f>
        <v>0</v>
      </c>
      <c r="K252" s="507">
        <f t="shared" si="63"/>
        <v>0</v>
      </c>
      <c r="L252" s="507">
        <f t="shared" si="63"/>
        <v>0</v>
      </c>
      <c r="M252" s="507">
        <f t="shared" si="63"/>
        <v>0</v>
      </c>
      <c r="N252" s="507">
        <f t="shared" si="63"/>
        <v>0</v>
      </c>
      <c r="O252" s="507">
        <f t="shared" si="63"/>
        <v>0</v>
      </c>
      <c r="P252" s="507">
        <f t="shared" si="63"/>
        <v>0</v>
      </c>
      <c r="Q252" s="507">
        <f t="shared" si="63"/>
        <v>0</v>
      </c>
      <c r="R252" s="507">
        <f t="shared" si="63"/>
        <v>0</v>
      </c>
      <c r="S252" s="507">
        <f t="shared" si="63"/>
        <v>0</v>
      </c>
      <c r="T252" s="507">
        <f t="shared" si="63"/>
        <v>0</v>
      </c>
      <c r="U252" s="507">
        <f t="shared" si="63"/>
        <v>0</v>
      </c>
      <c r="V252" s="507">
        <f t="shared" si="63"/>
        <v>0</v>
      </c>
      <c r="W252" s="507">
        <f t="shared" si="63"/>
        <v>0</v>
      </c>
      <c r="X252" s="507">
        <f t="shared" si="63"/>
        <v>0</v>
      </c>
      <c r="Y252" s="507">
        <f t="shared" si="63"/>
        <v>0</v>
      </c>
      <c r="Z252" s="507">
        <f t="shared" si="63"/>
        <v>0</v>
      </c>
      <c r="AA252" s="507">
        <f t="shared" si="63"/>
        <v>0</v>
      </c>
      <c r="AB252" s="507">
        <f t="shared" si="63"/>
        <v>0</v>
      </c>
      <c r="AC252" s="507">
        <f t="shared" si="63"/>
        <v>0</v>
      </c>
      <c r="AD252" s="507">
        <f t="shared" si="63"/>
        <v>0</v>
      </c>
      <c r="AE252" s="507">
        <f t="shared" si="63"/>
        <v>0</v>
      </c>
      <c r="AF252" s="507">
        <f t="shared" si="63"/>
        <v>0</v>
      </c>
      <c r="AG252" s="507">
        <f t="shared" si="63"/>
        <v>0</v>
      </c>
      <c r="AH252" s="507">
        <f t="shared" si="63"/>
        <v>0</v>
      </c>
      <c r="AI252" s="507">
        <f t="shared" si="63"/>
        <v>0</v>
      </c>
      <c r="AJ252" s="507">
        <f t="shared" si="63"/>
        <v>0</v>
      </c>
      <c r="AK252" s="507">
        <f t="shared" si="63"/>
        <v>0</v>
      </c>
      <c r="AL252" s="507">
        <f t="shared" si="63"/>
        <v>0</v>
      </c>
      <c r="AM252" s="507">
        <f t="shared" si="63"/>
        <v>0</v>
      </c>
      <c r="AN252" s="507">
        <f t="shared" si="63"/>
        <v>0</v>
      </c>
      <c r="AO252" s="507">
        <f t="shared" si="63"/>
        <v>0</v>
      </c>
    </row>
    <row r="253" spans="3:43" x14ac:dyDescent="0.25">
      <c r="C253" s="82"/>
      <c r="J253" s="111"/>
      <c r="K253" s="111"/>
      <c r="L253" s="111"/>
      <c r="M253" s="111"/>
      <c r="N253" s="111"/>
      <c r="O253" s="111"/>
      <c r="P253" s="111"/>
      <c r="Q253" s="111"/>
      <c r="R253" s="111"/>
      <c r="S253" s="111"/>
      <c r="T253" s="111"/>
      <c r="U253" s="111"/>
      <c r="V253" s="111"/>
      <c r="W253" s="111"/>
      <c r="X253" s="111"/>
      <c r="Y253" s="111"/>
      <c r="Z253" s="111"/>
      <c r="AA253" s="111"/>
      <c r="AB253" s="111"/>
      <c r="AC253" s="111"/>
      <c r="AD253" s="111"/>
      <c r="AE253" s="111"/>
      <c r="AF253" s="111"/>
      <c r="AG253" s="111"/>
      <c r="AH253" s="111"/>
      <c r="AI253" s="111"/>
      <c r="AJ253" s="111"/>
      <c r="AK253" s="111"/>
      <c r="AL253" s="111"/>
      <c r="AM253" s="111"/>
      <c r="AN253" s="111"/>
      <c r="AO253" s="111"/>
    </row>
    <row r="254" spans="3:43" x14ac:dyDescent="0.25">
      <c r="C254" s="82"/>
      <c r="E254" s="98" t="s">
        <v>1166</v>
      </c>
      <c r="I254" s="293" t="s">
        <v>359</v>
      </c>
      <c r="J254" s="111"/>
      <c r="K254" s="111"/>
      <c r="L254" s="111"/>
      <c r="M254" s="111"/>
      <c r="N254" s="111"/>
      <c r="O254" s="111"/>
      <c r="P254" s="111"/>
      <c r="Q254" s="111"/>
      <c r="R254" s="111"/>
      <c r="S254" s="111"/>
      <c r="T254" s="111"/>
      <c r="U254" s="111"/>
      <c r="V254" s="111"/>
      <c r="W254" s="111"/>
      <c r="X254" s="111"/>
      <c r="Y254" s="111"/>
      <c r="Z254" s="111"/>
      <c r="AA254" s="111"/>
      <c r="AB254" s="111"/>
      <c r="AC254" s="111"/>
      <c r="AD254" s="111"/>
      <c r="AE254" s="111"/>
      <c r="AF254" s="111"/>
      <c r="AG254" s="111"/>
      <c r="AH254" s="111"/>
      <c r="AI254" s="111"/>
      <c r="AJ254" s="111"/>
      <c r="AK254" s="111"/>
      <c r="AL254" s="111"/>
      <c r="AM254" s="111"/>
      <c r="AN254" s="111"/>
      <c r="AO254" s="111"/>
      <c r="AQ254" s="293" t="s">
        <v>1245</v>
      </c>
    </row>
    <row r="255" spans="3:43" x14ac:dyDescent="0.25">
      <c r="C255" s="82"/>
      <c r="E255" s="98" t="s">
        <v>1167</v>
      </c>
      <c r="J255" s="111"/>
      <c r="K255" s="111"/>
      <c r="L255" s="111"/>
      <c r="M255" s="111"/>
      <c r="N255" s="111"/>
      <c r="O255" s="111"/>
      <c r="P255" s="111"/>
      <c r="Q255" s="111"/>
      <c r="R255" s="111"/>
      <c r="S255" s="111"/>
      <c r="T255" s="111"/>
      <c r="U255" s="111"/>
      <c r="V255" s="111"/>
      <c r="W255" s="111"/>
      <c r="X255" s="111"/>
      <c r="Y255" s="111"/>
      <c r="Z255" s="111"/>
      <c r="AA255" s="111"/>
      <c r="AB255" s="111"/>
      <c r="AC255" s="111"/>
      <c r="AD255" s="111"/>
      <c r="AE255" s="111"/>
      <c r="AF255" s="111"/>
      <c r="AG255" s="111"/>
      <c r="AH255" s="111"/>
      <c r="AI255" s="111"/>
      <c r="AJ255" s="111"/>
      <c r="AK255" s="111"/>
      <c r="AL255" s="111"/>
      <c r="AM255" s="111"/>
      <c r="AN255" s="111"/>
      <c r="AO255" s="111"/>
    </row>
    <row r="256" spans="3:43" x14ac:dyDescent="0.25">
      <c r="C256" s="82"/>
      <c r="J256" s="111"/>
      <c r="K256" s="111"/>
      <c r="L256" s="111"/>
      <c r="M256" s="111"/>
      <c r="N256" s="111"/>
      <c r="O256" s="111"/>
      <c r="P256" s="111"/>
      <c r="Q256" s="111"/>
      <c r="R256" s="111"/>
      <c r="S256" s="111"/>
      <c r="T256" s="111"/>
      <c r="U256" s="111"/>
      <c r="V256" s="111"/>
      <c r="W256" s="111"/>
      <c r="X256" s="111"/>
      <c r="Y256" s="111"/>
      <c r="Z256" s="111"/>
      <c r="AA256" s="111"/>
      <c r="AB256" s="111"/>
      <c r="AC256" s="111"/>
      <c r="AD256" s="111"/>
      <c r="AE256" s="111"/>
      <c r="AF256" s="111"/>
      <c r="AG256" s="111"/>
      <c r="AH256" s="111"/>
      <c r="AI256" s="111"/>
      <c r="AJ256" s="111"/>
      <c r="AK256" s="111"/>
      <c r="AL256" s="111"/>
      <c r="AM256" s="111"/>
      <c r="AN256" s="111"/>
      <c r="AO256" s="111"/>
    </row>
    <row r="257" spans="3:41" x14ac:dyDescent="0.25">
      <c r="C257" s="82"/>
      <c r="E257" s="96" t="s">
        <v>1168</v>
      </c>
      <c r="J257" s="111"/>
      <c r="K257" s="111"/>
      <c r="L257" s="111"/>
      <c r="M257" s="111"/>
      <c r="N257" s="111"/>
      <c r="O257" s="111"/>
      <c r="P257" s="111"/>
      <c r="Q257" s="111"/>
      <c r="R257" s="111"/>
      <c r="S257" s="111"/>
      <c r="T257" s="111"/>
      <c r="U257" s="111"/>
      <c r="V257" s="111"/>
      <c r="W257" s="111"/>
      <c r="X257" s="111"/>
      <c r="Y257" s="111"/>
      <c r="Z257" s="111"/>
      <c r="AA257" s="111"/>
      <c r="AB257" s="111"/>
      <c r="AC257" s="111"/>
      <c r="AD257" s="111"/>
      <c r="AE257" s="111"/>
      <c r="AF257" s="111"/>
      <c r="AG257" s="111"/>
      <c r="AH257" s="111"/>
      <c r="AI257" s="111"/>
      <c r="AJ257" s="111"/>
      <c r="AK257" s="111"/>
      <c r="AL257" s="111"/>
      <c r="AM257" s="111"/>
      <c r="AN257" s="111"/>
      <c r="AO257" s="111"/>
    </row>
    <row r="258" spans="3:41" x14ac:dyDescent="0.25">
      <c r="C258" s="82"/>
      <c r="F258" s="91" t="s">
        <v>1162</v>
      </c>
      <c r="G258" s="91" t="s">
        <v>183</v>
      </c>
      <c r="H258" s="91"/>
      <c r="I258" s="91"/>
      <c r="J258" s="506">
        <f t="array" ref="J258">MIN(IF($J$150:$AO$150=J$150,$J250:$AO250))</f>
        <v>0</v>
      </c>
      <c r="K258" s="506">
        <f t="array" ref="K258">MIN(IF($J$150:$AO$150=K$150,$J250:$AO250))</f>
        <v>0</v>
      </c>
      <c r="L258" s="506">
        <f t="array" ref="L258">MIN(IF($J$150:$AO$150=L$150,$J250:$AO250))</f>
        <v>0</v>
      </c>
      <c r="M258" s="506">
        <f t="array" ref="M258">MIN(IF($J$150:$AO$150=M$150,$J250:$AO250))</f>
        <v>0</v>
      </c>
      <c r="N258" s="506">
        <f t="array" ref="N258">MIN(IF($J$150:$AO$150=N$150,$J250:$AO250))</f>
        <v>0</v>
      </c>
      <c r="O258" s="506">
        <f t="array" ref="O258">MIN(IF($J$150:$AO$150=O$150,$J250:$AO250))</f>
        <v>0</v>
      </c>
      <c r="P258" s="506">
        <f t="array" ref="P258">MIN(IF($J$150:$AO$150=P$150,$J250:$AO250))</f>
        <v>0</v>
      </c>
      <c r="Q258" s="506">
        <f t="array" ref="Q258">MIN(IF($J$150:$AO$150=Q$150,$J250:$AO250))</f>
        <v>0</v>
      </c>
      <c r="R258" s="506">
        <f t="array" ref="R258">MIN(IF($J$150:$AO$150=R$150,$J250:$AO250))</f>
        <v>0</v>
      </c>
      <c r="S258" s="506">
        <f t="array" ref="S258">MIN(IF($J$150:$AO$150=S$150,$J250:$AO250))</f>
        <v>0</v>
      </c>
      <c r="T258" s="506">
        <f t="array" ref="T258">MIN(IF($J$150:$AO$150=T$150,$J250:$AO250))</f>
        <v>0</v>
      </c>
      <c r="U258" s="506">
        <f t="array" ref="U258">MIN(IF($J$150:$AO$150=U$150,$J250:$AO250))</f>
        <v>0</v>
      </c>
      <c r="V258" s="506">
        <f t="array" ref="V258">MIN(IF($J$150:$AO$150=V$150,$J250:$AO250))</f>
        <v>0</v>
      </c>
      <c r="W258" s="506">
        <f t="array" ref="W258">MIN(IF($J$150:$AO$150=W$150,$J250:$AO250))</f>
        <v>0</v>
      </c>
      <c r="X258" s="506">
        <f t="array" ref="X258">MIN(IF($J$150:$AO$150=X$150,$J250:$AO250))</f>
        <v>0</v>
      </c>
      <c r="Y258" s="506">
        <f t="array" ref="Y258">MIN(IF($J$150:$AO$150=Y$150,$J250:$AO250))</f>
        <v>0</v>
      </c>
      <c r="Z258" s="506">
        <f t="array" ref="Z258">MIN(IF($J$150:$AO$150=Z$150,$J250:$AO250))</f>
        <v>0</v>
      </c>
      <c r="AA258" s="506">
        <f t="array" ref="AA258">MIN(IF($J$150:$AO$150=AA$150,$J250:$AO250))</f>
        <v>0</v>
      </c>
      <c r="AB258" s="506">
        <f t="array" ref="AB258">MIN(IF($J$150:$AO$150=AB$150,$J250:$AO250))</f>
        <v>0</v>
      </c>
      <c r="AC258" s="506">
        <f t="array" ref="AC258">MIN(IF($J$150:$AO$150=AC$150,$J250:$AO250))</f>
        <v>0</v>
      </c>
      <c r="AD258" s="506">
        <f t="array" ref="AD258">MIN(IF($J$150:$AO$150=AD$150,$J250:$AO250))</f>
        <v>0</v>
      </c>
      <c r="AE258" s="506">
        <f t="array" ref="AE258">MIN(IF($J$150:$AO$150=AE$150,$J250:$AO250))</f>
        <v>0</v>
      </c>
      <c r="AF258" s="506">
        <f t="array" ref="AF258">MIN(IF($J$150:$AO$150=AF$150,$J250:$AO250))</f>
        <v>0</v>
      </c>
      <c r="AG258" s="506">
        <f t="array" ref="AG258">MIN(IF($J$150:$AO$150=AG$150,$J250:$AO250))</f>
        <v>0</v>
      </c>
      <c r="AH258" s="506">
        <f t="array" ref="AH258">MIN(IF($J$150:$AO$150=AH$150,$J250:$AO250))</f>
        <v>0</v>
      </c>
      <c r="AI258" s="506">
        <f t="array" ref="AI258">MIN(IF($J$150:$AO$150=AI$150,$J250:$AO250))</f>
        <v>0</v>
      </c>
      <c r="AJ258" s="506">
        <f t="array" ref="AJ258">MIN(IF($J$150:$AO$150=AJ$150,$J250:$AO250))</f>
        <v>0</v>
      </c>
      <c r="AK258" s="506">
        <f t="array" ref="AK258">MIN(IF($J$150:$AO$150=AK$150,$J250:$AO250))</f>
        <v>0</v>
      </c>
      <c r="AL258" s="506">
        <f t="array" ref="AL258">MIN(IF($J$150:$AO$150=AL$150,$J250:$AO250))</f>
        <v>0</v>
      </c>
      <c r="AM258" s="506">
        <f t="array" ref="AM258">MIN(IF($J$150:$AO$150=AM$150,$J250:$AO250))</f>
        <v>0</v>
      </c>
      <c r="AN258" s="506">
        <f t="array" ref="AN258">MIN(IF($J$150:$AO$150=AN$150,$J250:$AO250))</f>
        <v>0</v>
      </c>
      <c r="AO258" s="506">
        <f t="array" ref="AO258">MIN(IF($J$150:$AO$150=AO$150,$J250:$AO250))</f>
        <v>0</v>
      </c>
    </row>
    <row r="259" spans="3:41" x14ac:dyDescent="0.25">
      <c r="C259" s="82"/>
      <c r="F259" s="293" t="s">
        <v>1163</v>
      </c>
      <c r="G259" s="293" t="s">
        <v>183</v>
      </c>
      <c r="J259" s="441">
        <f t="array" ref="J259">MIN(IF($J$150:$AO$150=J$150,$J251:$AO251))</f>
        <v>0</v>
      </c>
      <c r="K259" s="441">
        <f t="array" ref="K259">MIN(IF($J$150:$AO$150=K$150,$J251:$AO251))</f>
        <v>0</v>
      </c>
      <c r="L259" s="441">
        <f t="array" ref="L259">MIN(IF($J$150:$AO$150=L$150,$J251:$AO251))</f>
        <v>0</v>
      </c>
      <c r="M259" s="441">
        <f t="array" ref="M259">MIN(IF($J$150:$AO$150=M$150,$J251:$AO251))</f>
        <v>0</v>
      </c>
      <c r="N259" s="441">
        <f t="array" ref="N259">MIN(IF($J$150:$AO$150=N$150,$J251:$AO251))</f>
        <v>0</v>
      </c>
      <c r="O259" s="441">
        <f t="array" ref="O259">MIN(IF($J$150:$AO$150=O$150,$J251:$AO251))</f>
        <v>0</v>
      </c>
      <c r="P259" s="441">
        <f t="array" ref="P259">MIN(IF($J$150:$AO$150=P$150,$J251:$AO251))</f>
        <v>0</v>
      </c>
      <c r="Q259" s="441">
        <f t="array" ref="Q259">MIN(IF($J$150:$AO$150=Q$150,$J251:$AO251))</f>
        <v>0</v>
      </c>
      <c r="R259" s="441">
        <f t="array" ref="R259">MIN(IF($J$150:$AO$150=R$150,$J251:$AO251))</f>
        <v>0</v>
      </c>
      <c r="S259" s="441">
        <f t="array" ref="S259">MIN(IF($J$150:$AO$150=S$150,$J251:$AO251))</f>
        <v>0</v>
      </c>
      <c r="T259" s="441">
        <f t="array" ref="T259">MIN(IF($J$150:$AO$150=T$150,$J251:$AO251))</f>
        <v>0</v>
      </c>
      <c r="U259" s="441">
        <f t="array" ref="U259">MIN(IF($J$150:$AO$150=U$150,$J251:$AO251))</f>
        <v>0</v>
      </c>
      <c r="V259" s="441">
        <f t="array" ref="V259">MIN(IF($J$150:$AO$150=V$150,$J251:$AO251))</f>
        <v>0</v>
      </c>
      <c r="W259" s="441">
        <f t="array" ref="W259">MIN(IF($J$150:$AO$150=W$150,$J251:$AO251))</f>
        <v>0</v>
      </c>
      <c r="X259" s="441">
        <f t="array" ref="X259">MIN(IF($J$150:$AO$150=X$150,$J251:$AO251))</f>
        <v>0</v>
      </c>
      <c r="Y259" s="441">
        <f t="array" ref="Y259">MIN(IF($J$150:$AO$150=Y$150,$J251:$AO251))</f>
        <v>0</v>
      </c>
      <c r="Z259" s="441">
        <f t="array" ref="Z259">MIN(IF($J$150:$AO$150=Z$150,$J251:$AO251))</f>
        <v>0</v>
      </c>
      <c r="AA259" s="441">
        <f t="array" ref="AA259">MIN(IF($J$150:$AO$150=AA$150,$J251:$AO251))</f>
        <v>0</v>
      </c>
      <c r="AB259" s="441">
        <f t="array" ref="AB259">MIN(IF($J$150:$AO$150=AB$150,$J251:$AO251))</f>
        <v>0</v>
      </c>
      <c r="AC259" s="441">
        <f t="array" ref="AC259">MIN(IF($J$150:$AO$150=AC$150,$J251:$AO251))</f>
        <v>0</v>
      </c>
      <c r="AD259" s="441">
        <f t="array" ref="AD259">MIN(IF($J$150:$AO$150=AD$150,$J251:$AO251))</f>
        <v>0</v>
      </c>
      <c r="AE259" s="441">
        <f t="array" ref="AE259">MIN(IF($J$150:$AO$150=AE$150,$J251:$AO251))</f>
        <v>0</v>
      </c>
      <c r="AF259" s="441">
        <f t="array" ref="AF259">MIN(IF($J$150:$AO$150=AF$150,$J251:$AO251))</f>
        <v>0</v>
      </c>
      <c r="AG259" s="441">
        <f t="array" ref="AG259">MIN(IF($J$150:$AO$150=AG$150,$J251:$AO251))</f>
        <v>0</v>
      </c>
      <c r="AH259" s="441">
        <f t="array" ref="AH259">MIN(IF($J$150:$AO$150=AH$150,$J251:$AO251))</f>
        <v>0</v>
      </c>
      <c r="AI259" s="441">
        <f t="array" ref="AI259">MIN(IF($J$150:$AO$150=AI$150,$J251:$AO251))</f>
        <v>0</v>
      </c>
      <c r="AJ259" s="441">
        <f t="array" ref="AJ259">MIN(IF($J$150:$AO$150=AJ$150,$J251:$AO251))</f>
        <v>0</v>
      </c>
      <c r="AK259" s="441">
        <f t="array" ref="AK259">MIN(IF($J$150:$AO$150=AK$150,$J251:$AO251))</f>
        <v>0</v>
      </c>
      <c r="AL259" s="441">
        <f t="array" ref="AL259">MIN(IF($J$150:$AO$150=AL$150,$J251:$AO251))</f>
        <v>0</v>
      </c>
      <c r="AM259" s="441">
        <f t="array" ref="AM259">MIN(IF($J$150:$AO$150=AM$150,$J251:$AO251))</f>
        <v>0</v>
      </c>
      <c r="AN259" s="441">
        <f t="array" ref="AN259">MIN(IF($J$150:$AO$150=AN$150,$J251:$AO251))</f>
        <v>0</v>
      </c>
      <c r="AO259" s="441">
        <f t="array" ref="AO259">MIN(IF($J$150:$AO$150=AO$150,$J251:$AO251))</f>
        <v>0</v>
      </c>
    </row>
    <row r="260" spans="3:41" x14ac:dyDescent="0.25">
      <c r="C260" s="82"/>
      <c r="F260" s="93" t="s">
        <v>1164</v>
      </c>
      <c r="G260" s="93" t="s">
        <v>183</v>
      </c>
      <c r="H260" s="93"/>
      <c r="I260" s="93"/>
      <c r="J260" s="507">
        <f t="array" ref="J260">MIN(IF($J$150:$AO$150=J$150,$J252:$AO252))</f>
        <v>0</v>
      </c>
      <c r="K260" s="507">
        <f t="array" ref="K260">MIN(IF($J$150:$AO$150=K$150,$J252:$AO252))</f>
        <v>0</v>
      </c>
      <c r="L260" s="507">
        <f t="array" ref="L260">MIN(IF($J$150:$AO$150=L$150,$J252:$AO252))</f>
        <v>0</v>
      </c>
      <c r="M260" s="507">
        <f t="array" ref="M260">MIN(IF($J$150:$AO$150=M$150,$J252:$AO252))</f>
        <v>0</v>
      </c>
      <c r="N260" s="507">
        <f t="array" ref="N260">MIN(IF($J$150:$AO$150=N$150,$J252:$AO252))</f>
        <v>0</v>
      </c>
      <c r="O260" s="507">
        <f t="array" ref="O260">MIN(IF($J$150:$AO$150=O$150,$J252:$AO252))</f>
        <v>0</v>
      </c>
      <c r="P260" s="507">
        <f t="array" ref="P260">MIN(IF($J$150:$AO$150=P$150,$J252:$AO252))</f>
        <v>0</v>
      </c>
      <c r="Q260" s="507">
        <f t="array" ref="Q260">MIN(IF($J$150:$AO$150=Q$150,$J252:$AO252))</f>
        <v>0</v>
      </c>
      <c r="R260" s="507">
        <f t="array" ref="R260">MIN(IF($J$150:$AO$150=R$150,$J252:$AO252))</f>
        <v>0</v>
      </c>
      <c r="S260" s="507">
        <f t="array" ref="S260">MIN(IF($J$150:$AO$150=S$150,$J252:$AO252))</f>
        <v>0</v>
      </c>
      <c r="T260" s="507">
        <f t="array" ref="T260">MIN(IF($J$150:$AO$150=T$150,$J252:$AO252))</f>
        <v>0</v>
      </c>
      <c r="U260" s="507">
        <f t="array" ref="U260">MIN(IF($J$150:$AO$150=U$150,$J252:$AO252))</f>
        <v>0</v>
      </c>
      <c r="V260" s="507">
        <f t="array" ref="V260">MIN(IF($J$150:$AO$150=V$150,$J252:$AO252))</f>
        <v>0</v>
      </c>
      <c r="W260" s="507">
        <f t="array" ref="W260">MIN(IF($J$150:$AO$150=W$150,$J252:$AO252))</f>
        <v>0</v>
      </c>
      <c r="X260" s="507">
        <f t="array" ref="X260">MIN(IF($J$150:$AO$150=X$150,$J252:$AO252))</f>
        <v>0</v>
      </c>
      <c r="Y260" s="507">
        <f t="array" ref="Y260">MIN(IF($J$150:$AO$150=Y$150,$J252:$AO252))</f>
        <v>0</v>
      </c>
      <c r="Z260" s="507">
        <f t="array" ref="Z260">MIN(IF($J$150:$AO$150=Z$150,$J252:$AO252))</f>
        <v>0</v>
      </c>
      <c r="AA260" s="507">
        <f t="array" ref="AA260">MIN(IF($J$150:$AO$150=AA$150,$J252:$AO252))</f>
        <v>0</v>
      </c>
      <c r="AB260" s="507">
        <f t="array" ref="AB260">MIN(IF($J$150:$AO$150=AB$150,$J252:$AO252))</f>
        <v>0</v>
      </c>
      <c r="AC260" s="507">
        <f t="array" ref="AC260">MIN(IF($J$150:$AO$150=AC$150,$J252:$AO252))</f>
        <v>0</v>
      </c>
      <c r="AD260" s="507">
        <f t="array" ref="AD260">MIN(IF($J$150:$AO$150=AD$150,$J252:$AO252))</f>
        <v>0</v>
      </c>
      <c r="AE260" s="507">
        <f t="array" ref="AE260">MIN(IF($J$150:$AO$150=AE$150,$J252:$AO252))</f>
        <v>0</v>
      </c>
      <c r="AF260" s="507">
        <f t="array" ref="AF260">MIN(IF($J$150:$AO$150=AF$150,$J252:$AO252))</f>
        <v>0</v>
      </c>
      <c r="AG260" s="507">
        <f t="array" ref="AG260">MIN(IF($J$150:$AO$150=AG$150,$J252:$AO252))</f>
        <v>0</v>
      </c>
      <c r="AH260" s="507">
        <f t="array" ref="AH260">MIN(IF($J$150:$AO$150=AH$150,$J252:$AO252))</f>
        <v>0</v>
      </c>
      <c r="AI260" s="507">
        <f t="array" ref="AI260">MIN(IF($J$150:$AO$150=AI$150,$J252:$AO252))</f>
        <v>0</v>
      </c>
      <c r="AJ260" s="507">
        <f t="array" ref="AJ260">MIN(IF($J$150:$AO$150=AJ$150,$J252:$AO252))</f>
        <v>0</v>
      </c>
      <c r="AK260" s="507">
        <f t="array" ref="AK260">MIN(IF($J$150:$AO$150=AK$150,$J252:$AO252))</f>
        <v>0</v>
      </c>
      <c r="AL260" s="507">
        <f t="array" ref="AL260">MIN(IF($J$150:$AO$150=AL$150,$J252:$AO252))</f>
        <v>0</v>
      </c>
      <c r="AM260" s="507">
        <f t="array" ref="AM260">MIN(IF($J$150:$AO$150=AM$150,$J252:$AO252))</f>
        <v>0</v>
      </c>
      <c r="AN260" s="507">
        <f t="array" ref="AN260">MIN(IF($J$150:$AO$150=AN$150,$J252:$AO252))</f>
        <v>0</v>
      </c>
      <c r="AO260" s="507">
        <f t="array" ref="AO260">MIN(IF($J$150:$AO$150=AO$150,$J252:$AO252))</f>
        <v>0</v>
      </c>
    </row>
    <row r="261" spans="3:41" x14ac:dyDescent="0.25">
      <c r="C261" s="82"/>
      <c r="J261" s="111"/>
      <c r="K261" s="111"/>
      <c r="L261" s="111"/>
      <c r="M261" s="111"/>
      <c r="N261" s="111"/>
      <c r="O261" s="111"/>
      <c r="P261" s="111"/>
      <c r="Q261" s="111"/>
      <c r="R261" s="111"/>
      <c r="S261" s="111"/>
      <c r="T261" s="111"/>
      <c r="U261" s="111"/>
      <c r="V261" s="111"/>
      <c r="W261" s="111"/>
      <c r="X261" s="111"/>
      <c r="Y261" s="111"/>
      <c r="Z261" s="111"/>
      <c r="AA261" s="111"/>
      <c r="AB261" s="111"/>
      <c r="AC261" s="111"/>
      <c r="AD261" s="111"/>
      <c r="AE261" s="111"/>
      <c r="AF261" s="111"/>
      <c r="AG261" s="111"/>
      <c r="AH261" s="111"/>
      <c r="AI261" s="111"/>
      <c r="AJ261" s="111"/>
      <c r="AK261" s="111"/>
      <c r="AL261" s="111"/>
      <c r="AM261" s="111"/>
      <c r="AN261" s="111"/>
      <c r="AO261" s="111"/>
    </row>
    <row r="262" spans="3:41" x14ac:dyDescent="0.25">
      <c r="C262" s="82"/>
      <c r="E262" s="96" t="s">
        <v>1169</v>
      </c>
      <c r="J262" s="111"/>
      <c r="K262" s="111"/>
      <c r="L262" s="111"/>
      <c r="M262" s="111"/>
      <c r="N262" s="111"/>
      <c r="O262" s="111"/>
      <c r="P262" s="111"/>
      <c r="Q262" s="111"/>
      <c r="R262" s="111"/>
      <c r="S262" s="111"/>
      <c r="T262" s="111"/>
      <c r="U262" s="111"/>
      <c r="V262" s="111"/>
      <c r="W262" s="111"/>
      <c r="X262" s="111"/>
      <c r="Y262" s="111"/>
      <c r="Z262" s="111"/>
      <c r="AA262" s="111"/>
      <c r="AB262" s="111"/>
      <c r="AC262" s="111"/>
      <c r="AD262" s="111"/>
      <c r="AE262" s="111"/>
      <c r="AF262" s="111"/>
      <c r="AG262" s="111"/>
      <c r="AH262" s="111"/>
      <c r="AI262" s="111"/>
      <c r="AJ262" s="111"/>
      <c r="AK262" s="111"/>
      <c r="AL262" s="111"/>
      <c r="AM262" s="111"/>
      <c r="AN262" s="111"/>
      <c r="AO262" s="111"/>
    </row>
    <row r="263" spans="3:41" x14ac:dyDescent="0.25">
      <c r="C263" s="82"/>
      <c r="F263" s="91" t="s">
        <v>1162</v>
      </c>
      <c r="G263" s="91" t="s">
        <v>183</v>
      </c>
      <c r="H263" s="91"/>
      <c r="I263" s="91"/>
      <c r="J263" s="506">
        <f xml:space="preserve"> - J258</f>
        <v>0</v>
      </c>
      <c r="K263" s="506">
        <f t="shared" ref="K263:AO263" si="64" xml:space="preserve"> - K258</f>
        <v>0</v>
      </c>
      <c r="L263" s="506">
        <f t="shared" si="64"/>
        <v>0</v>
      </c>
      <c r="M263" s="506">
        <f t="shared" si="64"/>
        <v>0</v>
      </c>
      <c r="N263" s="506">
        <f t="shared" si="64"/>
        <v>0</v>
      </c>
      <c r="O263" s="506">
        <f t="shared" si="64"/>
        <v>0</v>
      </c>
      <c r="P263" s="506">
        <f t="shared" si="64"/>
        <v>0</v>
      </c>
      <c r="Q263" s="506">
        <f t="shared" si="64"/>
        <v>0</v>
      </c>
      <c r="R263" s="506">
        <f t="shared" si="64"/>
        <v>0</v>
      </c>
      <c r="S263" s="506">
        <f t="shared" si="64"/>
        <v>0</v>
      </c>
      <c r="T263" s="506">
        <f t="shared" si="64"/>
        <v>0</v>
      </c>
      <c r="U263" s="506">
        <f t="shared" si="64"/>
        <v>0</v>
      </c>
      <c r="V263" s="506">
        <f t="shared" si="64"/>
        <v>0</v>
      </c>
      <c r="W263" s="506">
        <f t="shared" si="64"/>
        <v>0</v>
      </c>
      <c r="X263" s="506">
        <f t="shared" si="64"/>
        <v>0</v>
      </c>
      <c r="Y263" s="506">
        <f t="shared" si="64"/>
        <v>0</v>
      </c>
      <c r="Z263" s="506">
        <f t="shared" si="64"/>
        <v>0</v>
      </c>
      <c r="AA263" s="506">
        <f t="shared" si="64"/>
        <v>0</v>
      </c>
      <c r="AB263" s="506">
        <f t="shared" si="64"/>
        <v>0</v>
      </c>
      <c r="AC263" s="506">
        <f t="shared" si="64"/>
        <v>0</v>
      </c>
      <c r="AD263" s="506">
        <f t="shared" si="64"/>
        <v>0</v>
      </c>
      <c r="AE263" s="506">
        <f t="shared" si="64"/>
        <v>0</v>
      </c>
      <c r="AF263" s="506">
        <f t="shared" si="64"/>
        <v>0</v>
      </c>
      <c r="AG263" s="506">
        <f t="shared" si="64"/>
        <v>0</v>
      </c>
      <c r="AH263" s="506">
        <f t="shared" si="64"/>
        <v>0</v>
      </c>
      <c r="AI263" s="506">
        <f t="shared" si="64"/>
        <v>0</v>
      </c>
      <c r="AJ263" s="506">
        <f t="shared" si="64"/>
        <v>0</v>
      </c>
      <c r="AK263" s="506">
        <f t="shared" si="64"/>
        <v>0</v>
      </c>
      <c r="AL263" s="506">
        <f t="shared" si="64"/>
        <v>0</v>
      </c>
      <c r="AM263" s="506">
        <f t="shared" si="64"/>
        <v>0</v>
      </c>
      <c r="AN263" s="506">
        <f t="shared" si="64"/>
        <v>0</v>
      </c>
      <c r="AO263" s="506">
        <f t="shared" si="64"/>
        <v>0</v>
      </c>
    </row>
    <row r="264" spans="3:41" x14ac:dyDescent="0.25">
      <c r="C264" s="82"/>
      <c r="F264" s="293" t="s">
        <v>1163</v>
      </c>
      <c r="G264" s="293" t="s">
        <v>183</v>
      </c>
      <c r="J264" s="441">
        <f t="shared" ref="J264:AO265" si="65" xml:space="preserve"> - J259</f>
        <v>0</v>
      </c>
      <c r="K264" s="441">
        <f t="shared" si="65"/>
        <v>0</v>
      </c>
      <c r="L264" s="441">
        <f t="shared" si="65"/>
        <v>0</v>
      </c>
      <c r="M264" s="441">
        <f t="shared" si="65"/>
        <v>0</v>
      </c>
      <c r="N264" s="441">
        <f t="shared" si="65"/>
        <v>0</v>
      </c>
      <c r="O264" s="441">
        <f t="shared" si="65"/>
        <v>0</v>
      </c>
      <c r="P264" s="441">
        <f t="shared" si="65"/>
        <v>0</v>
      </c>
      <c r="Q264" s="441">
        <f t="shared" si="65"/>
        <v>0</v>
      </c>
      <c r="R264" s="441">
        <f t="shared" si="65"/>
        <v>0</v>
      </c>
      <c r="S264" s="441">
        <f t="shared" si="65"/>
        <v>0</v>
      </c>
      <c r="T264" s="441">
        <f t="shared" si="65"/>
        <v>0</v>
      </c>
      <c r="U264" s="441">
        <f t="shared" si="65"/>
        <v>0</v>
      </c>
      <c r="V264" s="441">
        <f t="shared" si="65"/>
        <v>0</v>
      </c>
      <c r="W264" s="441">
        <f t="shared" si="65"/>
        <v>0</v>
      </c>
      <c r="X264" s="441">
        <f t="shared" si="65"/>
        <v>0</v>
      </c>
      <c r="Y264" s="441">
        <f t="shared" si="65"/>
        <v>0</v>
      </c>
      <c r="Z264" s="441">
        <f t="shared" si="65"/>
        <v>0</v>
      </c>
      <c r="AA264" s="441">
        <f t="shared" si="65"/>
        <v>0</v>
      </c>
      <c r="AB264" s="441">
        <f t="shared" si="65"/>
        <v>0</v>
      </c>
      <c r="AC264" s="441">
        <f t="shared" si="65"/>
        <v>0</v>
      </c>
      <c r="AD264" s="441">
        <f t="shared" si="65"/>
        <v>0</v>
      </c>
      <c r="AE264" s="441">
        <f t="shared" si="65"/>
        <v>0</v>
      </c>
      <c r="AF264" s="441">
        <f t="shared" si="65"/>
        <v>0</v>
      </c>
      <c r="AG264" s="441">
        <f t="shared" si="65"/>
        <v>0</v>
      </c>
      <c r="AH264" s="441">
        <f t="shared" si="65"/>
        <v>0</v>
      </c>
      <c r="AI264" s="441">
        <f t="shared" si="65"/>
        <v>0</v>
      </c>
      <c r="AJ264" s="441">
        <f t="shared" si="65"/>
        <v>0</v>
      </c>
      <c r="AK264" s="441">
        <f t="shared" si="65"/>
        <v>0</v>
      </c>
      <c r="AL264" s="441">
        <f t="shared" si="65"/>
        <v>0</v>
      </c>
      <c r="AM264" s="441">
        <f t="shared" si="65"/>
        <v>0</v>
      </c>
      <c r="AN264" s="441">
        <f t="shared" si="65"/>
        <v>0</v>
      </c>
      <c r="AO264" s="441">
        <f t="shared" si="65"/>
        <v>0</v>
      </c>
    </row>
    <row r="265" spans="3:41" x14ac:dyDescent="0.25">
      <c r="C265" s="82"/>
      <c r="F265" s="93" t="s">
        <v>1164</v>
      </c>
      <c r="G265" s="93" t="s">
        <v>183</v>
      </c>
      <c r="H265" s="93"/>
      <c r="I265" s="93"/>
      <c r="J265" s="507">
        <f t="shared" si="65"/>
        <v>0</v>
      </c>
      <c r="K265" s="507">
        <f t="shared" si="65"/>
        <v>0</v>
      </c>
      <c r="L265" s="507">
        <f t="shared" si="65"/>
        <v>0</v>
      </c>
      <c r="M265" s="507">
        <f t="shared" si="65"/>
        <v>0</v>
      </c>
      <c r="N265" s="507">
        <f t="shared" si="65"/>
        <v>0</v>
      </c>
      <c r="O265" s="507">
        <f t="shared" si="65"/>
        <v>0</v>
      </c>
      <c r="P265" s="507">
        <f t="shared" si="65"/>
        <v>0</v>
      </c>
      <c r="Q265" s="507">
        <f t="shared" si="65"/>
        <v>0</v>
      </c>
      <c r="R265" s="507">
        <f t="shared" si="65"/>
        <v>0</v>
      </c>
      <c r="S265" s="507">
        <f t="shared" si="65"/>
        <v>0</v>
      </c>
      <c r="T265" s="507">
        <f t="shared" si="65"/>
        <v>0</v>
      </c>
      <c r="U265" s="507">
        <f t="shared" si="65"/>
        <v>0</v>
      </c>
      <c r="V265" s="507">
        <f t="shared" si="65"/>
        <v>0</v>
      </c>
      <c r="W265" s="507">
        <f t="shared" si="65"/>
        <v>0</v>
      </c>
      <c r="X265" s="507">
        <f t="shared" si="65"/>
        <v>0</v>
      </c>
      <c r="Y265" s="507">
        <f t="shared" si="65"/>
        <v>0</v>
      </c>
      <c r="Z265" s="507">
        <f t="shared" si="65"/>
        <v>0</v>
      </c>
      <c r="AA265" s="507">
        <f t="shared" si="65"/>
        <v>0</v>
      </c>
      <c r="AB265" s="507">
        <f t="shared" si="65"/>
        <v>0</v>
      </c>
      <c r="AC265" s="507">
        <f t="shared" si="65"/>
        <v>0</v>
      </c>
      <c r="AD265" s="507">
        <f t="shared" si="65"/>
        <v>0</v>
      </c>
      <c r="AE265" s="507">
        <f t="shared" si="65"/>
        <v>0</v>
      </c>
      <c r="AF265" s="507">
        <f t="shared" si="65"/>
        <v>0</v>
      </c>
      <c r="AG265" s="507">
        <f t="shared" si="65"/>
        <v>0</v>
      </c>
      <c r="AH265" s="507">
        <f t="shared" si="65"/>
        <v>0</v>
      </c>
      <c r="AI265" s="507">
        <f t="shared" si="65"/>
        <v>0</v>
      </c>
      <c r="AJ265" s="507">
        <f t="shared" si="65"/>
        <v>0</v>
      </c>
      <c r="AK265" s="507">
        <f t="shared" si="65"/>
        <v>0</v>
      </c>
      <c r="AL265" s="507">
        <f t="shared" si="65"/>
        <v>0</v>
      </c>
      <c r="AM265" s="507">
        <f t="shared" si="65"/>
        <v>0</v>
      </c>
      <c r="AN265" s="507">
        <f t="shared" si="65"/>
        <v>0</v>
      </c>
      <c r="AO265" s="507">
        <f t="shared" si="65"/>
        <v>0</v>
      </c>
    </row>
    <row r="266" spans="3:41" x14ac:dyDescent="0.25">
      <c r="C266" s="82"/>
      <c r="J266" s="111"/>
      <c r="K266" s="111"/>
      <c r="L266" s="111"/>
      <c r="M266" s="111"/>
      <c r="N266" s="111"/>
      <c r="O266" s="111"/>
      <c r="P266" s="111"/>
      <c r="Q266" s="111"/>
      <c r="R266" s="111"/>
      <c r="S266" s="111"/>
      <c r="T266" s="111"/>
      <c r="U266" s="111"/>
      <c r="V266" s="111"/>
      <c r="W266" s="111"/>
      <c r="X266" s="111"/>
      <c r="Y266" s="111"/>
      <c r="Z266" s="111"/>
      <c r="AA266" s="111"/>
      <c r="AB266" s="111"/>
      <c r="AC266" s="111"/>
      <c r="AD266" s="111"/>
      <c r="AE266" s="111"/>
      <c r="AF266" s="111"/>
      <c r="AG266" s="111"/>
      <c r="AH266" s="111"/>
      <c r="AI266" s="111"/>
      <c r="AJ266" s="111"/>
      <c r="AK266" s="111"/>
      <c r="AL266" s="111"/>
      <c r="AM266" s="111"/>
      <c r="AN266" s="111"/>
      <c r="AO266" s="111"/>
    </row>
    <row r="267" spans="3:41" x14ac:dyDescent="0.25">
      <c r="C267" s="82"/>
      <c r="E267" s="96" t="s">
        <v>1170</v>
      </c>
      <c r="J267" s="111"/>
      <c r="K267" s="111"/>
      <c r="L267" s="111"/>
      <c r="M267" s="111"/>
      <c r="N267" s="111"/>
      <c r="O267" s="111"/>
      <c r="P267" s="111"/>
      <c r="Q267" s="111"/>
      <c r="R267" s="111"/>
      <c r="S267" s="111"/>
      <c r="T267" s="111"/>
      <c r="U267" s="111"/>
      <c r="V267" s="111"/>
      <c r="W267" s="111"/>
      <c r="X267" s="111"/>
      <c r="Y267" s="111"/>
      <c r="Z267" s="111"/>
      <c r="AA267" s="111"/>
      <c r="AB267" s="111"/>
      <c r="AC267" s="111"/>
      <c r="AD267" s="111"/>
      <c r="AE267" s="111"/>
      <c r="AF267" s="111"/>
      <c r="AG267" s="111"/>
      <c r="AH267" s="111"/>
      <c r="AI267" s="111"/>
      <c r="AJ267" s="111"/>
      <c r="AK267" s="111"/>
      <c r="AL267" s="111"/>
      <c r="AM267" s="111"/>
      <c r="AN267" s="111"/>
      <c r="AO267" s="111"/>
    </row>
    <row r="268" spans="3:41" x14ac:dyDescent="0.25">
      <c r="C268" s="82"/>
      <c r="F268" s="91" t="s">
        <v>1162</v>
      </c>
      <c r="G268" s="91" t="s">
        <v>426</v>
      </c>
      <c r="H268" s="91"/>
      <c r="I268" s="91"/>
      <c r="J268" s="498">
        <f t="shared" ref="J268:AO268" si="66">IF(J$238,MATCH(J250,J$40:J$42,0), 0)</f>
        <v>0</v>
      </c>
      <c r="K268" s="498">
        <f t="shared" si="66"/>
        <v>0</v>
      </c>
      <c r="L268" s="498">
        <f t="shared" si="66"/>
        <v>0</v>
      </c>
      <c r="M268" s="498">
        <f t="shared" si="66"/>
        <v>0</v>
      </c>
      <c r="N268" s="498">
        <f t="shared" si="66"/>
        <v>0</v>
      </c>
      <c r="O268" s="498">
        <f t="shared" si="66"/>
        <v>0</v>
      </c>
      <c r="P268" s="498">
        <f t="shared" si="66"/>
        <v>0</v>
      </c>
      <c r="Q268" s="498">
        <f t="shared" si="66"/>
        <v>0</v>
      </c>
      <c r="R268" s="498">
        <f t="shared" si="66"/>
        <v>0</v>
      </c>
      <c r="S268" s="498">
        <f t="shared" si="66"/>
        <v>0</v>
      </c>
      <c r="T268" s="498">
        <f t="shared" si="66"/>
        <v>0</v>
      </c>
      <c r="U268" s="498">
        <f t="shared" si="66"/>
        <v>0</v>
      </c>
      <c r="V268" s="498">
        <f t="shared" si="66"/>
        <v>0</v>
      </c>
      <c r="W268" s="498">
        <f t="shared" si="66"/>
        <v>0</v>
      </c>
      <c r="X268" s="498">
        <f t="shared" si="66"/>
        <v>0</v>
      </c>
      <c r="Y268" s="498">
        <f t="shared" si="66"/>
        <v>0</v>
      </c>
      <c r="Z268" s="498">
        <f t="shared" si="66"/>
        <v>0</v>
      </c>
      <c r="AA268" s="498">
        <f t="shared" si="66"/>
        <v>0</v>
      </c>
      <c r="AB268" s="498">
        <f t="shared" si="66"/>
        <v>0</v>
      </c>
      <c r="AC268" s="498">
        <f t="shared" si="66"/>
        <v>0</v>
      </c>
      <c r="AD268" s="498">
        <f t="shared" si="66"/>
        <v>0</v>
      </c>
      <c r="AE268" s="498">
        <f t="shared" si="66"/>
        <v>0</v>
      </c>
      <c r="AF268" s="498">
        <f t="shared" si="66"/>
        <v>0</v>
      </c>
      <c r="AG268" s="498">
        <f t="shared" si="66"/>
        <v>0</v>
      </c>
      <c r="AH268" s="498">
        <f t="shared" si="66"/>
        <v>0</v>
      </c>
      <c r="AI268" s="498">
        <f t="shared" si="66"/>
        <v>0</v>
      </c>
      <c r="AJ268" s="498">
        <f t="shared" si="66"/>
        <v>0</v>
      </c>
      <c r="AK268" s="498">
        <f t="shared" si="66"/>
        <v>0</v>
      </c>
      <c r="AL268" s="498">
        <f t="shared" si="66"/>
        <v>0</v>
      </c>
      <c r="AM268" s="498">
        <f t="shared" si="66"/>
        <v>0</v>
      </c>
      <c r="AN268" s="498">
        <f t="shared" si="66"/>
        <v>0</v>
      </c>
      <c r="AO268" s="498">
        <f t="shared" si="66"/>
        <v>0</v>
      </c>
    </row>
    <row r="269" spans="3:41" x14ac:dyDescent="0.25">
      <c r="C269" s="82"/>
      <c r="F269" s="293" t="s">
        <v>1163</v>
      </c>
      <c r="G269" s="293" t="s">
        <v>426</v>
      </c>
      <c r="J269" s="499">
        <f t="shared" ref="J269:AO269" si="67">IF(J$238,MATCH(J251,J$40:J$42,0), 0)</f>
        <v>0</v>
      </c>
      <c r="K269" s="499">
        <f t="shared" si="67"/>
        <v>0</v>
      </c>
      <c r="L269" s="499">
        <f t="shared" si="67"/>
        <v>0</v>
      </c>
      <c r="M269" s="499">
        <f t="shared" si="67"/>
        <v>0</v>
      </c>
      <c r="N269" s="499">
        <f t="shared" si="67"/>
        <v>0</v>
      </c>
      <c r="O269" s="499">
        <f t="shared" si="67"/>
        <v>0</v>
      </c>
      <c r="P269" s="499">
        <f t="shared" si="67"/>
        <v>0</v>
      </c>
      <c r="Q269" s="499">
        <f t="shared" si="67"/>
        <v>0</v>
      </c>
      <c r="R269" s="499">
        <f t="shared" si="67"/>
        <v>0</v>
      </c>
      <c r="S269" s="499">
        <f t="shared" si="67"/>
        <v>0</v>
      </c>
      <c r="T269" s="499">
        <f t="shared" si="67"/>
        <v>0</v>
      </c>
      <c r="U269" s="499">
        <f t="shared" si="67"/>
        <v>0</v>
      </c>
      <c r="V269" s="499">
        <f t="shared" si="67"/>
        <v>0</v>
      </c>
      <c r="W269" s="499">
        <f t="shared" si="67"/>
        <v>0</v>
      </c>
      <c r="X269" s="499">
        <f t="shared" si="67"/>
        <v>0</v>
      </c>
      <c r="Y269" s="499">
        <f t="shared" si="67"/>
        <v>0</v>
      </c>
      <c r="Z269" s="499">
        <f t="shared" si="67"/>
        <v>0</v>
      </c>
      <c r="AA269" s="499">
        <f t="shared" si="67"/>
        <v>0</v>
      </c>
      <c r="AB269" s="499">
        <f t="shared" si="67"/>
        <v>0</v>
      </c>
      <c r="AC269" s="499">
        <f t="shared" si="67"/>
        <v>0</v>
      </c>
      <c r="AD269" s="499">
        <f t="shared" si="67"/>
        <v>0</v>
      </c>
      <c r="AE269" s="499">
        <f t="shared" si="67"/>
        <v>0</v>
      </c>
      <c r="AF269" s="499">
        <f t="shared" si="67"/>
        <v>0</v>
      </c>
      <c r="AG269" s="499">
        <f t="shared" si="67"/>
        <v>0</v>
      </c>
      <c r="AH269" s="499">
        <f t="shared" si="67"/>
        <v>0</v>
      </c>
      <c r="AI269" s="499">
        <f t="shared" si="67"/>
        <v>0</v>
      </c>
      <c r="AJ269" s="499">
        <f t="shared" si="67"/>
        <v>0</v>
      </c>
      <c r="AK269" s="499">
        <f t="shared" si="67"/>
        <v>0</v>
      </c>
      <c r="AL269" s="499">
        <f t="shared" si="67"/>
        <v>0</v>
      </c>
      <c r="AM269" s="499">
        <f t="shared" si="67"/>
        <v>0</v>
      </c>
      <c r="AN269" s="499">
        <f t="shared" si="67"/>
        <v>0</v>
      </c>
      <c r="AO269" s="499">
        <f t="shared" si="67"/>
        <v>0</v>
      </c>
    </row>
    <row r="270" spans="3:41" x14ac:dyDescent="0.25">
      <c r="C270" s="82"/>
      <c r="F270" s="93" t="s">
        <v>1164</v>
      </c>
      <c r="G270" s="93" t="s">
        <v>426</v>
      </c>
      <c r="H270" s="93"/>
      <c r="I270" s="93"/>
      <c r="J270" s="500">
        <f t="shared" ref="J270:AO270" si="68">IF(J$238,MATCH(J252,J$40:J$42,0), 0)</f>
        <v>0</v>
      </c>
      <c r="K270" s="500">
        <f t="shared" si="68"/>
        <v>0</v>
      </c>
      <c r="L270" s="500">
        <f t="shared" si="68"/>
        <v>0</v>
      </c>
      <c r="M270" s="500">
        <f t="shared" si="68"/>
        <v>0</v>
      </c>
      <c r="N270" s="500">
        <f t="shared" si="68"/>
        <v>0</v>
      </c>
      <c r="O270" s="500">
        <f t="shared" si="68"/>
        <v>0</v>
      </c>
      <c r="P270" s="500">
        <f t="shared" si="68"/>
        <v>0</v>
      </c>
      <c r="Q270" s="500">
        <f t="shared" si="68"/>
        <v>0</v>
      </c>
      <c r="R270" s="500">
        <f t="shared" si="68"/>
        <v>0</v>
      </c>
      <c r="S270" s="500">
        <f t="shared" si="68"/>
        <v>0</v>
      </c>
      <c r="T270" s="500">
        <f t="shared" si="68"/>
        <v>0</v>
      </c>
      <c r="U270" s="500">
        <f t="shared" si="68"/>
        <v>0</v>
      </c>
      <c r="V270" s="500">
        <f t="shared" si="68"/>
        <v>0</v>
      </c>
      <c r="W270" s="500">
        <f t="shared" si="68"/>
        <v>0</v>
      </c>
      <c r="X270" s="500">
        <f t="shared" si="68"/>
        <v>0</v>
      </c>
      <c r="Y270" s="500">
        <f t="shared" si="68"/>
        <v>0</v>
      </c>
      <c r="Z270" s="500">
        <f t="shared" si="68"/>
        <v>0</v>
      </c>
      <c r="AA270" s="500">
        <f t="shared" si="68"/>
        <v>0</v>
      </c>
      <c r="AB270" s="500">
        <f t="shared" si="68"/>
        <v>0</v>
      </c>
      <c r="AC270" s="500">
        <f t="shared" si="68"/>
        <v>0</v>
      </c>
      <c r="AD270" s="500">
        <f t="shared" si="68"/>
        <v>0</v>
      </c>
      <c r="AE270" s="500">
        <f t="shared" si="68"/>
        <v>0</v>
      </c>
      <c r="AF270" s="500">
        <f t="shared" si="68"/>
        <v>0</v>
      </c>
      <c r="AG270" s="500">
        <f t="shared" si="68"/>
        <v>0</v>
      </c>
      <c r="AH270" s="500">
        <f t="shared" si="68"/>
        <v>0</v>
      </c>
      <c r="AI270" s="500">
        <f t="shared" si="68"/>
        <v>0</v>
      </c>
      <c r="AJ270" s="500">
        <f t="shared" si="68"/>
        <v>0</v>
      </c>
      <c r="AK270" s="500">
        <f t="shared" si="68"/>
        <v>0</v>
      </c>
      <c r="AL270" s="500">
        <f t="shared" si="68"/>
        <v>0</v>
      </c>
      <c r="AM270" s="500">
        <f t="shared" si="68"/>
        <v>0</v>
      </c>
      <c r="AN270" s="500">
        <f t="shared" si="68"/>
        <v>0</v>
      </c>
      <c r="AO270" s="500">
        <f t="shared" si="68"/>
        <v>0</v>
      </c>
    </row>
    <row r="271" spans="3:41" x14ac:dyDescent="0.25">
      <c r="C271" s="82"/>
      <c r="J271" s="111"/>
      <c r="K271" s="111"/>
      <c r="L271" s="111"/>
      <c r="M271" s="111"/>
      <c r="N271" s="111"/>
      <c r="O271" s="111"/>
      <c r="P271" s="111"/>
      <c r="Q271" s="111"/>
      <c r="R271" s="111"/>
      <c r="S271" s="111"/>
      <c r="T271" s="111"/>
      <c r="U271" s="111"/>
      <c r="V271" s="111"/>
      <c r="W271" s="111"/>
      <c r="X271" s="111"/>
      <c r="Y271" s="111"/>
      <c r="Z271" s="111"/>
      <c r="AA271" s="111"/>
      <c r="AB271" s="111"/>
      <c r="AC271" s="111"/>
      <c r="AD271" s="111"/>
      <c r="AE271" s="111"/>
      <c r="AF271" s="111"/>
      <c r="AG271" s="111"/>
      <c r="AH271" s="111"/>
      <c r="AI271" s="111"/>
      <c r="AJ271" s="111"/>
      <c r="AK271" s="111"/>
      <c r="AL271" s="111"/>
      <c r="AM271" s="111"/>
      <c r="AN271" s="111"/>
      <c r="AO271" s="111"/>
    </row>
    <row r="272" spans="3:41" x14ac:dyDescent="0.25">
      <c r="C272" s="82"/>
      <c r="E272" s="96" t="s">
        <v>1171</v>
      </c>
      <c r="J272" s="111"/>
      <c r="K272" s="111"/>
      <c r="L272" s="111"/>
      <c r="M272" s="111"/>
      <c r="N272" s="111"/>
      <c r="O272" s="111"/>
      <c r="P272" s="111"/>
      <c r="Q272" s="111"/>
      <c r="R272" s="111"/>
      <c r="S272" s="111"/>
      <c r="T272" s="111"/>
      <c r="U272" s="111"/>
      <c r="V272" s="111"/>
      <c r="W272" s="111"/>
      <c r="X272" s="111"/>
      <c r="Y272" s="111"/>
      <c r="Z272" s="111"/>
      <c r="AA272" s="111"/>
      <c r="AB272" s="111"/>
      <c r="AC272" s="111"/>
      <c r="AD272" s="111"/>
      <c r="AE272" s="111"/>
      <c r="AF272" s="111"/>
      <c r="AG272" s="111"/>
      <c r="AH272" s="111"/>
      <c r="AI272" s="111"/>
      <c r="AJ272" s="111"/>
      <c r="AK272" s="111"/>
      <c r="AL272" s="111"/>
      <c r="AM272" s="111"/>
      <c r="AN272" s="111"/>
      <c r="AO272" s="111"/>
    </row>
    <row r="273" spans="3:43" x14ac:dyDescent="0.25">
      <c r="C273" s="82"/>
      <c r="F273" s="91" t="s">
        <v>1162</v>
      </c>
      <c r="G273" s="91" t="s">
        <v>120</v>
      </c>
      <c r="H273" s="91"/>
      <c r="I273" s="91"/>
      <c r="J273" s="245">
        <f t="shared" ref="J273:AO273" si="69">IF(J$238, INDEX(J$53:J$55,J268), 0)</f>
        <v>0</v>
      </c>
      <c r="K273" s="245">
        <f t="shared" si="69"/>
        <v>0</v>
      </c>
      <c r="L273" s="245">
        <f t="shared" si="69"/>
        <v>0</v>
      </c>
      <c r="M273" s="245">
        <f t="shared" si="69"/>
        <v>0</v>
      </c>
      <c r="N273" s="245">
        <f t="shared" si="69"/>
        <v>0</v>
      </c>
      <c r="O273" s="245">
        <f t="shared" si="69"/>
        <v>0</v>
      </c>
      <c r="P273" s="245">
        <f t="shared" si="69"/>
        <v>0</v>
      </c>
      <c r="Q273" s="245">
        <f t="shared" si="69"/>
        <v>0</v>
      </c>
      <c r="R273" s="245">
        <f t="shared" si="69"/>
        <v>0</v>
      </c>
      <c r="S273" s="245">
        <f t="shared" si="69"/>
        <v>0</v>
      </c>
      <c r="T273" s="245">
        <f t="shared" si="69"/>
        <v>0</v>
      </c>
      <c r="U273" s="245">
        <f t="shared" si="69"/>
        <v>0</v>
      </c>
      <c r="V273" s="245">
        <f t="shared" si="69"/>
        <v>0</v>
      </c>
      <c r="W273" s="245">
        <f t="shared" si="69"/>
        <v>0</v>
      </c>
      <c r="X273" s="245">
        <f t="shared" si="69"/>
        <v>0</v>
      </c>
      <c r="Y273" s="245">
        <f t="shared" si="69"/>
        <v>0</v>
      </c>
      <c r="Z273" s="245">
        <f t="shared" si="69"/>
        <v>0</v>
      </c>
      <c r="AA273" s="245">
        <f t="shared" si="69"/>
        <v>0</v>
      </c>
      <c r="AB273" s="245">
        <f t="shared" si="69"/>
        <v>0</v>
      </c>
      <c r="AC273" s="245">
        <f t="shared" si="69"/>
        <v>0</v>
      </c>
      <c r="AD273" s="245">
        <f t="shared" si="69"/>
        <v>0</v>
      </c>
      <c r="AE273" s="245">
        <f t="shared" si="69"/>
        <v>0</v>
      </c>
      <c r="AF273" s="245">
        <f t="shared" si="69"/>
        <v>0</v>
      </c>
      <c r="AG273" s="245">
        <f t="shared" si="69"/>
        <v>0</v>
      </c>
      <c r="AH273" s="245">
        <f t="shared" si="69"/>
        <v>0</v>
      </c>
      <c r="AI273" s="245">
        <f t="shared" si="69"/>
        <v>0</v>
      </c>
      <c r="AJ273" s="245">
        <f t="shared" si="69"/>
        <v>0</v>
      </c>
      <c r="AK273" s="245">
        <f t="shared" si="69"/>
        <v>0</v>
      </c>
      <c r="AL273" s="245">
        <f t="shared" si="69"/>
        <v>0</v>
      </c>
      <c r="AM273" s="245">
        <f t="shared" si="69"/>
        <v>0</v>
      </c>
      <c r="AN273" s="245">
        <f t="shared" si="69"/>
        <v>0</v>
      </c>
      <c r="AO273" s="245">
        <f t="shared" si="69"/>
        <v>0</v>
      </c>
    </row>
    <row r="274" spans="3:43" x14ac:dyDescent="0.25">
      <c r="C274" s="82"/>
      <c r="F274" s="293" t="s">
        <v>1163</v>
      </c>
      <c r="G274" s="293" t="s">
        <v>120</v>
      </c>
      <c r="J274" s="237">
        <f t="shared" ref="J274:AO274" si="70">IF(J$238, INDEX(J$53:J$55,J269), 0)</f>
        <v>0</v>
      </c>
      <c r="K274" s="237">
        <f t="shared" si="70"/>
        <v>0</v>
      </c>
      <c r="L274" s="237">
        <f t="shared" si="70"/>
        <v>0</v>
      </c>
      <c r="M274" s="237">
        <f t="shared" si="70"/>
        <v>0</v>
      </c>
      <c r="N274" s="237">
        <f t="shared" si="70"/>
        <v>0</v>
      </c>
      <c r="O274" s="237">
        <f t="shared" si="70"/>
        <v>0</v>
      </c>
      <c r="P274" s="237">
        <f t="shared" si="70"/>
        <v>0</v>
      </c>
      <c r="Q274" s="237">
        <f t="shared" si="70"/>
        <v>0</v>
      </c>
      <c r="R274" s="237">
        <f t="shared" si="70"/>
        <v>0</v>
      </c>
      <c r="S274" s="237">
        <f t="shared" si="70"/>
        <v>0</v>
      </c>
      <c r="T274" s="237">
        <f t="shared" si="70"/>
        <v>0</v>
      </c>
      <c r="U274" s="237">
        <f t="shared" si="70"/>
        <v>0</v>
      </c>
      <c r="V274" s="237">
        <f t="shared" si="70"/>
        <v>0</v>
      </c>
      <c r="W274" s="237">
        <f t="shared" si="70"/>
        <v>0</v>
      </c>
      <c r="X274" s="237">
        <f t="shared" si="70"/>
        <v>0</v>
      </c>
      <c r="Y274" s="237">
        <f t="shared" si="70"/>
        <v>0</v>
      </c>
      <c r="Z274" s="237">
        <f t="shared" si="70"/>
        <v>0</v>
      </c>
      <c r="AA274" s="237">
        <f t="shared" si="70"/>
        <v>0</v>
      </c>
      <c r="AB274" s="237">
        <f t="shared" si="70"/>
        <v>0</v>
      </c>
      <c r="AC274" s="237">
        <f t="shared" si="70"/>
        <v>0</v>
      </c>
      <c r="AD274" s="237">
        <f t="shared" si="70"/>
        <v>0</v>
      </c>
      <c r="AE274" s="237">
        <f t="shared" si="70"/>
        <v>0</v>
      </c>
      <c r="AF274" s="237">
        <f t="shared" si="70"/>
        <v>0</v>
      </c>
      <c r="AG274" s="237">
        <f t="shared" si="70"/>
        <v>0</v>
      </c>
      <c r="AH274" s="237">
        <f t="shared" si="70"/>
        <v>0</v>
      </c>
      <c r="AI274" s="237">
        <f t="shared" si="70"/>
        <v>0</v>
      </c>
      <c r="AJ274" s="237">
        <f t="shared" si="70"/>
        <v>0</v>
      </c>
      <c r="AK274" s="237">
        <f t="shared" si="70"/>
        <v>0</v>
      </c>
      <c r="AL274" s="237">
        <f t="shared" si="70"/>
        <v>0</v>
      </c>
      <c r="AM274" s="237">
        <f t="shared" si="70"/>
        <v>0</v>
      </c>
      <c r="AN274" s="237">
        <f t="shared" si="70"/>
        <v>0</v>
      </c>
      <c r="AO274" s="237">
        <f t="shared" si="70"/>
        <v>0</v>
      </c>
    </row>
    <row r="275" spans="3:43" x14ac:dyDescent="0.25">
      <c r="C275" s="82"/>
      <c r="F275" s="93" t="s">
        <v>1164</v>
      </c>
      <c r="G275" s="93" t="s">
        <v>120</v>
      </c>
      <c r="H275" s="93"/>
      <c r="I275" s="93"/>
      <c r="J275" s="251">
        <f t="shared" ref="J275:AO275" si="71">IF(J$238, INDEX(J$53:J$55,J270), 0)</f>
        <v>0</v>
      </c>
      <c r="K275" s="251">
        <f t="shared" si="71"/>
        <v>0</v>
      </c>
      <c r="L275" s="251">
        <f t="shared" si="71"/>
        <v>0</v>
      </c>
      <c r="M275" s="251">
        <f t="shared" si="71"/>
        <v>0</v>
      </c>
      <c r="N275" s="251">
        <f t="shared" si="71"/>
        <v>0</v>
      </c>
      <c r="O275" s="251">
        <f t="shared" si="71"/>
        <v>0</v>
      </c>
      <c r="P275" s="251">
        <f t="shared" si="71"/>
        <v>0</v>
      </c>
      <c r="Q275" s="251">
        <f t="shared" si="71"/>
        <v>0</v>
      </c>
      <c r="R275" s="251">
        <f t="shared" si="71"/>
        <v>0</v>
      </c>
      <c r="S275" s="251">
        <f t="shared" si="71"/>
        <v>0</v>
      </c>
      <c r="T275" s="251">
        <f t="shared" si="71"/>
        <v>0</v>
      </c>
      <c r="U275" s="251">
        <f t="shared" si="71"/>
        <v>0</v>
      </c>
      <c r="V275" s="251">
        <f t="shared" si="71"/>
        <v>0</v>
      </c>
      <c r="W275" s="251">
        <f t="shared" si="71"/>
        <v>0</v>
      </c>
      <c r="X275" s="251">
        <f t="shared" si="71"/>
        <v>0</v>
      </c>
      <c r="Y275" s="251">
        <f t="shared" si="71"/>
        <v>0</v>
      </c>
      <c r="Z275" s="251">
        <f t="shared" si="71"/>
        <v>0</v>
      </c>
      <c r="AA275" s="251">
        <f t="shared" si="71"/>
        <v>0</v>
      </c>
      <c r="AB275" s="251">
        <f t="shared" si="71"/>
        <v>0</v>
      </c>
      <c r="AC275" s="251">
        <f t="shared" si="71"/>
        <v>0</v>
      </c>
      <c r="AD275" s="251">
        <f t="shared" si="71"/>
        <v>0</v>
      </c>
      <c r="AE275" s="251">
        <f t="shared" si="71"/>
        <v>0</v>
      </c>
      <c r="AF275" s="251">
        <f t="shared" si="71"/>
        <v>0</v>
      </c>
      <c r="AG275" s="251">
        <f t="shared" si="71"/>
        <v>0</v>
      </c>
      <c r="AH275" s="251">
        <f t="shared" si="71"/>
        <v>0</v>
      </c>
      <c r="AI275" s="251">
        <f t="shared" si="71"/>
        <v>0</v>
      </c>
      <c r="AJ275" s="251">
        <f t="shared" si="71"/>
        <v>0</v>
      </c>
      <c r="AK275" s="251">
        <f t="shared" si="71"/>
        <v>0</v>
      </c>
      <c r="AL275" s="251">
        <f t="shared" si="71"/>
        <v>0</v>
      </c>
      <c r="AM275" s="251">
        <f t="shared" si="71"/>
        <v>0</v>
      </c>
      <c r="AN275" s="251">
        <f t="shared" si="71"/>
        <v>0</v>
      </c>
      <c r="AO275" s="251">
        <f t="shared" si="71"/>
        <v>0</v>
      </c>
    </row>
    <row r="276" spans="3:43" x14ac:dyDescent="0.25">
      <c r="C276" s="82"/>
      <c r="J276" s="237"/>
      <c r="K276" s="237"/>
      <c r="L276" s="237"/>
      <c r="M276" s="237"/>
      <c r="N276" s="237"/>
      <c r="O276" s="237"/>
      <c r="P276" s="237"/>
      <c r="Q276" s="237"/>
      <c r="R276" s="237"/>
      <c r="S276" s="237"/>
      <c r="T276" s="237"/>
      <c r="U276" s="237"/>
      <c r="V276" s="237"/>
      <c r="W276" s="237"/>
      <c r="X276" s="237"/>
      <c r="Y276" s="237"/>
      <c r="Z276" s="237"/>
      <c r="AA276" s="237"/>
      <c r="AB276" s="237"/>
      <c r="AC276" s="237"/>
      <c r="AD276" s="237"/>
      <c r="AE276" s="237"/>
      <c r="AF276" s="237"/>
      <c r="AG276" s="237"/>
      <c r="AH276" s="237"/>
      <c r="AI276" s="237"/>
      <c r="AJ276" s="237"/>
      <c r="AK276" s="237"/>
      <c r="AL276" s="237"/>
      <c r="AM276" s="237"/>
      <c r="AN276" s="237"/>
      <c r="AO276" s="237"/>
    </row>
    <row r="277" spans="3:43" x14ac:dyDescent="0.25">
      <c r="C277" s="82"/>
      <c r="E277" s="96" t="s">
        <v>1172</v>
      </c>
      <c r="J277" s="111"/>
      <c r="K277" s="111"/>
      <c r="L277" s="111"/>
      <c r="M277" s="111"/>
      <c r="N277" s="111"/>
      <c r="O277" s="111"/>
      <c r="P277" s="111"/>
      <c r="Q277" s="111"/>
      <c r="R277" s="111"/>
      <c r="S277" s="111"/>
      <c r="T277" s="111"/>
      <c r="U277" s="111"/>
      <c r="V277" s="111"/>
      <c r="W277" s="111"/>
      <c r="X277" s="111"/>
      <c r="Y277" s="111"/>
      <c r="Z277" s="111"/>
      <c r="AA277" s="111"/>
      <c r="AB277" s="111"/>
      <c r="AC277" s="111"/>
      <c r="AD277" s="111"/>
      <c r="AE277" s="111"/>
      <c r="AF277" s="111"/>
      <c r="AG277" s="111"/>
      <c r="AH277" s="111"/>
      <c r="AI277" s="111"/>
      <c r="AJ277" s="111"/>
      <c r="AK277" s="111"/>
      <c r="AL277" s="111"/>
      <c r="AM277" s="111"/>
      <c r="AN277" s="111"/>
      <c r="AO277" s="111"/>
    </row>
    <row r="278" spans="3:43" x14ac:dyDescent="0.25">
      <c r="C278" s="82"/>
      <c r="F278" s="91" t="s">
        <v>1162</v>
      </c>
      <c r="G278" s="91" t="s">
        <v>120</v>
      </c>
      <c r="H278" s="91"/>
      <c r="I278" s="91"/>
      <c r="J278" s="245">
        <f t="shared" ref="J278:AO280" si="72">SUMIF($J$150:$AO$150,J$150,$J273:$AO273)</f>
        <v>0</v>
      </c>
      <c r="K278" s="245">
        <f t="shared" si="72"/>
        <v>0</v>
      </c>
      <c r="L278" s="245">
        <f t="shared" si="72"/>
        <v>0</v>
      </c>
      <c r="M278" s="245">
        <f t="shared" si="72"/>
        <v>0</v>
      </c>
      <c r="N278" s="245">
        <f t="shared" si="72"/>
        <v>0</v>
      </c>
      <c r="O278" s="245">
        <f t="shared" si="72"/>
        <v>0</v>
      </c>
      <c r="P278" s="245">
        <f t="shared" si="72"/>
        <v>0</v>
      </c>
      <c r="Q278" s="245">
        <f t="shared" si="72"/>
        <v>0</v>
      </c>
      <c r="R278" s="245">
        <f t="shared" si="72"/>
        <v>0</v>
      </c>
      <c r="S278" s="245">
        <f t="shared" si="72"/>
        <v>0</v>
      </c>
      <c r="T278" s="245">
        <f t="shared" si="72"/>
        <v>0</v>
      </c>
      <c r="U278" s="245">
        <f t="shared" si="72"/>
        <v>0</v>
      </c>
      <c r="V278" s="245">
        <f t="shared" si="72"/>
        <v>0</v>
      </c>
      <c r="W278" s="245">
        <f t="shared" si="72"/>
        <v>0</v>
      </c>
      <c r="X278" s="245">
        <f t="shared" si="72"/>
        <v>0</v>
      </c>
      <c r="Y278" s="245">
        <f t="shared" si="72"/>
        <v>0</v>
      </c>
      <c r="Z278" s="245">
        <f t="shared" si="72"/>
        <v>0</v>
      </c>
      <c r="AA278" s="245">
        <f t="shared" si="72"/>
        <v>0</v>
      </c>
      <c r="AB278" s="245">
        <f t="shared" si="72"/>
        <v>0</v>
      </c>
      <c r="AC278" s="245">
        <f t="shared" si="72"/>
        <v>0</v>
      </c>
      <c r="AD278" s="245">
        <f t="shared" si="72"/>
        <v>0</v>
      </c>
      <c r="AE278" s="245">
        <f t="shared" si="72"/>
        <v>0</v>
      </c>
      <c r="AF278" s="245">
        <f t="shared" si="72"/>
        <v>0</v>
      </c>
      <c r="AG278" s="245">
        <f t="shared" si="72"/>
        <v>0</v>
      </c>
      <c r="AH278" s="245">
        <f t="shared" si="72"/>
        <v>0</v>
      </c>
      <c r="AI278" s="245">
        <f t="shared" si="72"/>
        <v>0</v>
      </c>
      <c r="AJ278" s="245">
        <f t="shared" si="72"/>
        <v>0</v>
      </c>
      <c r="AK278" s="245">
        <f t="shared" si="72"/>
        <v>0</v>
      </c>
      <c r="AL278" s="245">
        <f t="shared" si="72"/>
        <v>0</v>
      </c>
      <c r="AM278" s="245">
        <f t="shared" si="72"/>
        <v>0</v>
      </c>
      <c r="AN278" s="245">
        <f t="shared" si="72"/>
        <v>0</v>
      </c>
      <c r="AO278" s="245">
        <f t="shared" si="72"/>
        <v>0</v>
      </c>
    </row>
    <row r="279" spans="3:43" x14ac:dyDescent="0.25">
      <c r="C279" s="82"/>
      <c r="F279" s="293" t="s">
        <v>1163</v>
      </c>
      <c r="G279" s="293" t="s">
        <v>120</v>
      </c>
      <c r="J279" s="237">
        <f t="shared" si="72"/>
        <v>0</v>
      </c>
      <c r="K279" s="237">
        <f t="shared" si="72"/>
        <v>0</v>
      </c>
      <c r="L279" s="237">
        <f t="shared" si="72"/>
        <v>0</v>
      </c>
      <c r="M279" s="237">
        <f t="shared" si="72"/>
        <v>0</v>
      </c>
      <c r="N279" s="237">
        <f t="shared" si="72"/>
        <v>0</v>
      </c>
      <c r="O279" s="237">
        <f t="shared" si="72"/>
        <v>0</v>
      </c>
      <c r="P279" s="237">
        <f t="shared" si="72"/>
        <v>0</v>
      </c>
      <c r="Q279" s="237">
        <f t="shared" si="72"/>
        <v>0</v>
      </c>
      <c r="R279" s="237">
        <f t="shared" si="72"/>
        <v>0</v>
      </c>
      <c r="S279" s="237">
        <f t="shared" si="72"/>
        <v>0</v>
      </c>
      <c r="T279" s="237">
        <f t="shared" si="72"/>
        <v>0</v>
      </c>
      <c r="U279" s="237">
        <f t="shared" si="72"/>
        <v>0</v>
      </c>
      <c r="V279" s="237">
        <f t="shared" si="72"/>
        <v>0</v>
      </c>
      <c r="W279" s="237">
        <f t="shared" si="72"/>
        <v>0</v>
      </c>
      <c r="X279" s="237">
        <f t="shared" si="72"/>
        <v>0</v>
      </c>
      <c r="Y279" s="237">
        <f t="shared" si="72"/>
        <v>0</v>
      </c>
      <c r="Z279" s="237">
        <f t="shared" si="72"/>
        <v>0</v>
      </c>
      <c r="AA279" s="237">
        <f t="shared" si="72"/>
        <v>0</v>
      </c>
      <c r="AB279" s="237">
        <f t="shared" si="72"/>
        <v>0</v>
      </c>
      <c r="AC279" s="237">
        <f t="shared" si="72"/>
        <v>0</v>
      </c>
      <c r="AD279" s="237">
        <f t="shared" si="72"/>
        <v>0</v>
      </c>
      <c r="AE279" s="237">
        <f t="shared" si="72"/>
        <v>0</v>
      </c>
      <c r="AF279" s="237">
        <f t="shared" si="72"/>
        <v>0</v>
      </c>
      <c r="AG279" s="237">
        <f t="shared" si="72"/>
        <v>0</v>
      </c>
      <c r="AH279" s="237">
        <f t="shared" si="72"/>
        <v>0</v>
      </c>
      <c r="AI279" s="237">
        <f t="shared" si="72"/>
        <v>0</v>
      </c>
      <c r="AJ279" s="237">
        <f t="shared" si="72"/>
        <v>0</v>
      </c>
      <c r="AK279" s="237">
        <f t="shared" si="72"/>
        <v>0</v>
      </c>
      <c r="AL279" s="237">
        <f t="shared" si="72"/>
        <v>0</v>
      </c>
      <c r="AM279" s="237">
        <f t="shared" si="72"/>
        <v>0</v>
      </c>
      <c r="AN279" s="237">
        <f t="shared" si="72"/>
        <v>0</v>
      </c>
      <c r="AO279" s="237">
        <f t="shared" si="72"/>
        <v>0</v>
      </c>
    </row>
    <row r="280" spans="3:43" x14ac:dyDescent="0.25">
      <c r="C280" s="82"/>
      <c r="F280" s="93" t="s">
        <v>1164</v>
      </c>
      <c r="G280" s="93" t="s">
        <v>120</v>
      </c>
      <c r="H280" s="93"/>
      <c r="I280" s="93"/>
      <c r="J280" s="251">
        <f t="shared" si="72"/>
        <v>0</v>
      </c>
      <c r="K280" s="251">
        <f t="shared" si="72"/>
        <v>0</v>
      </c>
      <c r="L280" s="251">
        <f t="shared" si="72"/>
        <v>0</v>
      </c>
      <c r="M280" s="251">
        <f t="shared" si="72"/>
        <v>0</v>
      </c>
      <c r="N280" s="251">
        <f t="shared" si="72"/>
        <v>0</v>
      </c>
      <c r="O280" s="251">
        <f t="shared" si="72"/>
        <v>0</v>
      </c>
      <c r="P280" s="251">
        <f t="shared" si="72"/>
        <v>0</v>
      </c>
      <c r="Q280" s="251">
        <f t="shared" si="72"/>
        <v>0</v>
      </c>
      <c r="R280" s="251">
        <f t="shared" si="72"/>
        <v>0</v>
      </c>
      <c r="S280" s="251">
        <f t="shared" si="72"/>
        <v>0</v>
      </c>
      <c r="T280" s="251">
        <f t="shared" si="72"/>
        <v>0</v>
      </c>
      <c r="U280" s="251">
        <f t="shared" si="72"/>
        <v>0</v>
      </c>
      <c r="V280" s="251">
        <f t="shared" si="72"/>
        <v>0</v>
      </c>
      <c r="W280" s="251">
        <f t="shared" si="72"/>
        <v>0</v>
      </c>
      <c r="X280" s="251">
        <f t="shared" si="72"/>
        <v>0</v>
      </c>
      <c r="Y280" s="251">
        <f t="shared" si="72"/>
        <v>0</v>
      </c>
      <c r="Z280" s="251">
        <f t="shared" si="72"/>
        <v>0</v>
      </c>
      <c r="AA280" s="251">
        <f t="shared" si="72"/>
        <v>0</v>
      </c>
      <c r="AB280" s="251">
        <f t="shared" si="72"/>
        <v>0</v>
      </c>
      <c r="AC280" s="251">
        <f t="shared" si="72"/>
        <v>0</v>
      </c>
      <c r="AD280" s="251">
        <f t="shared" si="72"/>
        <v>0</v>
      </c>
      <c r="AE280" s="251">
        <f t="shared" si="72"/>
        <v>0</v>
      </c>
      <c r="AF280" s="251">
        <f t="shared" si="72"/>
        <v>0</v>
      </c>
      <c r="AG280" s="251">
        <f t="shared" si="72"/>
        <v>0</v>
      </c>
      <c r="AH280" s="251">
        <f t="shared" si="72"/>
        <v>0</v>
      </c>
      <c r="AI280" s="251">
        <f t="shared" si="72"/>
        <v>0</v>
      </c>
      <c r="AJ280" s="251">
        <f t="shared" si="72"/>
        <v>0</v>
      </c>
      <c r="AK280" s="251">
        <f t="shared" si="72"/>
        <v>0</v>
      </c>
      <c r="AL280" s="251">
        <f t="shared" si="72"/>
        <v>0</v>
      </c>
      <c r="AM280" s="251">
        <f t="shared" si="72"/>
        <v>0</v>
      </c>
      <c r="AN280" s="251">
        <f t="shared" si="72"/>
        <v>0</v>
      </c>
      <c r="AO280" s="251">
        <f t="shared" si="72"/>
        <v>0</v>
      </c>
    </row>
    <row r="281" spans="3:43" x14ac:dyDescent="0.25">
      <c r="C281" s="82"/>
      <c r="J281" s="237"/>
      <c r="K281" s="237"/>
      <c r="L281" s="237"/>
      <c r="M281" s="237"/>
      <c r="N281" s="237"/>
      <c r="O281" s="237"/>
      <c r="P281" s="237"/>
      <c r="Q281" s="237"/>
      <c r="R281" s="237"/>
      <c r="S281" s="237"/>
      <c r="T281" s="237"/>
      <c r="U281" s="237"/>
      <c r="V281" s="237"/>
      <c r="W281" s="237"/>
      <c r="X281" s="237"/>
      <c r="Y281" s="237"/>
      <c r="Z281" s="237"/>
      <c r="AA281" s="237"/>
      <c r="AB281" s="237"/>
      <c r="AC281" s="237"/>
      <c r="AD281" s="237"/>
      <c r="AE281" s="237"/>
      <c r="AF281" s="237"/>
      <c r="AG281" s="237"/>
      <c r="AH281" s="237"/>
      <c r="AI281" s="237"/>
      <c r="AJ281" s="237"/>
      <c r="AK281" s="237"/>
      <c r="AL281" s="237"/>
      <c r="AM281" s="237"/>
      <c r="AN281" s="237"/>
      <c r="AO281" s="237"/>
    </row>
    <row r="282" spans="3:43" x14ac:dyDescent="0.25">
      <c r="C282" s="82"/>
      <c r="E282" s="96" t="s">
        <v>1173</v>
      </c>
      <c r="J282" s="111"/>
      <c r="K282" s="111"/>
      <c r="L282" s="111"/>
      <c r="M282" s="111"/>
      <c r="N282" s="111"/>
      <c r="O282" s="111"/>
      <c r="P282" s="111"/>
      <c r="Q282" s="111"/>
      <c r="R282" s="111"/>
      <c r="S282" s="111"/>
      <c r="T282" s="111"/>
      <c r="U282" s="111"/>
      <c r="V282" s="111"/>
      <c r="W282" s="111"/>
      <c r="X282" s="111"/>
      <c r="Y282" s="111"/>
      <c r="Z282" s="111"/>
      <c r="AA282" s="111"/>
      <c r="AB282" s="111"/>
      <c r="AC282" s="111"/>
      <c r="AD282" s="111"/>
      <c r="AE282" s="111"/>
      <c r="AF282" s="111"/>
      <c r="AG282" s="111"/>
      <c r="AH282" s="111"/>
      <c r="AI282" s="111"/>
      <c r="AJ282" s="111"/>
      <c r="AK282" s="111"/>
      <c r="AL282" s="111"/>
      <c r="AM282" s="111"/>
      <c r="AN282" s="111"/>
      <c r="AO282" s="111"/>
    </row>
    <row r="283" spans="3:43" x14ac:dyDescent="0.25">
      <c r="C283" s="82"/>
      <c r="F283" s="91" t="s">
        <v>1162</v>
      </c>
      <c r="G283" s="91" t="s">
        <v>120</v>
      </c>
      <c r="H283" s="91"/>
      <c r="I283" s="91"/>
      <c r="J283" s="245">
        <f>J278 * J$158</f>
        <v>0</v>
      </c>
      <c r="K283" s="245">
        <f t="shared" ref="K283:AO283" si="73">K278 * K$158</f>
        <v>0</v>
      </c>
      <c r="L283" s="245">
        <f t="shared" si="73"/>
        <v>0</v>
      </c>
      <c r="M283" s="245">
        <f t="shared" si="73"/>
        <v>0</v>
      </c>
      <c r="N283" s="245">
        <f t="shared" si="73"/>
        <v>0</v>
      </c>
      <c r="O283" s="245">
        <f t="shared" si="73"/>
        <v>0</v>
      </c>
      <c r="P283" s="245">
        <f t="shared" si="73"/>
        <v>0</v>
      </c>
      <c r="Q283" s="245">
        <f t="shared" si="73"/>
        <v>0</v>
      </c>
      <c r="R283" s="245">
        <f t="shared" si="73"/>
        <v>0</v>
      </c>
      <c r="S283" s="245">
        <f t="shared" si="73"/>
        <v>0</v>
      </c>
      <c r="T283" s="245">
        <f t="shared" si="73"/>
        <v>0</v>
      </c>
      <c r="U283" s="245">
        <f t="shared" si="73"/>
        <v>0</v>
      </c>
      <c r="V283" s="245">
        <f t="shared" si="73"/>
        <v>0</v>
      </c>
      <c r="W283" s="245">
        <f t="shared" si="73"/>
        <v>0</v>
      </c>
      <c r="X283" s="245">
        <f t="shared" si="73"/>
        <v>0</v>
      </c>
      <c r="Y283" s="245">
        <f t="shared" si="73"/>
        <v>0</v>
      </c>
      <c r="Z283" s="245">
        <f t="shared" si="73"/>
        <v>0</v>
      </c>
      <c r="AA283" s="245">
        <f t="shared" si="73"/>
        <v>0</v>
      </c>
      <c r="AB283" s="245">
        <f t="shared" si="73"/>
        <v>0</v>
      </c>
      <c r="AC283" s="245">
        <f t="shared" si="73"/>
        <v>0</v>
      </c>
      <c r="AD283" s="245">
        <f t="shared" si="73"/>
        <v>0</v>
      </c>
      <c r="AE283" s="245">
        <f t="shared" si="73"/>
        <v>0</v>
      </c>
      <c r="AF283" s="245">
        <f t="shared" si="73"/>
        <v>0</v>
      </c>
      <c r="AG283" s="245">
        <f t="shared" si="73"/>
        <v>0</v>
      </c>
      <c r="AH283" s="245">
        <f t="shared" si="73"/>
        <v>0</v>
      </c>
      <c r="AI283" s="245">
        <f t="shared" si="73"/>
        <v>0</v>
      </c>
      <c r="AJ283" s="245">
        <f t="shared" si="73"/>
        <v>0</v>
      </c>
      <c r="AK283" s="245">
        <f t="shared" si="73"/>
        <v>0</v>
      </c>
      <c r="AL283" s="245">
        <f t="shared" si="73"/>
        <v>0</v>
      </c>
      <c r="AM283" s="245">
        <f t="shared" si="73"/>
        <v>0</v>
      </c>
      <c r="AN283" s="245">
        <f t="shared" si="73"/>
        <v>0</v>
      </c>
      <c r="AO283" s="245">
        <f t="shared" si="73"/>
        <v>0</v>
      </c>
    </row>
    <row r="284" spans="3:43" x14ac:dyDescent="0.25">
      <c r="C284" s="82"/>
      <c r="F284" s="293" t="s">
        <v>1163</v>
      </c>
      <c r="G284" s="293" t="s">
        <v>120</v>
      </c>
      <c r="J284" s="237">
        <f t="shared" ref="J284:AO285" si="74">J279 * J$158</f>
        <v>0</v>
      </c>
      <c r="K284" s="237">
        <f t="shared" si="74"/>
        <v>0</v>
      </c>
      <c r="L284" s="237">
        <f t="shared" si="74"/>
        <v>0</v>
      </c>
      <c r="M284" s="237">
        <f t="shared" si="74"/>
        <v>0</v>
      </c>
      <c r="N284" s="237">
        <f t="shared" si="74"/>
        <v>0</v>
      </c>
      <c r="O284" s="237">
        <f t="shared" si="74"/>
        <v>0</v>
      </c>
      <c r="P284" s="237">
        <f t="shared" si="74"/>
        <v>0</v>
      </c>
      <c r="Q284" s="237">
        <f t="shared" si="74"/>
        <v>0</v>
      </c>
      <c r="R284" s="237">
        <f t="shared" si="74"/>
        <v>0</v>
      </c>
      <c r="S284" s="237">
        <f t="shared" si="74"/>
        <v>0</v>
      </c>
      <c r="T284" s="237">
        <f t="shared" si="74"/>
        <v>0</v>
      </c>
      <c r="U284" s="237">
        <f t="shared" si="74"/>
        <v>0</v>
      </c>
      <c r="V284" s="237">
        <f t="shared" si="74"/>
        <v>0</v>
      </c>
      <c r="W284" s="237">
        <f t="shared" si="74"/>
        <v>0</v>
      </c>
      <c r="X284" s="237">
        <f t="shared" si="74"/>
        <v>0</v>
      </c>
      <c r="Y284" s="237">
        <f t="shared" si="74"/>
        <v>0</v>
      </c>
      <c r="Z284" s="237">
        <f t="shared" si="74"/>
        <v>0</v>
      </c>
      <c r="AA284" s="237">
        <f t="shared" si="74"/>
        <v>0</v>
      </c>
      <c r="AB284" s="237">
        <f t="shared" si="74"/>
        <v>0</v>
      </c>
      <c r="AC284" s="237">
        <f t="shared" si="74"/>
        <v>0</v>
      </c>
      <c r="AD284" s="237">
        <f t="shared" si="74"/>
        <v>0</v>
      </c>
      <c r="AE284" s="237">
        <f t="shared" si="74"/>
        <v>0</v>
      </c>
      <c r="AF284" s="237">
        <f t="shared" si="74"/>
        <v>0</v>
      </c>
      <c r="AG284" s="237">
        <f t="shared" si="74"/>
        <v>0</v>
      </c>
      <c r="AH284" s="237">
        <f t="shared" si="74"/>
        <v>0</v>
      </c>
      <c r="AI284" s="237">
        <f t="shared" si="74"/>
        <v>0</v>
      </c>
      <c r="AJ284" s="237">
        <f t="shared" si="74"/>
        <v>0</v>
      </c>
      <c r="AK284" s="237">
        <f t="shared" si="74"/>
        <v>0</v>
      </c>
      <c r="AL284" s="237">
        <f t="shared" si="74"/>
        <v>0</v>
      </c>
      <c r="AM284" s="237">
        <f t="shared" si="74"/>
        <v>0</v>
      </c>
      <c r="AN284" s="237">
        <f t="shared" si="74"/>
        <v>0</v>
      </c>
      <c r="AO284" s="237">
        <f t="shared" si="74"/>
        <v>0</v>
      </c>
    </row>
    <row r="285" spans="3:43" x14ac:dyDescent="0.25">
      <c r="C285" s="82"/>
      <c r="F285" s="93" t="s">
        <v>1164</v>
      </c>
      <c r="G285" s="93" t="s">
        <v>120</v>
      </c>
      <c r="H285" s="93"/>
      <c r="I285" s="93"/>
      <c r="J285" s="251">
        <f t="shared" si="74"/>
        <v>0</v>
      </c>
      <c r="K285" s="251">
        <f t="shared" si="74"/>
        <v>0</v>
      </c>
      <c r="L285" s="251">
        <f t="shared" si="74"/>
        <v>0</v>
      </c>
      <c r="M285" s="251">
        <f t="shared" si="74"/>
        <v>0</v>
      </c>
      <c r="N285" s="251">
        <f t="shared" si="74"/>
        <v>0</v>
      </c>
      <c r="O285" s="251">
        <f t="shared" si="74"/>
        <v>0</v>
      </c>
      <c r="P285" s="251">
        <f t="shared" si="74"/>
        <v>0</v>
      </c>
      <c r="Q285" s="251">
        <f t="shared" si="74"/>
        <v>0</v>
      </c>
      <c r="R285" s="251">
        <f t="shared" si="74"/>
        <v>0</v>
      </c>
      <c r="S285" s="251">
        <f t="shared" si="74"/>
        <v>0</v>
      </c>
      <c r="T285" s="251">
        <f t="shared" si="74"/>
        <v>0</v>
      </c>
      <c r="U285" s="251">
        <f t="shared" si="74"/>
        <v>0</v>
      </c>
      <c r="V285" s="251">
        <f t="shared" si="74"/>
        <v>0</v>
      </c>
      <c r="W285" s="251">
        <f t="shared" si="74"/>
        <v>0</v>
      </c>
      <c r="X285" s="251">
        <f t="shared" si="74"/>
        <v>0</v>
      </c>
      <c r="Y285" s="251">
        <f t="shared" si="74"/>
        <v>0</v>
      </c>
      <c r="Z285" s="251">
        <f t="shared" si="74"/>
        <v>0</v>
      </c>
      <c r="AA285" s="251">
        <f t="shared" si="74"/>
        <v>0</v>
      </c>
      <c r="AB285" s="251">
        <f t="shared" si="74"/>
        <v>0</v>
      </c>
      <c r="AC285" s="251">
        <f t="shared" si="74"/>
        <v>0</v>
      </c>
      <c r="AD285" s="251">
        <f t="shared" si="74"/>
        <v>0</v>
      </c>
      <c r="AE285" s="251">
        <f t="shared" si="74"/>
        <v>0</v>
      </c>
      <c r="AF285" s="251">
        <f t="shared" si="74"/>
        <v>0</v>
      </c>
      <c r="AG285" s="251">
        <f t="shared" si="74"/>
        <v>0</v>
      </c>
      <c r="AH285" s="251">
        <f t="shared" si="74"/>
        <v>0</v>
      </c>
      <c r="AI285" s="251">
        <f t="shared" si="74"/>
        <v>0</v>
      </c>
      <c r="AJ285" s="251">
        <f t="shared" si="74"/>
        <v>0</v>
      </c>
      <c r="AK285" s="251">
        <f t="shared" si="74"/>
        <v>0</v>
      </c>
      <c r="AL285" s="251">
        <f t="shared" si="74"/>
        <v>0</v>
      </c>
      <c r="AM285" s="251">
        <f t="shared" si="74"/>
        <v>0</v>
      </c>
      <c r="AN285" s="251">
        <f t="shared" si="74"/>
        <v>0</v>
      </c>
      <c r="AO285" s="251">
        <f t="shared" si="74"/>
        <v>0</v>
      </c>
    </row>
    <row r="286" spans="3:43" x14ac:dyDescent="0.25">
      <c r="C286" s="82"/>
      <c r="E286" s="96"/>
      <c r="J286" s="111"/>
      <c r="K286" s="111"/>
      <c r="L286" s="111"/>
      <c r="M286" s="111"/>
      <c r="N286" s="111"/>
      <c r="O286" s="111"/>
      <c r="P286" s="111"/>
      <c r="Q286" s="111"/>
      <c r="R286" s="111"/>
      <c r="S286" s="111"/>
      <c r="T286" s="111"/>
      <c r="U286" s="111"/>
      <c r="V286" s="111"/>
      <c r="W286" s="111"/>
      <c r="X286" s="111"/>
      <c r="Y286" s="111"/>
      <c r="Z286" s="111"/>
      <c r="AA286" s="111"/>
      <c r="AB286" s="111"/>
      <c r="AC286" s="111"/>
      <c r="AD286" s="111"/>
      <c r="AE286" s="111"/>
      <c r="AF286" s="111"/>
      <c r="AG286" s="111"/>
      <c r="AH286" s="111"/>
      <c r="AI286" s="111"/>
      <c r="AJ286" s="111"/>
      <c r="AK286" s="111"/>
      <c r="AL286" s="111"/>
      <c r="AM286" s="111"/>
      <c r="AN286" s="111"/>
      <c r="AO286" s="111"/>
    </row>
    <row r="287" spans="3:43" x14ac:dyDescent="0.25">
      <c r="C287" s="7" t="str">
        <f ca="1">INDEX('Version control'!$H$35:$H$61,MATCH($A$1,'Version control'!$F$35:$F$61,0),1)&amp;"-K: Revenue matching for three timebands"</f>
        <v>Section 519-K: Revenue matching for three timebands</v>
      </c>
      <c r="D287" s="7"/>
      <c r="E287" s="7"/>
      <c r="F287" s="7"/>
      <c r="G287" s="7"/>
      <c r="H287" s="7"/>
      <c r="I287" s="7"/>
      <c r="J287" s="171"/>
      <c r="K287" s="171"/>
      <c r="L287" s="171"/>
      <c r="M287" s="171"/>
      <c r="N287" s="171"/>
      <c r="O287" s="171"/>
      <c r="P287" s="171"/>
      <c r="Q287" s="171"/>
      <c r="R287" s="171"/>
      <c r="S287" s="171"/>
      <c r="T287" s="171"/>
      <c r="U287" s="171"/>
      <c r="V287" s="171"/>
      <c r="W287" s="171"/>
      <c r="X287" s="171"/>
      <c r="Y287" s="171"/>
      <c r="Z287" s="171"/>
      <c r="AA287" s="171"/>
      <c r="AB287" s="171"/>
      <c r="AC287" s="171"/>
      <c r="AD287" s="171"/>
      <c r="AE287" s="171"/>
      <c r="AF287" s="171"/>
      <c r="AG287" s="171"/>
      <c r="AH287" s="171"/>
      <c r="AI287" s="171"/>
      <c r="AJ287" s="171"/>
      <c r="AK287" s="171"/>
      <c r="AL287" s="171"/>
      <c r="AM287" s="171"/>
      <c r="AN287" s="171"/>
      <c r="AO287" s="171"/>
      <c r="AP287" s="7"/>
      <c r="AQ287" s="7"/>
    </row>
    <row r="288" spans="3:43" x14ac:dyDescent="0.25">
      <c r="C288" s="82"/>
      <c r="E288" s="96"/>
      <c r="J288" s="111"/>
      <c r="K288" s="111"/>
      <c r="L288" s="111"/>
      <c r="M288" s="111"/>
      <c r="N288" s="111"/>
      <c r="O288" s="111"/>
      <c r="P288" s="111"/>
      <c r="Q288" s="111"/>
      <c r="R288" s="111"/>
      <c r="S288" s="111"/>
      <c r="T288" s="111"/>
      <c r="U288" s="111"/>
      <c r="V288" s="111"/>
      <c r="W288" s="111"/>
      <c r="X288" s="111"/>
      <c r="Y288" s="111"/>
      <c r="Z288" s="111"/>
      <c r="AA288" s="111"/>
      <c r="AB288" s="111"/>
      <c r="AC288" s="111"/>
      <c r="AD288" s="111"/>
      <c r="AE288" s="111"/>
      <c r="AF288" s="111"/>
      <c r="AG288" s="111"/>
      <c r="AH288" s="111"/>
      <c r="AI288" s="111"/>
      <c r="AJ288" s="111"/>
      <c r="AK288" s="111"/>
      <c r="AL288" s="111"/>
      <c r="AM288" s="111"/>
      <c r="AN288" s="111"/>
      <c r="AO288" s="111"/>
    </row>
    <row r="289" spans="3:44" x14ac:dyDescent="0.25">
      <c r="C289" s="82"/>
      <c r="D289" s="82" t="s">
        <v>1174</v>
      </c>
      <c r="E289" s="96"/>
      <c r="I289" s="293" t="s">
        <v>359</v>
      </c>
      <c r="J289" s="111"/>
      <c r="K289" s="111"/>
      <c r="L289" s="111"/>
      <c r="M289" s="111"/>
      <c r="N289" s="111"/>
      <c r="O289" s="111"/>
      <c r="P289" s="111"/>
      <c r="Q289" s="111"/>
      <c r="R289" s="111"/>
      <c r="S289" s="111"/>
      <c r="T289" s="111"/>
      <c r="U289" s="111"/>
      <c r="V289" s="111"/>
      <c r="W289" s="111"/>
      <c r="X289" s="111"/>
      <c r="Y289" s="111"/>
      <c r="Z289" s="111"/>
      <c r="AA289" s="111"/>
      <c r="AB289" s="111"/>
      <c r="AC289" s="111"/>
      <c r="AD289" s="111"/>
      <c r="AE289" s="111"/>
      <c r="AF289" s="111"/>
      <c r="AG289" s="111"/>
      <c r="AH289" s="111"/>
      <c r="AI289" s="111"/>
      <c r="AJ289" s="111"/>
      <c r="AK289" s="111"/>
      <c r="AL289" s="111"/>
      <c r="AM289" s="111"/>
      <c r="AN289" s="111"/>
      <c r="AO289" s="111"/>
      <c r="AQ289" s="293" t="s">
        <v>744</v>
      </c>
    </row>
    <row r="290" spans="3:44" x14ac:dyDescent="0.25">
      <c r="C290" s="82"/>
      <c r="D290" s="82" t="s">
        <v>1175</v>
      </c>
      <c r="E290" s="96"/>
      <c r="J290" s="111"/>
      <c r="K290" s="111"/>
      <c r="L290" s="111"/>
      <c r="M290" s="111"/>
      <c r="N290" s="111"/>
      <c r="O290" s="111"/>
      <c r="P290" s="111"/>
      <c r="Q290" s="111"/>
      <c r="R290" s="111"/>
      <c r="S290" s="111"/>
      <c r="T290" s="111"/>
      <c r="U290" s="111"/>
      <c r="V290" s="111"/>
      <c r="W290" s="111"/>
      <c r="X290" s="111"/>
      <c r="Y290" s="111"/>
      <c r="Z290" s="111"/>
      <c r="AA290" s="111"/>
      <c r="AB290" s="111"/>
      <c r="AC290" s="111"/>
      <c r="AD290" s="111"/>
      <c r="AE290" s="111"/>
      <c r="AF290" s="111"/>
      <c r="AG290" s="111"/>
      <c r="AH290" s="111"/>
      <c r="AI290" s="111"/>
      <c r="AJ290" s="111"/>
      <c r="AK290" s="111"/>
      <c r="AL290" s="111"/>
      <c r="AM290" s="111"/>
      <c r="AN290" s="111"/>
      <c r="AO290" s="111"/>
    </row>
    <row r="291" spans="3:44" x14ac:dyDescent="0.25">
      <c r="C291" s="82"/>
      <c r="D291" s="82" t="s">
        <v>1176</v>
      </c>
      <c r="E291" s="96"/>
      <c r="J291" s="111"/>
      <c r="K291" s="111"/>
      <c r="L291" s="111"/>
      <c r="M291" s="111"/>
      <c r="N291" s="111"/>
      <c r="O291" s="111"/>
      <c r="P291" s="111"/>
      <c r="Q291" s="111"/>
      <c r="R291" s="111"/>
      <c r="S291" s="111"/>
      <c r="T291" s="111"/>
      <c r="U291" s="111"/>
      <c r="V291" s="111"/>
      <c r="W291" s="111"/>
      <c r="X291" s="111"/>
      <c r="Y291" s="111"/>
      <c r="Z291" s="111"/>
      <c r="AA291" s="111"/>
      <c r="AB291" s="111"/>
      <c r="AC291" s="111"/>
      <c r="AD291" s="111"/>
      <c r="AE291" s="111"/>
      <c r="AF291" s="111"/>
      <c r="AG291" s="111"/>
      <c r="AH291" s="111"/>
      <c r="AI291" s="111"/>
      <c r="AJ291" s="111"/>
      <c r="AK291" s="111"/>
      <c r="AL291" s="111"/>
      <c r="AM291" s="111"/>
      <c r="AN291" s="111"/>
      <c r="AO291" s="111"/>
    </row>
    <row r="292" spans="3:44" x14ac:dyDescent="0.25">
      <c r="C292" s="82"/>
      <c r="E292" s="96"/>
      <c r="J292" s="111"/>
      <c r="K292" s="111"/>
      <c r="L292" s="111"/>
      <c r="M292" s="111"/>
      <c r="N292" s="111"/>
      <c r="O292" s="111"/>
      <c r="P292" s="111"/>
      <c r="Q292" s="111"/>
      <c r="R292" s="111"/>
      <c r="S292" s="111"/>
      <c r="T292" s="111"/>
      <c r="U292" s="111"/>
      <c r="V292" s="111"/>
      <c r="W292" s="111"/>
      <c r="X292" s="111"/>
      <c r="Y292" s="111"/>
      <c r="Z292" s="111"/>
      <c r="AA292" s="111"/>
      <c r="AB292" s="111"/>
      <c r="AC292" s="111"/>
      <c r="AD292" s="111"/>
      <c r="AE292" s="111"/>
      <c r="AF292" s="111"/>
      <c r="AG292" s="111"/>
      <c r="AH292" s="111"/>
      <c r="AI292" s="111"/>
      <c r="AJ292" s="111"/>
      <c r="AK292" s="111"/>
      <c r="AL292" s="111"/>
      <c r="AM292" s="111"/>
      <c r="AN292" s="111"/>
      <c r="AO292" s="111"/>
    </row>
    <row r="293" spans="3:44" x14ac:dyDescent="0.25">
      <c r="C293" s="82"/>
      <c r="E293" s="96" t="s">
        <v>1177</v>
      </c>
      <c r="J293" s="111"/>
      <c r="K293" s="111"/>
      <c r="L293" s="111"/>
      <c r="M293" s="111"/>
      <c r="N293" s="111"/>
      <c r="O293" s="111"/>
      <c r="P293" s="111"/>
      <c r="Q293" s="111"/>
      <c r="R293" s="111"/>
      <c r="S293" s="111"/>
      <c r="T293" s="111"/>
      <c r="U293" s="111"/>
      <c r="V293" s="111"/>
      <c r="W293" s="111"/>
      <c r="X293" s="111"/>
      <c r="Y293" s="111"/>
      <c r="Z293" s="111"/>
      <c r="AA293" s="111"/>
      <c r="AB293" s="111"/>
      <c r="AC293" s="111"/>
      <c r="AD293" s="111"/>
      <c r="AE293" s="111"/>
      <c r="AF293" s="111"/>
      <c r="AG293" s="111"/>
      <c r="AH293" s="111"/>
      <c r="AI293" s="111"/>
      <c r="AJ293" s="111"/>
      <c r="AK293" s="111"/>
      <c r="AL293" s="111"/>
      <c r="AM293" s="111"/>
      <c r="AN293" s="111"/>
      <c r="AO293" s="111"/>
    </row>
    <row r="294" spans="3:44" x14ac:dyDescent="0.25">
      <c r="C294" s="82"/>
      <c r="F294" s="293" t="s">
        <v>1178</v>
      </c>
      <c r="G294" s="293" t="s">
        <v>1139</v>
      </c>
      <c r="J294" s="237">
        <f t="shared" ref="J294:AO294" si="75">SUMIF($J150:$AO150,J150,$J229:$AO229)</f>
        <v>0</v>
      </c>
      <c r="K294" s="237">
        <f t="shared" si="75"/>
        <v>0</v>
      </c>
      <c r="L294" s="237">
        <f t="shared" si="75"/>
        <v>0</v>
      </c>
      <c r="M294" s="237">
        <f t="shared" si="75"/>
        <v>0</v>
      </c>
      <c r="N294" s="237">
        <f t="shared" si="75"/>
        <v>0</v>
      </c>
      <c r="O294" s="237">
        <f t="shared" si="75"/>
        <v>0</v>
      </c>
      <c r="P294" s="237">
        <f t="shared" si="75"/>
        <v>0</v>
      </c>
      <c r="Q294" s="237">
        <f t="shared" si="75"/>
        <v>0</v>
      </c>
      <c r="R294" s="237">
        <f t="shared" si="75"/>
        <v>0</v>
      </c>
      <c r="S294" s="237">
        <f t="shared" si="75"/>
        <v>0</v>
      </c>
      <c r="T294" s="237">
        <f t="shared" si="75"/>
        <v>0</v>
      </c>
      <c r="U294" s="237">
        <f t="shared" si="75"/>
        <v>0</v>
      </c>
      <c r="V294" s="237">
        <f t="shared" si="75"/>
        <v>0</v>
      </c>
      <c r="W294" s="237">
        <f t="shared" si="75"/>
        <v>0</v>
      </c>
      <c r="X294" s="237">
        <f t="shared" si="75"/>
        <v>0</v>
      </c>
      <c r="Y294" s="237">
        <f t="shared" si="75"/>
        <v>0</v>
      </c>
      <c r="Z294" s="237">
        <f t="shared" si="75"/>
        <v>0</v>
      </c>
      <c r="AA294" s="237">
        <f t="shared" si="75"/>
        <v>0</v>
      </c>
      <c r="AB294" s="237">
        <f t="shared" si="75"/>
        <v>0</v>
      </c>
      <c r="AC294" s="237">
        <f t="shared" si="75"/>
        <v>0</v>
      </c>
      <c r="AD294" s="237">
        <f t="shared" si="75"/>
        <v>0</v>
      </c>
      <c r="AE294" s="237">
        <f t="shared" si="75"/>
        <v>0</v>
      </c>
      <c r="AF294" s="237">
        <f t="shared" si="75"/>
        <v>0</v>
      </c>
      <c r="AG294" s="237">
        <f t="shared" si="75"/>
        <v>0</v>
      </c>
      <c r="AH294" s="237">
        <f t="shared" si="75"/>
        <v>0</v>
      </c>
      <c r="AI294" s="237">
        <f t="shared" si="75"/>
        <v>0</v>
      </c>
      <c r="AJ294" s="237">
        <f t="shared" si="75"/>
        <v>0</v>
      </c>
      <c r="AK294" s="237">
        <f t="shared" si="75"/>
        <v>0</v>
      </c>
      <c r="AL294" s="237">
        <f t="shared" si="75"/>
        <v>0</v>
      </c>
      <c r="AM294" s="237">
        <f t="shared" si="75"/>
        <v>0</v>
      </c>
      <c r="AN294" s="237">
        <f t="shared" si="75"/>
        <v>0</v>
      </c>
      <c r="AO294" s="237">
        <f t="shared" si="75"/>
        <v>0</v>
      </c>
    </row>
    <row r="295" spans="3:44" x14ac:dyDescent="0.25">
      <c r="C295" s="82"/>
      <c r="J295" s="111"/>
      <c r="K295" s="111"/>
      <c r="L295" s="111"/>
      <c r="M295" s="111"/>
      <c r="N295" s="111"/>
      <c r="O295" s="111"/>
      <c r="P295" s="111"/>
      <c r="Q295" s="111"/>
      <c r="R295" s="111"/>
      <c r="S295" s="111"/>
      <c r="T295" s="111"/>
      <c r="U295" s="111"/>
      <c r="V295" s="111"/>
      <c r="W295" s="111"/>
      <c r="X295" s="111"/>
      <c r="Y295" s="111"/>
      <c r="Z295" s="111"/>
      <c r="AA295" s="111"/>
      <c r="AB295" s="111"/>
      <c r="AC295" s="111"/>
      <c r="AD295" s="111"/>
      <c r="AE295" s="111"/>
      <c r="AF295" s="111"/>
      <c r="AG295" s="111"/>
      <c r="AH295" s="111"/>
      <c r="AI295" s="111"/>
      <c r="AJ295" s="111"/>
      <c r="AK295" s="111"/>
      <c r="AL295" s="111"/>
      <c r="AM295" s="111"/>
      <c r="AN295" s="111"/>
      <c r="AO295" s="111"/>
    </row>
    <row r="296" spans="3:44" x14ac:dyDescent="0.25">
      <c r="C296" s="82"/>
      <c r="F296" s="293" t="s">
        <v>1179</v>
      </c>
      <c r="G296" s="293" t="s">
        <v>1139</v>
      </c>
      <c r="J296" s="237">
        <f t="shared" ref="J296:AO296" si="76" xml:space="preserve"> J294 * J158</f>
        <v>0</v>
      </c>
      <c r="K296" s="237">
        <f t="shared" si="76"/>
        <v>0</v>
      </c>
      <c r="L296" s="237">
        <f t="shared" si="76"/>
        <v>0</v>
      </c>
      <c r="M296" s="237">
        <f t="shared" si="76"/>
        <v>0</v>
      </c>
      <c r="N296" s="237">
        <f t="shared" si="76"/>
        <v>0</v>
      </c>
      <c r="O296" s="237">
        <f t="shared" si="76"/>
        <v>0</v>
      </c>
      <c r="P296" s="237">
        <f t="shared" si="76"/>
        <v>0</v>
      </c>
      <c r="Q296" s="237">
        <f t="shared" si="76"/>
        <v>0</v>
      </c>
      <c r="R296" s="237">
        <f t="shared" si="76"/>
        <v>0</v>
      </c>
      <c r="S296" s="237">
        <f t="shared" si="76"/>
        <v>0</v>
      </c>
      <c r="T296" s="237">
        <f t="shared" si="76"/>
        <v>0</v>
      </c>
      <c r="U296" s="237">
        <f t="shared" si="76"/>
        <v>0</v>
      </c>
      <c r="V296" s="237">
        <f t="shared" si="76"/>
        <v>0</v>
      </c>
      <c r="W296" s="237">
        <f t="shared" si="76"/>
        <v>0</v>
      </c>
      <c r="X296" s="237">
        <f t="shared" si="76"/>
        <v>0</v>
      </c>
      <c r="Y296" s="237">
        <f t="shared" si="76"/>
        <v>0</v>
      </c>
      <c r="Z296" s="237">
        <f t="shared" si="76"/>
        <v>0</v>
      </c>
      <c r="AA296" s="237">
        <f t="shared" si="76"/>
        <v>0</v>
      </c>
      <c r="AB296" s="237">
        <f t="shared" si="76"/>
        <v>0</v>
      </c>
      <c r="AC296" s="237">
        <f t="shared" si="76"/>
        <v>0</v>
      </c>
      <c r="AD296" s="237">
        <f t="shared" si="76"/>
        <v>0</v>
      </c>
      <c r="AE296" s="237">
        <f t="shared" si="76"/>
        <v>0</v>
      </c>
      <c r="AF296" s="237">
        <f t="shared" si="76"/>
        <v>0</v>
      </c>
      <c r="AG296" s="237">
        <f t="shared" si="76"/>
        <v>0</v>
      </c>
      <c r="AH296" s="237">
        <f t="shared" si="76"/>
        <v>0</v>
      </c>
      <c r="AI296" s="237">
        <f t="shared" si="76"/>
        <v>0</v>
      </c>
      <c r="AJ296" s="237">
        <f t="shared" si="76"/>
        <v>0</v>
      </c>
      <c r="AK296" s="237">
        <f t="shared" si="76"/>
        <v>0</v>
      </c>
      <c r="AL296" s="237">
        <f t="shared" si="76"/>
        <v>0</v>
      </c>
      <c r="AM296" s="237">
        <f t="shared" si="76"/>
        <v>0</v>
      </c>
      <c r="AN296" s="237">
        <f t="shared" si="76"/>
        <v>0</v>
      </c>
      <c r="AO296" s="237">
        <f t="shared" si="76"/>
        <v>0</v>
      </c>
    </row>
    <row r="297" spans="3:44" x14ac:dyDescent="0.25">
      <c r="C297" s="82"/>
      <c r="F297" s="98"/>
      <c r="J297" s="111"/>
      <c r="K297" s="111"/>
      <c r="L297" s="111"/>
      <c r="M297" s="111"/>
      <c r="N297" s="111"/>
      <c r="O297" s="111"/>
      <c r="P297" s="111"/>
      <c r="Q297" s="111"/>
      <c r="R297" s="111"/>
      <c r="S297" s="111"/>
      <c r="T297" s="111"/>
      <c r="U297" s="111"/>
      <c r="V297" s="111"/>
      <c r="W297" s="111"/>
      <c r="X297" s="111"/>
      <c r="Y297" s="111"/>
      <c r="Z297" s="111"/>
      <c r="AA297" s="111"/>
      <c r="AB297" s="111"/>
      <c r="AC297" s="111"/>
      <c r="AD297" s="111"/>
      <c r="AE297" s="111"/>
      <c r="AF297" s="111"/>
      <c r="AG297" s="111"/>
      <c r="AH297" s="111"/>
      <c r="AI297" s="111"/>
      <c r="AJ297" s="111"/>
      <c r="AK297" s="111"/>
      <c r="AL297" s="111"/>
      <c r="AM297" s="111"/>
      <c r="AN297" s="111"/>
      <c r="AO297" s="111"/>
    </row>
    <row r="298" spans="3:44" x14ac:dyDescent="0.25">
      <c r="C298" s="82"/>
      <c r="E298" s="96" t="s">
        <v>1130</v>
      </c>
      <c r="F298" s="98"/>
      <c r="J298" s="111"/>
      <c r="K298" s="111"/>
      <c r="L298" s="111"/>
      <c r="M298" s="111"/>
      <c r="N298" s="111"/>
      <c r="O298" s="111"/>
      <c r="P298" s="111"/>
      <c r="Q298" s="111"/>
      <c r="R298" s="111"/>
      <c r="S298" s="111"/>
      <c r="T298" s="111"/>
      <c r="U298" s="111"/>
      <c r="V298" s="111"/>
      <c r="W298" s="111"/>
      <c r="X298" s="111"/>
      <c r="Y298" s="111"/>
      <c r="Z298" s="111"/>
      <c r="AA298" s="111"/>
      <c r="AB298" s="111"/>
      <c r="AC298" s="111"/>
      <c r="AD298" s="111"/>
      <c r="AE298" s="111"/>
      <c r="AF298" s="111"/>
      <c r="AG298" s="111"/>
      <c r="AH298" s="111"/>
      <c r="AI298" s="111"/>
      <c r="AJ298" s="111"/>
      <c r="AK298" s="111"/>
      <c r="AL298" s="111"/>
      <c r="AM298" s="111"/>
      <c r="AN298" s="111"/>
      <c r="AO298" s="111"/>
    </row>
    <row r="299" spans="3:44" x14ac:dyDescent="0.25">
      <c r="C299" s="82"/>
      <c r="F299" s="505" t="s">
        <v>1180</v>
      </c>
      <c r="G299" s="293" t="s">
        <v>120</v>
      </c>
      <c r="J299" s="237">
        <f t="shared" ref="J299:AO299" si="77">SUM(J283:J285)</f>
        <v>0</v>
      </c>
      <c r="K299" s="237">
        <f t="shared" si="77"/>
        <v>0</v>
      </c>
      <c r="L299" s="237">
        <f t="shared" si="77"/>
        <v>0</v>
      </c>
      <c r="M299" s="237">
        <f t="shared" si="77"/>
        <v>0</v>
      </c>
      <c r="N299" s="237">
        <f t="shared" si="77"/>
        <v>0</v>
      </c>
      <c r="O299" s="237">
        <f t="shared" si="77"/>
        <v>0</v>
      </c>
      <c r="P299" s="237">
        <f t="shared" si="77"/>
        <v>0</v>
      </c>
      <c r="Q299" s="237">
        <f t="shared" si="77"/>
        <v>0</v>
      </c>
      <c r="R299" s="237">
        <f t="shared" si="77"/>
        <v>0</v>
      </c>
      <c r="S299" s="237">
        <f t="shared" si="77"/>
        <v>0</v>
      </c>
      <c r="T299" s="237">
        <f t="shared" si="77"/>
        <v>0</v>
      </c>
      <c r="U299" s="237">
        <f t="shared" si="77"/>
        <v>0</v>
      </c>
      <c r="V299" s="237">
        <f t="shared" si="77"/>
        <v>0</v>
      </c>
      <c r="W299" s="237">
        <f t="shared" si="77"/>
        <v>0</v>
      </c>
      <c r="X299" s="237">
        <f t="shared" si="77"/>
        <v>0</v>
      </c>
      <c r="Y299" s="237">
        <f t="shared" si="77"/>
        <v>0</v>
      </c>
      <c r="Z299" s="237">
        <f t="shared" si="77"/>
        <v>0</v>
      </c>
      <c r="AA299" s="237">
        <f t="shared" si="77"/>
        <v>0</v>
      </c>
      <c r="AB299" s="237">
        <f t="shared" si="77"/>
        <v>0</v>
      </c>
      <c r="AC299" s="237">
        <f t="shared" si="77"/>
        <v>0</v>
      </c>
      <c r="AD299" s="237">
        <f t="shared" si="77"/>
        <v>0</v>
      </c>
      <c r="AE299" s="237">
        <f t="shared" si="77"/>
        <v>0</v>
      </c>
      <c r="AF299" s="237">
        <f t="shared" si="77"/>
        <v>0</v>
      </c>
      <c r="AG299" s="237">
        <f t="shared" si="77"/>
        <v>0</v>
      </c>
      <c r="AH299" s="237">
        <f t="shared" si="77"/>
        <v>0</v>
      </c>
      <c r="AI299" s="237">
        <f t="shared" si="77"/>
        <v>0</v>
      </c>
      <c r="AJ299" s="237">
        <f t="shared" si="77"/>
        <v>0</v>
      </c>
      <c r="AK299" s="237">
        <f t="shared" si="77"/>
        <v>0</v>
      </c>
      <c r="AL299" s="237">
        <f t="shared" si="77"/>
        <v>0</v>
      </c>
      <c r="AM299" s="237">
        <f t="shared" si="77"/>
        <v>0</v>
      </c>
      <c r="AN299" s="237">
        <f t="shared" si="77"/>
        <v>0</v>
      </c>
      <c r="AO299" s="237">
        <f t="shared" si="77"/>
        <v>0</v>
      </c>
    </row>
    <row r="300" spans="3:44" x14ac:dyDescent="0.25">
      <c r="C300" s="82"/>
      <c r="F300" s="98"/>
      <c r="J300" s="111"/>
      <c r="K300" s="111"/>
      <c r="L300" s="111"/>
      <c r="M300" s="111"/>
      <c r="N300" s="111"/>
      <c r="O300" s="111"/>
      <c r="P300" s="111"/>
      <c r="Q300" s="111"/>
      <c r="R300" s="111"/>
      <c r="S300" s="111"/>
      <c r="T300" s="111"/>
      <c r="U300" s="111"/>
      <c r="V300" s="111"/>
      <c r="W300" s="111"/>
      <c r="X300" s="111"/>
      <c r="Y300" s="111"/>
      <c r="Z300" s="111"/>
      <c r="AA300" s="111"/>
      <c r="AB300" s="111"/>
      <c r="AC300" s="111"/>
      <c r="AD300" s="111"/>
      <c r="AE300" s="111"/>
      <c r="AF300" s="111"/>
      <c r="AG300" s="111"/>
      <c r="AH300" s="111"/>
      <c r="AI300" s="111"/>
      <c r="AJ300" s="111"/>
      <c r="AK300" s="111"/>
      <c r="AL300" s="111"/>
      <c r="AM300" s="111"/>
      <c r="AN300" s="111"/>
      <c r="AO300" s="111"/>
    </row>
    <row r="301" spans="3:44" x14ac:dyDescent="0.25">
      <c r="C301" s="82"/>
      <c r="F301" s="293" t="s">
        <v>1134</v>
      </c>
      <c r="G301" s="293" t="s">
        <v>120</v>
      </c>
      <c r="J301" s="237">
        <f t="shared" ref="J301:AO301" si="78">SUMIF($J150:$AO150,J150,$J299:$AOJ299)</f>
        <v>0</v>
      </c>
      <c r="K301" s="237">
        <f t="shared" si="78"/>
        <v>0</v>
      </c>
      <c r="L301" s="237">
        <f t="shared" si="78"/>
        <v>0</v>
      </c>
      <c r="M301" s="237">
        <f t="shared" si="78"/>
        <v>0</v>
      </c>
      <c r="N301" s="237">
        <f t="shared" si="78"/>
        <v>0</v>
      </c>
      <c r="O301" s="237">
        <f t="shared" si="78"/>
        <v>0</v>
      </c>
      <c r="P301" s="237">
        <f t="shared" si="78"/>
        <v>0</v>
      </c>
      <c r="Q301" s="237">
        <f t="shared" si="78"/>
        <v>0</v>
      </c>
      <c r="R301" s="237">
        <f t="shared" si="78"/>
        <v>0</v>
      </c>
      <c r="S301" s="237">
        <f t="shared" si="78"/>
        <v>0</v>
      </c>
      <c r="T301" s="237">
        <f t="shared" si="78"/>
        <v>0</v>
      </c>
      <c r="U301" s="237">
        <f t="shared" si="78"/>
        <v>0</v>
      </c>
      <c r="V301" s="237">
        <f t="shared" si="78"/>
        <v>0</v>
      </c>
      <c r="W301" s="237">
        <f t="shared" si="78"/>
        <v>0</v>
      </c>
      <c r="X301" s="237">
        <f t="shared" si="78"/>
        <v>0</v>
      </c>
      <c r="Y301" s="237">
        <f t="shared" si="78"/>
        <v>0</v>
      </c>
      <c r="Z301" s="237">
        <f t="shared" si="78"/>
        <v>0</v>
      </c>
      <c r="AA301" s="237">
        <f t="shared" si="78"/>
        <v>0</v>
      </c>
      <c r="AB301" s="237">
        <f t="shared" si="78"/>
        <v>0</v>
      </c>
      <c r="AC301" s="237">
        <f t="shared" si="78"/>
        <v>0</v>
      </c>
      <c r="AD301" s="237">
        <f t="shared" si="78"/>
        <v>0</v>
      </c>
      <c r="AE301" s="237">
        <f t="shared" si="78"/>
        <v>0</v>
      </c>
      <c r="AF301" s="237">
        <f t="shared" si="78"/>
        <v>0</v>
      </c>
      <c r="AG301" s="237">
        <f t="shared" si="78"/>
        <v>0</v>
      </c>
      <c r="AH301" s="237">
        <f t="shared" si="78"/>
        <v>0</v>
      </c>
      <c r="AI301" s="237">
        <f t="shared" si="78"/>
        <v>0</v>
      </c>
      <c r="AJ301" s="237">
        <f t="shared" si="78"/>
        <v>0</v>
      </c>
      <c r="AK301" s="237">
        <f t="shared" si="78"/>
        <v>0</v>
      </c>
      <c r="AL301" s="237">
        <f t="shared" si="78"/>
        <v>0</v>
      </c>
      <c r="AM301" s="237">
        <f t="shared" si="78"/>
        <v>0</v>
      </c>
      <c r="AN301" s="237">
        <f t="shared" si="78"/>
        <v>0</v>
      </c>
      <c r="AO301" s="237">
        <f t="shared" si="78"/>
        <v>0</v>
      </c>
    </row>
    <row r="302" spans="3:44" x14ac:dyDescent="0.25">
      <c r="C302" s="82"/>
      <c r="J302" s="111"/>
      <c r="K302" s="111"/>
      <c r="L302" s="111"/>
      <c r="M302" s="111"/>
      <c r="N302" s="111"/>
      <c r="O302" s="111"/>
      <c r="P302" s="111"/>
      <c r="Q302" s="111"/>
      <c r="R302" s="111"/>
      <c r="S302" s="111"/>
      <c r="T302" s="111"/>
      <c r="U302" s="111"/>
      <c r="V302" s="111"/>
      <c r="W302" s="111"/>
      <c r="X302" s="111"/>
      <c r="Y302" s="111"/>
      <c r="Z302" s="111"/>
      <c r="AA302" s="111"/>
      <c r="AB302" s="111"/>
      <c r="AC302" s="111"/>
      <c r="AD302" s="111"/>
      <c r="AE302" s="111"/>
      <c r="AF302" s="111"/>
      <c r="AG302" s="111"/>
      <c r="AH302" s="111"/>
      <c r="AI302" s="111"/>
      <c r="AJ302" s="111"/>
      <c r="AK302" s="111"/>
      <c r="AL302" s="111"/>
      <c r="AM302" s="111"/>
      <c r="AN302" s="111"/>
      <c r="AO302" s="111"/>
    </row>
    <row r="303" spans="3:44" x14ac:dyDescent="0.25">
      <c r="C303" s="82"/>
      <c r="F303" s="293" t="s">
        <v>1135</v>
      </c>
      <c r="G303" s="293" t="s">
        <v>120</v>
      </c>
      <c r="J303" s="237">
        <f t="shared" ref="J303:AO303" si="79" xml:space="preserve"> J301 * J158</f>
        <v>0</v>
      </c>
      <c r="K303" s="237">
        <f t="shared" si="79"/>
        <v>0</v>
      </c>
      <c r="L303" s="237">
        <f t="shared" si="79"/>
        <v>0</v>
      </c>
      <c r="M303" s="237">
        <f t="shared" si="79"/>
        <v>0</v>
      </c>
      <c r="N303" s="237">
        <f t="shared" si="79"/>
        <v>0</v>
      </c>
      <c r="O303" s="237">
        <f t="shared" si="79"/>
        <v>0</v>
      </c>
      <c r="P303" s="237">
        <f t="shared" si="79"/>
        <v>0</v>
      </c>
      <c r="Q303" s="237">
        <f t="shared" si="79"/>
        <v>0</v>
      </c>
      <c r="R303" s="237">
        <f t="shared" si="79"/>
        <v>0</v>
      </c>
      <c r="S303" s="237">
        <f t="shared" si="79"/>
        <v>0</v>
      </c>
      <c r="T303" s="237">
        <f t="shared" si="79"/>
        <v>0</v>
      </c>
      <c r="U303" s="237">
        <f t="shared" si="79"/>
        <v>0</v>
      </c>
      <c r="V303" s="237">
        <f t="shared" si="79"/>
        <v>0</v>
      </c>
      <c r="W303" s="237">
        <f t="shared" si="79"/>
        <v>0</v>
      </c>
      <c r="X303" s="237">
        <f t="shared" si="79"/>
        <v>0</v>
      </c>
      <c r="Y303" s="237">
        <f t="shared" si="79"/>
        <v>0</v>
      </c>
      <c r="Z303" s="237">
        <f t="shared" si="79"/>
        <v>0</v>
      </c>
      <c r="AA303" s="237">
        <f t="shared" si="79"/>
        <v>0</v>
      </c>
      <c r="AB303" s="237">
        <f t="shared" si="79"/>
        <v>0</v>
      </c>
      <c r="AC303" s="237">
        <f t="shared" si="79"/>
        <v>0</v>
      </c>
      <c r="AD303" s="237">
        <f t="shared" si="79"/>
        <v>0</v>
      </c>
      <c r="AE303" s="237">
        <f t="shared" si="79"/>
        <v>0</v>
      </c>
      <c r="AF303" s="237">
        <f t="shared" si="79"/>
        <v>0</v>
      </c>
      <c r="AG303" s="237">
        <f t="shared" si="79"/>
        <v>0</v>
      </c>
      <c r="AH303" s="237">
        <f t="shared" si="79"/>
        <v>0</v>
      </c>
      <c r="AI303" s="237">
        <f t="shared" si="79"/>
        <v>0</v>
      </c>
      <c r="AJ303" s="237">
        <f t="shared" si="79"/>
        <v>0</v>
      </c>
      <c r="AK303" s="237">
        <f t="shared" si="79"/>
        <v>0</v>
      </c>
      <c r="AL303" s="237">
        <f t="shared" si="79"/>
        <v>0</v>
      </c>
      <c r="AM303" s="237">
        <f t="shared" si="79"/>
        <v>0</v>
      </c>
      <c r="AN303" s="237">
        <f t="shared" si="79"/>
        <v>0</v>
      </c>
      <c r="AO303" s="237">
        <f t="shared" si="79"/>
        <v>0</v>
      </c>
      <c r="AP303" s="111"/>
      <c r="AQ303" s="111"/>
      <c r="AR303" s="111"/>
    </row>
    <row r="304" spans="3:44" x14ac:dyDescent="0.25">
      <c r="C304" s="82"/>
      <c r="J304" s="111"/>
      <c r="K304" s="111"/>
      <c r="L304" s="111"/>
      <c r="M304" s="111"/>
      <c r="N304" s="111"/>
      <c r="O304" s="111"/>
      <c r="P304" s="111"/>
      <c r="Q304" s="111"/>
      <c r="R304" s="111"/>
      <c r="S304" s="111"/>
      <c r="T304" s="111"/>
      <c r="U304" s="111"/>
      <c r="V304" s="111"/>
      <c r="W304" s="111"/>
      <c r="X304" s="111"/>
      <c r="Y304" s="111"/>
      <c r="Z304" s="111"/>
      <c r="AA304" s="111"/>
      <c r="AB304" s="111"/>
      <c r="AC304" s="111"/>
      <c r="AD304" s="111"/>
      <c r="AE304" s="111"/>
      <c r="AF304" s="111"/>
      <c r="AG304" s="111"/>
      <c r="AH304" s="111"/>
      <c r="AI304" s="111"/>
      <c r="AJ304" s="111"/>
      <c r="AK304" s="111"/>
      <c r="AL304" s="111"/>
      <c r="AM304" s="111"/>
      <c r="AN304" s="111"/>
      <c r="AO304" s="111"/>
    </row>
    <row r="305" spans="3:43" x14ac:dyDescent="0.25">
      <c r="C305" s="82"/>
      <c r="E305" s="14" t="s">
        <v>1181</v>
      </c>
      <c r="G305" s="293" t="s">
        <v>183</v>
      </c>
      <c r="J305" s="441">
        <f t="shared" ref="J305:AO305" si="80">IF( J299&lt;&gt;0, J296/J303, 0)*hundred/thousand</f>
        <v>0</v>
      </c>
      <c r="K305" s="441">
        <f t="shared" si="80"/>
        <v>0</v>
      </c>
      <c r="L305" s="441">
        <f t="shared" si="80"/>
        <v>0</v>
      </c>
      <c r="M305" s="441">
        <f t="shared" si="80"/>
        <v>0</v>
      </c>
      <c r="N305" s="441">
        <f t="shared" si="80"/>
        <v>0</v>
      </c>
      <c r="O305" s="441">
        <f t="shared" si="80"/>
        <v>0</v>
      </c>
      <c r="P305" s="441">
        <f t="shared" si="80"/>
        <v>0</v>
      </c>
      <c r="Q305" s="441">
        <f t="shared" si="80"/>
        <v>0</v>
      </c>
      <c r="R305" s="441">
        <f t="shared" si="80"/>
        <v>0</v>
      </c>
      <c r="S305" s="441">
        <f t="shared" si="80"/>
        <v>0</v>
      </c>
      <c r="T305" s="441">
        <f t="shared" si="80"/>
        <v>0</v>
      </c>
      <c r="U305" s="441">
        <f t="shared" si="80"/>
        <v>0</v>
      </c>
      <c r="V305" s="441">
        <f t="shared" si="80"/>
        <v>0</v>
      </c>
      <c r="W305" s="441">
        <f t="shared" si="80"/>
        <v>0</v>
      </c>
      <c r="X305" s="441">
        <f t="shared" si="80"/>
        <v>0</v>
      </c>
      <c r="Y305" s="441">
        <f t="shared" si="80"/>
        <v>0</v>
      </c>
      <c r="Z305" s="441">
        <f t="shared" si="80"/>
        <v>0</v>
      </c>
      <c r="AA305" s="441">
        <f t="shared" si="80"/>
        <v>0</v>
      </c>
      <c r="AB305" s="441">
        <f t="shared" si="80"/>
        <v>0</v>
      </c>
      <c r="AC305" s="441">
        <f t="shared" si="80"/>
        <v>0</v>
      </c>
      <c r="AD305" s="441">
        <f t="shared" si="80"/>
        <v>0</v>
      </c>
      <c r="AE305" s="441">
        <f t="shared" si="80"/>
        <v>0</v>
      </c>
      <c r="AF305" s="441">
        <f t="shared" si="80"/>
        <v>0</v>
      </c>
      <c r="AG305" s="441">
        <f t="shared" si="80"/>
        <v>0</v>
      </c>
      <c r="AH305" s="441">
        <f t="shared" si="80"/>
        <v>0</v>
      </c>
      <c r="AI305" s="441">
        <f t="shared" si="80"/>
        <v>0</v>
      </c>
      <c r="AJ305" s="441">
        <f t="shared" si="80"/>
        <v>0</v>
      </c>
      <c r="AK305" s="441">
        <f t="shared" si="80"/>
        <v>0</v>
      </c>
      <c r="AL305" s="441">
        <f t="shared" si="80"/>
        <v>0</v>
      </c>
      <c r="AM305" s="441">
        <f t="shared" si="80"/>
        <v>0</v>
      </c>
      <c r="AN305" s="441">
        <f t="shared" si="80"/>
        <v>0</v>
      </c>
      <c r="AO305" s="441">
        <f t="shared" si="80"/>
        <v>0</v>
      </c>
    </row>
    <row r="306" spans="3:43" x14ac:dyDescent="0.25">
      <c r="C306" s="82"/>
      <c r="J306" s="111"/>
      <c r="K306" s="111"/>
      <c r="L306" s="111"/>
      <c r="M306" s="111"/>
      <c r="N306" s="111"/>
      <c r="O306" s="111"/>
      <c r="P306" s="111"/>
      <c r="Q306" s="111"/>
      <c r="R306" s="111"/>
      <c r="S306" s="111"/>
      <c r="T306" s="111"/>
      <c r="U306" s="111"/>
      <c r="V306" s="111"/>
      <c r="W306" s="111"/>
      <c r="X306" s="111"/>
      <c r="Y306" s="111"/>
      <c r="Z306" s="111"/>
      <c r="AA306" s="111"/>
      <c r="AB306" s="111"/>
      <c r="AC306" s="111"/>
      <c r="AD306" s="111"/>
      <c r="AE306" s="111"/>
      <c r="AF306" s="111"/>
      <c r="AG306" s="111"/>
      <c r="AH306" s="111"/>
      <c r="AI306" s="111"/>
      <c r="AJ306" s="111"/>
      <c r="AK306" s="111"/>
      <c r="AL306" s="111"/>
      <c r="AM306" s="111"/>
      <c r="AN306" s="111"/>
      <c r="AO306" s="111"/>
    </row>
    <row r="307" spans="3:43" x14ac:dyDescent="0.25">
      <c r="C307" s="82"/>
      <c r="E307" s="96" t="s">
        <v>1182</v>
      </c>
      <c r="J307" s="111"/>
      <c r="K307" s="111"/>
      <c r="L307" s="111"/>
      <c r="M307" s="111"/>
      <c r="N307" s="111"/>
      <c r="O307" s="111"/>
      <c r="P307" s="111"/>
      <c r="Q307" s="111"/>
      <c r="R307" s="111"/>
      <c r="S307" s="111"/>
      <c r="T307" s="111"/>
      <c r="U307" s="111"/>
      <c r="V307" s="111"/>
      <c r="W307" s="111"/>
      <c r="X307" s="111"/>
      <c r="Y307" s="111"/>
      <c r="Z307" s="111"/>
      <c r="AA307" s="111"/>
      <c r="AB307" s="111"/>
      <c r="AC307" s="111"/>
      <c r="AD307" s="111"/>
      <c r="AE307" s="111"/>
      <c r="AF307" s="111"/>
      <c r="AG307" s="111"/>
      <c r="AH307" s="111"/>
      <c r="AI307" s="111"/>
      <c r="AJ307" s="111"/>
      <c r="AK307" s="111"/>
      <c r="AL307" s="111"/>
      <c r="AM307" s="111"/>
      <c r="AN307" s="111"/>
      <c r="AO307" s="111"/>
    </row>
    <row r="308" spans="3:43" x14ac:dyDescent="0.25">
      <c r="C308" s="82"/>
      <c r="F308" s="91" t="s">
        <v>1162</v>
      </c>
      <c r="G308" s="91" t="s">
        <v>1024</v>
      </c>
      <c r="H308" s="91"/>
      <c r="I308" s="91"/>
      <c r="J308" s="112" t="b">
        <f t="shared" ref="J308:AO308" si="81">IF(J$32, - J263+J$305&gt;=0, TRUE)</f>
        <v>1</v>
      </c>
      <c r="K308" s="112" t="b">
        <f t="shared" si="81"/>
        <v>1</v>
      </c>
      <c r="L308" s="112" t="b">
        <f t="shared" si="81"/>
        <v>1</v>
      </c>
      <c r="M308" s="112" t="b">
        <f t="shared" si="81"/>
        <v>1</v>
      </c>
      <c r="N308" s="112" t="b">
        <f t="shared" si="81"/>
        <v>1</v>
      </c>
      <c r="O308" s="112" t="b">
        <f t="shared" si="81"/>
        <v>1</v>
      </c>
      <c r="P308" s="112" t="b">
        <f t="shared" si="81"/>
        <v>1</v>
      </c>
      <c r="Q308" s="112" t="b">
        <f t="shared" si="81"/>
        <v>1</v>
      </c>
      <c r="R308" s="112" t="b">
        <f t="shared" si="81"/>
        <v>1</v>
      </c>
      <c r="S308" s="112" t="b">
        <f t="shared" si="81"/>
        <v>1</v>
      </c>
      <c r="T308" s="112" t="b">
        <f t="shared" si="81"/>
        <v>1</v>
      </c>
      <c r="U308" s="112" t="b">
        <f t="shared" si="81"/>
        <v>1</v>
      </c>
      <c r="V308" s="112" t="b">
        <f t="shared" si="81"/>
        <v>1</v>
      </c>
      <c r="W308" s="112" t="b">
        <f t="shared" si="81"/>
        <v>1</v>
      </c>
      <c r="X308" s="112" t="b">
        <f t="shared" si="81"/>
        <v>1</v>
      </c>
      <c r="Y308" s="112" t="b">
        <f t="shared" si="81"/>
        <v>1</v>
      </c>
      <c r="Z308" s="112" t="b">
        <f t="shared" si="81"/>
        <v>1</v>
      </c>
      <c r="AA308" s="112" t="b">
        <f t="shared" si="81"/>
        <v>1</v>
      </c>
      <c r="AB308" s="112" t="b">
        <f t="shared" si="81"/>
        <v>1</v>
      </c>
      <c r="AC308" s="112" t="b">
        <f t="shared" si="81"/>
        <v>1</v>
      </c>
      <c r="AD308" s="112" t="b">
        <f t="shared" si="81"/>
        <v>1</v>
      </c>
      <c r="AE308" s="112" t="b">
        <f t="shared" si="81"/>
        <v>1</v>
      </c>
      <c r="AF308" s="112" t="b">
        <f t="shared" si="81"/>
        <v>1</v>
      </c>
      <c r="AG308" s="112" t="b">
        <f t="shared" si="81"/>
        <v>1</v>
      </c>
      <c r="AH308" s="112" t="b">
        <f t="shared" si="81"/>
        <v>1</v>
      </c>
      <c r="AI308" s="112" t="b">
        <f t="shared" si="81"/>
        <v>1</v>
      </c>
      <c r="AJ308" s="112" t="b">
        <f t="shared" si="81"/>
        <v>1</v>
      </c>
      <c r="AK308" s="112" t="b">
        <f t="shared" si="81"/>
        <v>1</v>
      </c>
      <c r="AL308" s="112" t="b">
        <f t="shared" si="81"/>
        <v>1</v>
      </c>
      <c r="AM308" s="112" t="b">
        <f t="shared" si="81"/>
        <v>1</v>
      </c>
      <c r="AN308" s="112" t="b">
        <f t="shared" si="81"/>
        <v>1</v>
      </c>
      <c r="AO308" s="112" t="b">
        <f t="shared" si="81"/>
        <v>1</v>
      </c>
    </row>
    <row r="309" spans="3:43" x14ac:dyDescent="0.25">
      <c r="C309" s="82"/>
      <c r="F309" s="293" t="s">
        <v>1163</v>
      </c>
      <c r="G309" s="293" t="s">
        <v>1024</v>
      </c>
      <c r="J309" s="111" t="b">
        <f t="shared" ref="J309:AO309" si="82">IF(J$32, - J264+J$305&gt;=0, TRUE)</f>
        <v>1</v>
      </c>
      <c r="K309" s="111" t="b">
        <f t="shared" si="82"/>
        <v>1</v>
      </c>
      <c r="L309" s="111" t="b">
        <f t="shared" si="82"/>
        <v>1</v>
      </c>
      <c r="M309" s="111" t="b">
        <f t="shared" si="82"/>
        <v>1</v>
      </c>
      <c r="N309" s="111" t="b">
        <f t="shared" si="82"/>
        <v>1</v>
      </c>
      <c r="O309" s="111" t="b">
        <f t="shared" si="82"/>
        <v>1</v>
      </c>
      <c r="P309" s="111" t="b">
        <f t="shared" si="82"/>
        <v>1</v>
      </c>
      <c r="Q309" s="111" t="b">
        <f t="shared" si="82"/>
        <v>1</v>
      </c>
      <c r="R309" s="111" t="b">
        <f t="shared" si="82"/>
        <v>1</v>
      </c>
      <c r="S309" s="111" t="b">
        <f t="shared" si="82"/>
        <v>1</v>
      </c>
      <c r="T309" s="111" t="b">
        <f t="shared" si="82"/>
        <v>1</v>
      </c>
      <c r="U309" s="111" t="b">
        <f t="shared" si="82"/>
        <v>1</v>
      </c>
      <c r="V309" s="111" t="b">
        <f t="shared" si="82"/>
        <v>1</v>
      </c>
      <c r="W309" s="111" t="b">
        <f t="shared" si="82"/>
        <v>1</v>
      </c>
      <c r="X309" s="111" t="b">
        <f t="shared" si="82"/>
        <v>1</v>
      </c>
      <c r="Y309" s="111" t="b">
        <f t="shared" si="82"/>
        <v>1</v>
      </c>
      <c r="Z309" s="111" t="b">
        <f t="shared" si="82"/>
        <v>1</v>
      </c>
      <c r="AA309" s="111" t="b">
        <f t="shared" si="82"/>
        <v>1</v>
      </c>
      <c r="AB309" s="111" t="b">
        <f t="shared" si="82"/>
        <v>1</v>
      </c>
      <c r="AC309" s="111" t="b">
        <f t="shared" si="82"/>
        <v>1</v>
      </c>
      <c r="AD309" s="111" t="b">
        <f t="shared" si="82"/>
        <v>1</v>
      </c>
      <c r="AE309" s="111" t="b">
        <f t="shared" si="82"/>
        <v>1</v>
      </c>
      <c r="AF309" s="111" t="b">
        <f t="shared" si="82"/>
        <v>1</v>
      </c>
      <c r="AG309" s="111" t="b">
        <f t="shared" si="82"/>
        <v>1</v>
      </c>
      <c r="AH309" s="111" t="b">
        <f t="shared" si="82"/>
        <v>1</v>
      </c>
      <c r="AI309" s="111" t="b">
        <f t="shared" si="82"/>
        <v>1</v>
      </c>
      <c r="AJ309" s="111" t="b">
        <f t="shared" si="82"/>
        <v>1</v>
      </c>
      <c r="AK309" s="111" t="b">
        <f t="shared" si="82"/>
        <v>1</v>
      </c>
      <c r="AL309" s="111" t="b">
        <f t="shared" si="82"/>
        <v>1</v>
      </c>
      <c r="AM309" s="111" t="b">
        <f t="shared" si="82"/>
        <v>1</v>
      </c>
      <c r="AN309" s="111" t="b">
        <f t="shared" si="82"/>
        <v>1</v>
      </c>
      <c r="AO309" s="111" t="b">
        <f t="shared" si="82"/>
        <v>1</v>
      </c>
    </row>
    <row r="310" spans="3:43" x14ac:dyDescent="0.25">
      <c r="C310" s="82"/>
      <c r="F310" s="93" t="s">
        <v>1164</v>
      </c>
      <c r="G310" s="93" t="s">
        <v>1024</v>
      </c>
      <c r="H310" s="93"/>
      <c r="I310" s="93"/>
      <c r="J310" s="145" t="b">
        <f t="shared" ref="J310:AO310" si="83">IF(J$32, - J265+J$305&gt;=0, TRUE)</f>
        <v>1</v>
      </c>
      <c r="K310" s="145" t="b">
        <f t="shared" si="83"/>
        <v>1</v>
      </c>
      <c r="L310" s="145" t="b">
        <f t="shared" si="83"/>
        <v>1</v>
      </c>
      <c r="M310" s="145" t="b">
        <f t="shared" si="83"/>
        <v>1</v>
      </c>
      <c r="N310" s="145" t="b">
        <f t="shared" si="83"/>
        <v>1</v>
      </c>
      <c r="O310" s="145" t="b">
        <f t="shared" si="83"/>
        <v>1</v>
      </c>
      <c r="P310" s="145" t="b">
        <f t="shared" si="83"/>
        <v>1</v>
      </c>
      <c r="Q310" s="145" t="b">
        <f t="shared" si="83"/>
        <v>1</v>
      </c>
      <c r="R310" s="145" t="b">
        <f t="shared" si="83"/>
        <v>1</v>
      </c>
      <c r="S310" s="145" t="b">
        <f t="shared" si="83"/>
        <v>1</v>
      </c>
      <c r="T310" s="145" t="b">
        <f t="shared" si="83"/>
        <v>1</v>
      </c>
      <c r="U310" s="145" t="b">
        <f t="shared" si="83"/>
        <v>1</v>
      </c>
      <c r="V310" s="145" t="b">
        <f t="shared" si="83"/>
        <v>1</v>
      </c>
      <c r="W310" s="145" t="b">
        <f t="shared" si="83"/>
        <v>1</v>
      </c>
      <c r="X310" s="145" t="b">
        <f t="shared" si="83"/>
        <v>1</v>
      </c>
      <c r="Y310" s="145" t="b">
        <f t="shared" si="83"/>
        <v>1</v>
      </c>
      <c r="Z310" s="145" t="b">
        <f t="shared" si="83"/>
        <v>1</v>
      </c>
      <c r="AA310" s="145" t="b">
        <f t="shared" si="83"/>
        <v>1</v>
      </c>
      <c r="AB310" s="145" t="b">
        <f t="shared" si="83"/>
        <v>1</v>
      </c>
      <c r="AC310" s="145" t="b">
        <f t="shared" si="83"/>
        <v>1</v>
      </c>
      <c r="AD310" s="145" t="b">
        <f t="shared" si="83"/>
        <v>1</v>
      </c>
      <c r="AE310" s="145" t="b">
        <f t="shared" si="83"/>
        <v>1</v>
      </c>
      <c r="AF310" s="145" t="b">
        <f t="shared" si="83"/>
        <v>1</v>
      </c>
      <c r="AG310" s="145" t="b">
        <f t="shared" si="83"/>
        <v>1</v>
      </c>
      <c r="AH310" s="145" t="b">
        <f t="shared" si="83"/>
        <v>1</v>
      </c>
      <c r="AI310" s="145" t="b">
        <f t="shared" si="83"/>
        <v>1</v>
      </c>
      <c r="AJ310" s="145" t="b">
        <f t="shared" si="83"/>
        <v>1</v>
      </c>
      <c r="AK310" s="145" t="b">
        <f t="shared" si="83"/>
        <v>1</v>
      </c>
      <c r="AL310" s="145" t="b">
        <f t="shared" si="83"/>
        <v>1</v>
      </c>
      <c r="AM310" s="145" t="b">
        <f t="shared" si="83"/>
        <v>1</v>
      </c>
      <c r="AN310" s="145" t="b">
        <f t="shared" si="83"/>
        <v>1</v>
      </c>
      <c r="AO310" s="145" t="b">
        <f t="shared" si="83"/>
        <v>1</v>
      </c>
    </row>
    <row r="311" spans="3:43" x14ac:dyDescent="0.25">
      <c r="C311" s="82"/>
      <c r="J311" s="111"/>
      <c r="K311" s="111"/>
      <c r="L311" s="111"/>
      <c r="M311" s="111"/>
      <c r="N311" s="111"/>
      <c r="O311" s="111"/>
      <c r="P311" s="111"/>
      <c r="Q311" s="111"/>
      <c r="R311" s="111"/>
      <c r="S311" s="111"/>
      <c r="T311" s="111"/>
      <c r="U311" s="111"/>
      <c r="V311" s="111"/>
      <c r="W311" s="111"/>
      <c r="X311" s="111"/>
      <c r="Y311" s="111"/>
      <c r="Z311" s="111"/>
      <c r="AA311" s="111"/>
      <c r="AB311" s="111"/>
      <c r="AC311" s="111"/>
      <c r="AD311" s="111"/>
      <c r="AE311" s="111"/>
      <c r="AF311" s="111"/>
      <c r="AG311" s="111"/>
      <c r="AH311" s="111"/>
      <c r="AI311" s="111"/>
      <c r="AJ311" s="111"/>
      <c r="AK311" s="111"/>
      <c r="AL311" s="111"/>
      <c r="AM311" s="111"/>
      <c r="AN311" s="111"/>
      <c r="AO311" s="111"/>
    </row>
    <row r="312" spans="3:43" x14ac:dyDescent="0.25">
      <c r="C312" s="82"/>
      <c r="E312" s="293" t="s">
        <v>1183</v>
      </c>
      <c r="G312" s="293" t="s">
        <v>1024</v>
      </c>
      <c r="J312" s="111" t="b">
        <f>COUNTIF(J308:J310,TRUE)=3</f>
        <v>1</v>
      </c>
      <c r="K312" s="111" t="b">
        <f t="shared" ref="K312:AO312" si="84">COUNTIF(K308:K310,TRUE)=3</f>
        <v>1</v>
      </c>
      <c r="L312" s="111" t="b">
        <f t="shared" si="84"/>
        <v>1</v>
      </c>
      <c r="M312" s="111" t="b">
        <f t="shared" si="84"/>
        <v>1</v>
      </c>
      <c r="N312" s="111" t="b">
        <f t="shared" si="84"/>
        <v>1</v>
      </c>
      <c r="O312" s="111" t="b">
        <f t="shared" si="84"/>
        <v>1</v>
      </c>
      <c r="P312" s="111" t="b">
        <f t="shared" si="84"/>
        <v>1</v>
      </c>
      <c r="Q312" s="111" t="b">
        <f t="shared" si="84"/>
        <v>1</v>
      </c>
      <c r="R312" s="111" t="b">
        <f t="shared" si="84"/>
        <v>1</v>
      </c>
      <c r="S312" s="111" t="b">
        <f t="shared" si="84"/>
        <v>1</v>
      </c>
      <c r="T312" s="111" t="b">
        <f t="shared" si="84"/>
        <v>1</v>
      </c>
      <c r="U312" s="111" t="b">
        <f t="shared" si="84"/>
        <v>1</v>
      </c>
      <c r="V312" s="111" t="b">
        <f t="shared" si="84"/>
        <v>1</v>
      </c>
      <c r="W312" s="111" t="b">
        <f t="shared" si="84"/>
        <v>1</v>
      </c>
      <c r="X312" s="111" t="b">
        <f t="shared" si="84"/>
        <v>1</v>
      </c>
      <c r="Y312" s="111" t="b">
        <f t="shared" si="84"/>
        <v>1</v>
      </c>
      <c r="Z312" s="111" t="b">
        <f t="shared" si="84"/>
        <v>1</v>
      </c>
      <c r="AA312" s="111" t="b">
        <f t="shared" si="84"/>
        <v>1</v>
      </c>
      <c r="AB312" s="111" t="b">
        <f t="shared" si="84"/>
        <v>1</v>
      </c>
      <c r="AC312" s="111" t="b">
        <f t="shared" si="84"/>
        <v>1</v>
      </c>
      <c r="AD312" s="111" t="b">
        <f t="shared" si="84"/>
        <v>1</v>
      </c>
      <c r="AE312" s="111" t="b">
        <f t="shared" si="84"/>
        <v>1</v>
      </c>
      <c r="AF312" s="111" t="b">
        <f t="shared" si="84"/>
        <v>1</v>
      </c>
      <c r="AG312" s="111" t="b">
        <f t="shared" si="84"/>
        <v>1</v>
      </c>
      <c r="AH312" s="111" t="b">
        <f t="shared" si="84"/>
        <v>1</v>
      </c>
      <c r="AI312" s="111" t="b">
        <f t="shared" si="84"/>
        <v>1</v>
      </c>
      <c r="AJ312" s="111" t="b">
        <f t="shared" si="84"/>
        <v>1</v>
      </c>
      <c r="AK312" s="111" t="b">
        <f t="shared" si="84"/>
        <v>1</v>
      </c>
      <c r="AL312" s="111" t="b">
        <f t="shared" si="84"/>
        <v>1</v>
      </c>
      <c r="AM312" s="111" t="b">
        <f t="shared" si="84"/>
        <v>1</v>
      </c>
      <c r="AN312" s="111" t="b">
        <f t="shared" si="84"/>
        <v>1</v>
      </c>
      <c r="AO312" s="111" t="b">
        <f t="shared" si="84"/>
        <v>1</v>
      </c>
    </row>
    <row r="313" spans="3:43" x14ac:dyDescent="0.25">
      <c r="C313" s="82"/>
      <c r="J313" s="111"/>
      <c r="K313" s="111"/>
      <c r="L313" s="111"/>
      <c r="M313" s="111"/>
      <c r="N313" s="111"/>
      <c r="O313" s="111"/>
      <c r="P313" s="111"/>
      <c r="Q313" s="111"/>
      <c r="R313" s="111"/>
      <c r="S313" s="111"/>
      <c r="T313" s="111"/>
      <c r="U313" s="111"/>
      <c r="V313" s="111"/>
      <c r="W313" s="111"/>
      <c r="X313" s="111"/>
      <c r="Y313" s="111"/>
      <c r="Z313" s="111"/>
      <c r="AA313" s="111"/>
      <c r="AB313" s="111"/>
      <c r="AC313" s="111"/>
      <c r="AD313" s="111"/>
      <c r="AE313" s="111"/>
      <c r="AF313" s="111"/>
      <c r="AG313" s="111"/>
      <c r="AH313" s="111"/>
      <c r="AI313" s="111"/>
      <c r="AJ313" s="111"/>
      <c r="AK313" s="111"/>
      <c r="AL313" s="111"/>
      <c r="AM313" s="111"/>
      <c r="AN313" s="111"/>
      <c r="AO313" s="111"/>
    </row>
    <row r="314" spans="3:43" x14ac:dyDescent="0.25">
      <c r="C314" s="7" t="str">
        <f ca="1">INDEX('Version control'!$H$35:$H$61,MATCH($A$1,'Version control'!$F$35:$F$61,0),1)&amp;"-L: Revenue matching for two timebands"</f>
        <v>Section 519-L: Revenue matching for two timebands</v>
      </c>
      <c r="D314" s="7"/>
      <c r="E314" s="7"/>
      <c r="F314" s="7"/>
      <c r="G314" s="7"/>
      <c r="H314" s="7"/>
      <c r="I314" s="7"/>
      <c r="J314" s="171"/>
      <c r="K314" s="171"/>
      <c r="L314" s="171"/>
      <c r="M314" s="171"/>
      <c r="N314" s="171"/>
      <c r="O314" s="171"/>
      <c r="P314" s="171"/>
      <c r="Q314" s="171"/>
      <c r="R314" s="171"/>
      <c r="S314" s="171"/>
      <c r="T314" s="171"/>
      <c r="U314" s="171"/>
      <c r="V314" s="171"/>
      <c r="W314" s="171"/>
      <c r="X314" s="171"/>
      <c r="Y314" s="171"/>
      <c r="Z314" s="171"/>
      <c r="AA314" s="171"/>
      <c r="AB314" s="171"/>
      <c r="AC314" s="171"/>
      <c r="AD314" s="171"/>
      <c r="AE314" s="171"/>
      <c r="AF314" s="171"/>
      <c r="AG314" s="171"/>
      <c r="AH314" s="171"/>
      <c r="AI314" s="171"/>
      <c r="AJ314" s="171"/>
      <c r="AK314" s="171"/>
      <c r="AL314" s="171"/>
      <c r="AM314" s="171"/>
      <c r="AN314" s="171"/>
      <c r="AO314" s="171"/>
      <c r="AP314" s="7"/>
      <c r="AQ314" s="7"/>
    </row>
    <row r="315" spans="3:43" x14ac:dyDescent="0.25">
      <c r="C315" s="82"/>
      <c r="E315" s="96"/>
      <c r="J315" s="111"/>
      <c r="K315" s="111"/>
      <c r="L315" s="111"/>
      <c r="M315" s="111"/>
      <c r="N315" s="111"/>
      <c r="O315" s="111"/>
      <c r="P315" s="111"/>
      <c r="Q315" s="111"/>
      <c r="R315" s="111"/>
      <c r="S315" s="111"/>
      <c r="T315" s="111"/>
      <c r="U315" s="111"/>
      <c r="V315" s="111"/>
      <c r="W315" s="111"/>
      <c r="X315" s="111"/>
      <c r="Y315" s="111"/>
      <c r="Z315" s="111"/>
      <c r="AA315" s="111"/>
      <c r="AB315" s="111"/>
      <c r="AC315" s="111"/>
      <c r="AD315" s="111"/>
      <c r="AE315" s="111"/>
      <c r="AF315" s="111"/>
      <c r="AG315" s="111"/>
      <c r="AH315" s="111"/>
      <c r="AI315" s="111"/>
      <c r="AJ315" s="111"/>
      <c r="AK315" s="111"/>
      <c r="AL315" s="111"/>
      <c r="AM315" s="111"/>
      <c r="AN315" s="111"/>
      <c r="AO315" s="111"/>
    </row>
    <row r="316" spans="3:43" x14ac:dyDescent="0.25">
      <c r="C316" s="82"/>
      <c r="D316" s="82" t="s">
        <v>1241</v>
      </c>
      <c r="E316" s="96"/>
      <c r="I316" s="293" t="s">
        <v>359</v>
      </c>
      <c r="J316" s="111"/>
      <c r="K316" s="111"/>
      <c r="L316" s="111"/>
      <c r="M316" s="111"/>
      <c r="N316" s="111"/>
      <c r="O316" s="111"/>
      <c r="P316" s="111"/>
      <c r="Q316" s="111"/>
      <c r="R316" s="111"/>
      <c r="S316" s="111"/>
      <c r="T316" s="111"/>
      <c r="U316" s="111"/>
      <c r="V316" s="111"/>
      <c r="W316" s="111"/>
      <c r="X316" s="111"/>
      <c r="Y316" s="111"/>
      <c r="Z316" s="111"/>
      <c r="AA316" s="111"/>
      <c r="AB316" s="111"/>
      <c r="AC316" s="111"/>
      <c r="AD316" s="111"/>
      <c r="AE316" s="111"/>
      <c r="AF316" s="111"/>
      <c r="AG316" s="111"/>
      <c r="AH316" s="111"/>
      <c r="AI316" s="111"/>
      <c r="AJ316" s="111"/>
      <c r="AK316" s="111"/>
      <c r="AL316" s="111"/>
      <c r="AM316" s="111"/>
      <c r="AN316" s="111"/>
      <c r="AO316" s="111"/>
      <c r="AQ316" s="293" t="s">
        <v>744</v>
      </c>
    </row>
    <row r="317" spans="3:43" x14ac:dyDescent="0.25">
      <c r="C317" s="82"/>
      <c r="D317" s="82" t="s">
        <v>1184</v>
      </c>
      <c r="E317" s="96"/>
      <c r="J317" s="111"/>
      <c r="K317" s="111"/>
      <c r="L317" s="111"/>
      <c r="M317" s="111"/>
      <c r="N317" s="111"/>
      <c r="O317" s="111"/>
      <c r="P317" s="111"/>
      <c r="Q317" s="111"/>
      <c r="R317" s="111"/>
      <c r="S317" s="111"/>
      <c r="T317" s="111"/>
      <c r="U317" s="111"/>
      <c r="V317" s="111"/>
      <c r="W317" s="111"/>
      <c r="X317" s="111"/>
      <c r="Y317" s="111"/>
      <c r="Z317" s="111"/>
      <c r="AA317" s="111"/>
      <c r="AB317" s="111"/>
      <c r="AC317" s="111"/>
      <c r="AD317" s="111"/>
      <c r="AE317" s="111"/>
      <c r="AF317" s="111"/>
      <c r="AG317" s="111"/>
      <c r="AH317" s="111"/>
      <c r="AI317" s="111"/>
      <c r="AJ317" s="111"/>
      <c r="AK317" s="111"/>
      <c r="AL317" s="111"/>
      <c r="AM317" s="111"/>
      <c r="AN317" s="111"/>
      <c r="AO317" s="111"/>
    </row>
    <row r="318" spans="3:43" x14ac:dyDescent="0.25">
      <c r="C318" s="82"/>
      <c r="D318" s="82" t="s">
        <v>1185</v>
      </c>
      <c r="E318" s="96"/>
      <c r="J318" s="111"/>
      <c r="K318" s="111"/>
      <c r="L318" s="111"/>
      <c r="M318" s="111"/>
      <c r="N318" s="111"/>
      <c r="O318" s="111"/>
      <c r="P318" s="111"/>
      <c r="Q318" s="111"/>
      <c r="R318" s="111"/>
      <c r="S318" s="111"/>
      <c r="T318" s="111"/>
      <c r="U318" s="111"/>
      <c r="V318" s="111"/>
      <c r="W318" s="111"/>
      <c r="X318" s="111"/>
      <c r="Y318" s="111"/>
      <c r="Z318" s="111"/>
      <c r="AA318" s="111"/>
      <c r="AB318" s="111"/>
      <c r="AC318" s="111"/>
      <c r="AD318" s="111"/>
      <c r="AE318" s="111"/>
      <c r="AF318" s="111"/>
      <c r="AG318" s="111"/>
      <c r="AH318" s="111"/>
      <c r="AI318" s="111"/>
      <c r="AJ318" s="111"/>
      <c r="AK318" s="111"/>
      <c r="AL318" s="111"/>
      <c r="AM318" s="111"/>
      <c r="AN318" s="111"/>
      <c r="AO318" s="111"/>
    </row>
    <row r="319" spans="3:43" x14ac:dyDescent="0.25">
      <c r="C319" s="82"/>
      <c r="D319" s="82" t="s">
        <v>1186</v>
      </c>
      <c r="E319" s="96"/>
      <c r="J319" s="111"/>
      <c r="K319" s="111"/>
      <c r="L319" s="111"/>
      <c r="M319" s="111"/>
      <c r="N319" s="111"/>
      <c r="O319" s="111"/>
      <c r="P319" s="111"/>
      <c r="Q319" s="111"/>
      <c r="R319" s="111"/>
      <c r="S319" s="111"/>
      <c r="T319" s="111"/>
      <c r="U319" s="111"/>
      <c r="V319" s="111"/>
      <c r="W319" s="111"/>
      <c r="X319" s="111"/>
      <c r="Y319" s="111"/>
      <c r="Z319" s="111"/>
      <c r="AA319" s="111"/>
      <c r="AB319" s="111"/>
      <c r="AC319" s="111"/>
      <c r="AD319" s="111"/>
      <c r="AE319" s="111"/>
      <c r="AF319" s="111"/>
      <c r="AG319" s="111"/>
      <c r="AH319" s="111"/>
      <c r="AI319" s="111"/>
      <c r="AJ319" s="111"/>
      <c r="AK319" s="111"/>
      <c r="AL319" s="111"/>
      <c r="AM319" s="111"/>
      <c r="AN319" s="111"/>
      <c r="AO319" s="111"/>
    </row>
    <row r="320" spans="3:43" x14ac:dyDescent="0.25">
      <c r="C320" s="82"/>
      <c r="E320" s="96"/>
      <c r="J320" s="111"/>
      <c r="K320" s="111"/>
      <c r="L320" s="111"/>
      <c r="M320" s="111"/>
      <c r="N320" s="111"/>
      <c r="O320" s="111"/>
      <c r="P320" s="111"/>
      <c r="Q320" s="111"/>
      <c r="R320" s="111"/>
      <c r="S320" s="111"/>
      <c r="T320" s="111"/>
      <c r="U320" s="111"/>
      <c r="V320" s="111"/>
      <c r="W320" s="111"/>
      <c r="X320" s="111"/>
      <c r="Y320" s="111"/>
      <c r="Z320" s="111"/>
      <c r="AA320" s="111"/>
      <c r="AB320" s="111"/>
      <c r="AC320" s="111"/>
      <c r="AD320" s="111"/>
      <c r="AE320" s="111"/>
      <c r="AF320" s="111"/>
      <c r="AG320" s="111"/>
      <c r="AH320" s="111"/>
      <c r="AI320" s="111"/>
      <c r="AJ320" s="111"/>
      <c r="AK320" s="111"/>
      <c r="AL320" s="111"/>
      <c r="AM320" s="111"/>
      <c r="AN320" s="111"/>
      <c r="AO320" s="111"/>
    </row>
    <row r="321" spans="3:44" x14ac:dyDescent="0.25">
      <c r="C321" s="82"/>
      <c r="E321" s="96" t="s">
        <v>1187</v>
      </c>
      <c r="J321" s="111"/>
      <c r="K321" s="111"/>
      <c r="L321" s="111"/>
      <c r="M321" s="111"/>
      <c r="N321" s="111"/>
      <c r="O321" s="111"/>
      <c r="P321" s="111"/>
      <c r="Q321" s="111"/>
      <c r="R321" s="111"/>
      <c r="S321" s="111"/>
      <c r="T321" s="111"/>
      <c r="U321" s="111"/>
      <c r="V321" s="111"/>
      <c r="W321" s="111"/>
      <c r="X321" s="111"/>
      <c r="Y321" s="111"/>
      <c r="Z321" s="111"/>
      <c r="AA321" s="111"/>
      <c r="AB321" s="111"/>
      <c r="AC321" s="111"/>
      <c r="AD321" s="111"/>
      <c r="AE321" s="111"/>
      <c r="AF321" s="111"/>
      <c r="AG321" s="111"/>
      <c r="AH321" s="111"/>
      <c r="AI321" s="111"/>
      <c r="AJ321" s="111"/>
      <c r="AK321" s="111"/>
      <c r="AL321" s="111"/>
      <c r="AM321" s="111"/>
      <c r="AN321" s="111"/>
      <c r="AO321" s="111"/>
    </row>
    <row r="322" spans="3:44" x14ac:dyDescent="0.25">
      <c r="C322" s="82"/>
      <c r="F322" s="373" t="s">
        <v>1188</v>
      </c>
      <c r="G322" s="293" t="s">
        <v>1139</v>
      </c>
      <c r="J322" s="237">
        <f t="shared" ref="J322:AO322" si="85">J263*J283*thousand/hundred</f>
        <v>0</v>
      </c>
      <c r="K322" s="237">
        <f t="shared" si="85"/>
        <v>0</v>
      </c>
      <c r="L322" s="237">
        <f t="shared" si="85"/>
        <v>0</v>
      </c>
      <c r="M322" s="237">
        <f t="shared" si="85"/>
        <v>0</v>
      </c>
      <c r="N322" s="237">
        <f t="shared" si="85"/>
        <v>0</v>
      </c>
      <c r="O322" s="237">
        <f t="shared" si="85"/>
        <v>0</v>
      </c>
      <c r="P322" s="237">
        <f t="shared" si="85"/>
        <v>0</v>
      </c>
      <c r="Q322" s="237">
        <f t="shared" si="85"/>
        <v>0</v>
      </c>
      <c r="R322" s="237">
        <f t="shared" si="85"/>
        <v>0</v>
      </c>
      <c r="S322" s="237">
        <f t="shared" si="85"/>
        <v>0</v>
      </c>
      <c r="T322" s="237">
        <f t="shared" si="85"/>
        <v>0</v>
      </c>
      <c r="U322" s="237">
        <f t="shared" si="85"/>
        <v>0</v>
      </c>
      <c r="V322" s="237">
        <f t="shared" si="85"/>
        <v>0</v>
      </c>
      <c r="W322" s="237">
        <f t="shared" si="85"/>
        <v>0</v>
      </c>
      <c r="X322" s="237">
        <f t="shared" si="85"/>
        <v>0</v>
      </c>
      <c r="Y322" s="237">
        <f t="shared" si="85"/>
        <v>0</v>
      </c>
      <c r="Z322" s="237">
        <f t="shared" si="85"/>
        <v>0</v>
      </c>
      <c r="AA322" s="237">
        <f t="shared" si="85"/>
        <v>0</v>
      </c>
      <c r="AB322" s="237">
        <f t="shared" si="85"/>
        <v>0</v>
      </c>
      <c r="AC322" s="237">
        <f t="shared" si="85"/>
        <v>0</v>
      </c>
      <c r="AD322" s="237">
        <f t="shared" si="85"/>
        <v>0</v>
      </c>
      <c r="AE322" s="237">
        <f t="shared" si="85"/>
        <v>0</v>
      </c>
      <c r="AF322" s="237">
        <f t="shared" si="85"/>
        <v>0</v>
      </c>
      <c r="AG322" s="237">
        <f t="shared" si="85"/>
        <v>0</v>
      </c>
      <c r="AH322" s="237">
        <f t="shared" si="85"/>
        <v>0</v>
      </c>
      <c r="AI322" s="237">
        <f t="shared" si="85"/>
        <v>0</v>
      </c>
      <c r="AJ322" s="237">
        <f t="shared" si="85"/>
        <v>0</v>
      </c>
      <c r="AK322" s="237">
        <f t="shared" si="85"/>
        <v>0</v>
      </c>
      <c r="AL322" s="237">
        <f t="shared" si="85"/>
        <v>0</v>
      </c>
      <c r="AM322" s="237">
        <f t="shared" si="85"/>
        <v>0</v>
      </c>
      <c r="AN322" s="237">
        <f t="shared" si="85"/>
        <v>0</v>
      </c>
      <c r="AO322" s="237">
        <f t="shared" si="85"/>
        <v>0</v>
      </c>
    </row>
    <row r="323" spans="3:44" x14ac:dyDescent="0.25">
      <c r="C323" s="82"/>
      <c r="F323" s="96"/>
      <c r="J323" s="111"/>
      <c r="K323" s="111"/>
      <c r="L323" s="111"/>
      <c r="M323" s="111"/>
      <c r="N323" s="111"/>
      <c r="O323" s="111"/>
      <c r="P323" s="111"/>
      <c r="Q323" s="111"/>
      <c r="R323" s="111"/>
      <c r="S323" s="111"/>
      <c r="T323" s="111"/>
      <c r="U323" s="111"/>
      <c r="V323" s="111"/>
      <c r="W323" s="111"/>
      <c r="X323" s="111"/>
      <c r="Y323" s="111"/>
      <c r="Z323" s="111"/>
      <c r="AA323" s="111"/>
      <c r="AB323" s="111"/>
      <c r="AC323" s="111"/>
      <c r="AD323" s="111"/>
      <c r="AE323" s="111"/>
      <c r="AF323" s="111"/>
      <c r="AG323" s="111"/>
      <c r="AH323" s="111"/>
      <c r="AI323" s="111"/>
      <c r="AJ323" s="111"/>
      <c r="AK323" s="111"/>
      <c r="AL323" s="111"/>
      <c r="AM323" s="111"/>
      <c r="AN323" s="111"/>
      <c r="AO323" s="111"/>
    </row>
    <row r="324" spans="3:44" x14ac:dyDescent="0.25">
      <c r="C324" s="82"/>
      <c r="F324" s="508" t="s">
        <v>1189</v>
      </c>
      <c r="G324" s="293" t="s">
        <v>1139</v>
      </c>
      <c r="J324" s="237">
        <f t="shared" ref="J324:AO324" si="86">J229 - J322</f>
        <v>0</v>
      </c>
      <c r="K324" s="237">
        <f t="shared" si="86"/>
        <v>0</v>
      </c>
      <c r="L324" s="237">
        <f t="shared" si="86"/>
        <v>0</v>
      </c>
      <c r="M324" s="237">
        <f t="shared" si="86"/>
        <v>0</v>
      </c>
      <c r="N324" s="237">
        <f t="shared" si="86"/>
        <v>0</v>
      </c>
      <c r="O324" s="237">
        <f t="shared" si="86"/>
        <v>0</v>
      </c>
      <c r="P324" s="237">
        <f t="shared" si="86"/>
        <v>0</v>
      </c>
      <c r="Q324" s="237">
        <f t="shared" si="86"/>
        <v>0</v>
      </c>
      <c r="R324" s="237">
        <f t="shared" si="86"/>
        <v>0</v>
      </c>
      <c r="S324" s="237">
        <f t="shared" si="86"/>
        <v>0</v>
      </c>
      <c r="T324" s="237">
        <f t="shared" si="86"/>
        <v>0</v>
      </c>
      <c r="U324" s="237">
        <f t="shared" si="86"/>
        <v>0</v>
      </c>
      <c r="V324" s="237">
        <f t="shared" si="86"/>
        <v>0</v>
      </c>
      <c r="W324" s="237">
        <f t="shared" si="86"/>
        <v>0</v>
      </c>
      <c r="X324" s="237">
        <f t="shared" si="86"/>
        <v>0</v>
      </c>
      <c r="Y324" s="237">
        <f t="shared" si="86"/>
        <v>0</v>
      </c>
      <c r="Z324" s="237">
        <f t="shared" si="86"/>
        <v>0</v>
      </c>
      <c r="AA324" s="237">
        <f t="shared" si="86"/>
        <v>0</v>
      </c>
      <c r="AB324" s="237">
        <f t="shared" si="86"/>
        <v>0</v>
      </c>
      <c r="AC324" s="237">
        <f t="shared" si="86"/>
        <v>0</v>
      </c>
      <c r="AD324" s="237">
        <f t="shared" si="86"/>
        <v>0</v>
      </c>
      <c r="AE324" s="237">
        <f t="shared" si="86"/>
        <v>0</v>
      </c>
      <c r="AF324" s="237">
        <f t="shared" si="86"/>
        <v>0</v>
      </c>
      <c r="AG324" s="237">
        <f t="shared" si="86"/>
        <v>0</v>
      </c>
      <c r="AH324" s="237">
        <f t="shared" si="86"/>
        <v>0</v>
      </c>
      <c r="AI324" s="237">
        <f t="shared" si="86"/>
        <v>0</v>
      </c>
      <c r="AJ324" s="237">
        <f t="shared" si="86"/>
        <v>0</v>
      </c>
      <c r="AK324" s="237">
        <f t="shared" si="86"/>
        <v>0</v>
      </c>
      <c r="AL324" s="237">
        <f t="shared" si="86"/>
        <v>0</v>
      </c>
      <c r="AM324" s="237">
        <f t="shared" si="86"/>
        <v>0</v>
      </c>
      <c r="AN324" s="237">
        <f t="shared" si="86"/>
        <v>0</v>
      </c>
      <c r="AO324" s="237">
        <f t="shared" si="86"/>
        <v>0</v>
      </c>
    </row>
    <row r="325" spans="3:44" x14ac:dyDescent="0.25">
      <c r="C325" s="82"/>
      <c r="F325" s="96"/>
      <c r="J325" s="111"/>
      <c r="K325" s="111"/>
      <c r="L325" s="111"/>
      <c r="M325" s="111"/>
      <c r="N325" s="111"/>
      <c r="O325" s="111"/>
      <c r="P325" s="111"/>
      <c r="Q325" s="111"/>
      <c r="R325" s="111"/>
      <c r="S325" s="111"/>
      <c r="T325" s="111"/>
      <c r="U325" s="111"/>
      <c r="V325" s="111"/>
      <c r="W325" s="111"/>
      <c r="X325" s="111"/>
      <c r="Y325" s="111"/>
      <c r="Z325" s="111"/>
      <c r="AA325" s="111"/>
      <c r="AB325" s="111"/>
      <c r="AC325" s="111"/>
      <c r="AD325" s="111"/>
      <c r="AE325" s="111"/>
      <c r="AF325" s="111"/>
      <c r="AG325" s="111"/>
      <c r="AH325" s="111"/>
      <c r="AI325" s="111"/>
      <c r="AJ325" s="111"/>
      <c r="AK325" s="111"/>
      <c r="AL325" s="111"/>
      <c r="AM325" s="111"/>
      <c r="AN325" s="111"/>
      <c r="AO325" s="111"/>
    </row>
    <row r="326" spans="3:44" x14ac:dyDescent="0.25">
      <c r="C326" s="82"/>
      <c r="F326" s="293" t="s">
        <v>1178</v>
      </c>
      <c r="G326" s="293" t="s">
        <v>1139</v>
      </c>
      <c r="J326" s="237">
        <f>SUMIF($J$150:$AO$150,J$150,$J324:$AO324)</f>
        <v>0</v>
      </c>
      <c r="K326" s="237">
        <f t="shared" ref="K326:AO326" si="87">SUMIF($J$150:$AO$150,K$150,$J324:$AO324)</f>
        <v>0</v>
      </c>
      <c r="L326" s="237">
        <f t="shared" si="87"/>
        <v>0</v>
      </c>
      <c r="M326" s="237">
        <f t="shared" si="87"/>
        <v>0</v>
      </c>
      <c r="N326" s="237">
        <f t="shared" si="87"/>
        <v>0</v>
      </c>
      <c r="O326" s="237">
        <f t="shared" si="87"/>
        <v>0</v>
      </c>
      <c r="P326" s="237">
        <f t="shared" si="87"/>
        <v>0</v>
      </c>
      <c r="Q326" s="237">
        <f t="shared" si="87"/>
        <v>0</v>
      </c>
      <c r="R326" s="237">
        <f t="shared" si="87"/>
        <v>0</v>
      </c>
      <c r="S326" s="237">
        <f t="shared" si="87"/>
        <v>0</v>
      </c>
      <c r="T326" s="237">
        <f t="shared" si="87"/>
        <v>0</v>
      </c>
      <c r="U326" s="237">
        <f t="shared" si="87"/>
        <v>0</v>
      </c>
      <c r="V326" s="237">
        <f t="shared" si="87"/>
        <v>0</v>
      </c>
      <c r="W326" s="237">
        <f t="shared" si="87"/>
        <v>0</v>
      </c>
      <c r="X326" s="237">
        <f t="shared" si="87"/>
        <v>0</v>
      </c>
      <c r="Y326" s="237">
        <f t="shared" si="87"/>
        <v>0</v>
      </c>
      <c r="Z326" s="237">
        <f t="shared" si="87"/>
        <v>0</v>
      </c>
      <c r="AA326" s="237">
        <f t="shared" si="87"/>
        <v>0</v>
      </c>
      <c r="AB326" s="237">
        <f t="shared" si="87"/>
        <v>0</v>
      </c>
      <c r="AC326" s="237">
        <f t="shared" si="87"/>
        <v>0</v>
      </c>
      <c r="AD326" s="237">
        <f t="shared" si="87"/>
        <v>0</v>
      </c>
      <c r="AE326" s="237">
        <f t="shared" si="87"/>
        <v>0</v>
      </c>
      <c r="AF326" s="237">
        <f t="shared" si="87"/>
        <v>0</v>
      </c>
      <c r="AG326" s="237">
        <f t="shared" si="87"/>
        <v>0</v>
      </c>
      <c r="AH326" s="237">
        <f t="shared" si="87"/>
        <v>0</v>
      </c>
      <c r="AI326" s="237">
        <f t="shared" si="87"/>
        <v>0</v>
      </c>
      <c r="AJ326" s="237">
        <f t="shared" si="87"/>
        <v>0</v>
      </c>
      <c r="AK326" s="237">
        <f t="shared" si="87"/>
        <v>0</v>
      </c>
      <c r="AL326" s="237">
        <f t="shared" si="87"/>
        <v>0</v>
      </c>
      <c r="AM326" s="237">
        <f t="shared" si="87"/>
        <v>0</v>
      </c>
      <c r="AN326" s="237">
        <f t="shared" si="87"/>
        <v>0</v>
      </c>
      <c r="AO326" s="237">
        <f t="shared" si="87"/>
        <v>0</v>
      </c>
    </row>
    <row r="327" spans="3:44" x14ac:dyDescent="0.25">
      <c r="C327" s="82"/>
      <c r="J327" s="111"/>
      <c r="K327" s="111"/>
      <c r="L327" s="111"/>
      <c r="M327" s="111"/>
      <c r="N327" s="111"/>
      <c r="O327" s="111"/>
      <c r="P327" s="111"/>
      <c r="Q327" s="111"/>
      <c r="R327" s="111"/>
      <c r="S327" s="111"/>
      <c r="T327" s="111"/>
      <c r="U327" s="111"/>
      <c r="V327" s="111"/>
      <c r="W327" s="111"/>
      <c r="X327" s="111"/>
      <c r="Y327" s="111"/>
      <c r="Z327" s="111"/>
      <c r="AA327" s="111"/>
      <c r="AB327" s="111"/>
      <c r="AC327" s="111"/>
      <c r="AD327" s="111"/>
      <c r="AE327" s="111"/>
      <c r="AF327" s="111"/>
      <c r="AG327" s="111"/>
      <c r="AH327" s="111"/>
      <c r="AI327" s="111"/>
      <c r="AJ327" s="111"/>
      <c r="AK327" s="111"/>
      <c r="AL327" s="111"/>
      <c r="AM327" s="111"/>
      <c r="AN327" s="111"/>
      <c r="AO327" s="111"/>
    </row>
    <row r="328" spans="3:44" x14ac:dyDescent="0.25">
      <c r="C328" s="82"/>
      <c r="F328" s="293" t="s">
        <v>1179</v>
      </c>
      <c r="G328" s="293" t="s">
        <v>1139</v>
      </c>
      <c r="J328" s="237">
        <f t="shared" ref="J328:AO328" si="88" xml:space="preserve"> J326 * J158</f>
        <v>0</v>
      </c>
      <c r="K328" s="237">
        <f t="shared" si="88"/>
        <v>0</v>
      </c>
      <c r="L328" s="237">
        <f t="shared" si="88"/>
        <v>0</v>
      </c>
      <c r="M328" s="237">
        <f t="shared" si="88"/>
        <v>0</v>
      </c>
      <c r="N328" s="237">
        <f t="shared" si="88"/>
        <v>0</v>
      </c>
      <c r="O328" s="237">
        <f t="shared" si="88"/>
        <v>0</v>
      </c>
      <c r="P328" s="237">
        <f t="shared" si="88"/>
        <v>0</v>
      </c>
      <c r="Q328" s="237">
        <f t="shared" si="88"/>
        <v>0</v>
      </c>
      <c r="R328" s="237">
        <f t="shared" si="88"/>
        <v>0</v>
      </c>
      <c r="S328" s="237">
        <f t="shared" si="88"/>
        <v>0</v>
      </c>
      <c r="T328" s="237">
        <f t="shared" si="88"/>
        <v>0</v>
      </c>
      <c r="U328" s="237">
        <f t="shared" si="88"/>
        <v>0</v>
      </c>
      <c r="V328" s="237">
        <f t="shared" si="88"/>
        <v>0</v>
      </c>
      <c r="W328" s="237">
        <f t="shared" si="88"/>
        <v>0</v>
      </c>
      <c r="X328" s="237">
        <f t="shared" si="88"/>
        <v>0</v>
      </c>
      <c r="Y328" s="237">
        <f t="shared" si="88"/>
        <v>0</v>
      </c>
      <c r="Z328" s="237">
        <f t="shared" si="88"/>
        <v>0</v>
      </c>
      <c r="AA328" s="237">
        <f t="shared" si="88"/>
        <v>0</v>
      </c>
      <c r="AB328" s="237">
        <f t="shared" si="88"/>
        <v>0</v>
      </c>
      <c r="AC328" s="237">
        <f t="shared" si="88"/>
        <v>0</v>
      </c>
      <c r="AD328" s="237">
        <f t="shared" si="88"/>
        <v>0</v>
      </c>
      <c r="AE328" s="237">
        <f t="shared" si="88"/>
        <v>0</v>
      </c>
      <c r="AF328" s="237">
        <f t="shared" si="88"/>
        <v>0</v>
      </c>
      <c r="AG328" s="237">
        <f t="shared" si="88"/>
        <v>0</v>
      </c>
      <c r="AH328" s="237">
        <f t="shared" si="88"/>
        <v>0</v>
      </c>
      <c r="AI328" s="237">
        <f t="shared" si="88"/>
        <v>0</v>
      </c>
      <c r="AJ328" s="237">
        <f t="shared" si="88"/>
        <v>0</v>
      </c>
      <c r="AK328" s="237">
        <f t="shared" si="88"/>
        <v>0</v>
      </c>
      <c r="AL328" s="237">
        <f t="shared" si="88"/>
        <v>0</v>
      </c>
      <c r="AM328" s="237">
        <f t="shared" si="88"/>
        <v>0</v>
      </c>
      <c r="AN328" s="237">
        <f t="shared" si="88"/>
        <v>0</v>
      </c>
      <c r="AO328" s="237">
        <f t="shared" si="88"/>
        <v>0</v>
      </c>
    </row>
    <row r="329" spans="3:44" x14ac:dyDescent="0.25">
      <c r="C329" s="82"/>
      <c r="F329" s="98"/>
      <c r="J329" s="111"/>
      <c r="K329" s="111"/>
      <c r="L329" s="111"/>
      <c r="M329" s="111"/>
      <c r="N329" s="111"/>
      <c r="O329" s="111"/>
      <c r="P329" s="111"/>
      <c r="Q329" s="111"/>
      <c r="R329" s="111"/>
      <c r="S329" s="111"/>
      <c r="T329" s="111"/>
      <c r="U329" s="111"/>
      <c r="V329" s="111"/>
      <c r="W329" s="111"/>
      <c r="X329" s="111"/>
      <c r="Y329" s="111"/>
      <c r="Z329" s="111"/>
      <c r="AA329" s="111"/>
      <c r="AB329" s="111"/>
      <c r="AC329" s="111"/>
      <c r="AD329" s="111"/>
      <c r="AE329" s="111"/>
      <c r="AF329" s="111"/>
      <c r="AG329" s="111"/>
      <c r="AH329" s="111"/>
      <c r="AI329" s="111"/>
      <c r="AJ329" s="111"/>
      <c r="AK329" s="111"/>
      <c r="AL329" s="111"/>
      <c r="AM329" s="111"/>
      <c r="AN329" s="111"/>
      <c r="AO329" s="111"/>
    </row>
    <row r="330" spans="3:44" x14ac:dyDescent="0.25">
      <c r="C330" s="82"/>
      <c r="E330" s="96" t="s">
        <v>1130</v>
      </c>
      <c r="F330" s="98"/>
      <c r="J330" s="111"/>
      <c r="K330" s="111"/>
      <c r="L330" s="111"/>
      <c r="M330" s="111"/>
      <c r="N330" s="111"/>
      <c r="O330" s="111"/>
      <c r="P330" s="111"/>
      <c r="Q330" s="111"/>
      <c r="R330" s="111"/>
      <c r="S330" s="111"/>
      <c r="T330" s="111"/>
      <c r="U330" s="111"/>
      <c r="V330" s="111"/>
      <c r="W330" s="111"/>
      <c r="X330" s="111"/>
      <c r="Y330" s="111"/>
      <c r="Z330" s="111"/>
      <c r="AA330" s="111"/>
      <c r="AB330" s="111"/>
      <c r="AC330" s="111"/>
      <c r="AD330" s="111"/>
      <c r="AE330" s="111"/>
      <c r="AF330" s="111"/>
      <c r="AG330" s="111"/>
      <c r="AH330" s="111"/>
      <c r="AI330" s="111"/>
      <c r="AJ330" s="111"/>
      <c r="AK330" s="111"/>
      <c r="AL330" s="111"/>
      <c r="AM330" s="111"/>
      <c r="AN330" s="111"/>
      <c r="AO330" s="111"/>
    </row>
    <row r="331" spans="3:44" x14ac:dyDescent="0.25">
      <c r="C331" s="82"/>
      <c r="F331" s="505" t="s">
        <v>1190</v>
      </c>
      <c r="G331" s="293" t="s">
        <v>120</v>
      </c>
      <c r="J331" s="237">
        <f t="shared" ref="J331:AO331" si="89">SUM(J284:J285)</f>
        <v>0</v>
      </c>
      <c r="K331" s="237">
        <f t="shared" si="89"/>
        <v>0</v>
      </c>
      <c r="L331" s="237">
        <f t="shared" si="89"/>
        <v>0</v>
      </c>
      <c r="M331" s="237">
        <f t="shared" si="89"/>
        <v>0</v>
      </c>
      <c r="N331" s="237">
        <f t="shared" si="89"/>
        <v>0</v>
      </c>
      <c r="O331" s="237">
        <f t="shared" si="89"/>
        <v>0</v>
      </c>
      <c r="P331" s="237">
        <f t="shared" si="89"/>
        <v>0</v>
      </c>
      <c r="Q331" s="237">
        <f t="shared" si="89"/>
        <v>0</v>
      </c>
      <c r="R331" s="237">
        <f t="shared" si="89"/>
        <v>0</v>
      </c>
      <c r="S331" s="237">
        <f t="shared" si="89"/>
        <v>0</v>
      </c>
      <c r="T331" s="237">
        <f t="shared" si="89"/>
        <v>0</v>
      </c>
      <c r="U331" s="237">
        <f t="shared" si="89"/>
        <v>0</v>
      </c>
      <c r="V331" s="237">
        <f t="shared" si="89"/>
        <v>0</v>
      </c>
      <c r="W331" s="237">
        <f t="shared" si="89"/>
        <v>0</v>
      </c>
      <c r="X331" s="237">
        <f t="shared" si="89"/>
        <v>0</v>
      </c>
      <c r="Y331" s="237">
        <f t="shared" si="89"/>
        <v>0</v>
      </c>
      <c r="Z331" s="237">
        <f t="shared" si="89"/>
        <v>0</v>
      </c>
      <c r="AA331" s="237">
        <f t="shared" si="89"/>
        <v>0</v>
      </c>
      <c r="AB331" s="237">
        <f t="shared" si="89"/>
        <v>0</v>
      </c>
      <c r="AC331" s="237">
        <f t="shared" si="89"/>
        <v>0</v>
      </c>
      <c r="AD331" s="237">
        <f t="shared" si="89"/>
        <v>0</v>
      </c>
      <c r="AE331" s="237">
        <f t="shared" si="89"/>
        <v>0</v>
      </c>
      <c r="AF331" s="237">
        <f t="shared" si="89"/>
        <v>0</v>
      </c>
      <c r="AG331" s="237">
        <f t="shared" si="89"/>
        <v>0</v>
      </c>
      <c r="AH331" s="237">
        <f t="shared" si="89"/>
        <v>0</v>
      </c>
      <c r="AI331" s="237">
        <f t="shared" si="89"/>
        <v>0</v>
      </c>
      <c r="AJ331" s="237">
        <f t="shared" si="89"/>
        <v>0</v>
      </c>
      <c r="AK331" s="237">
        <f t="shared" si="89"/>
        <v>0</v>
      </c>
      <c r="AL331" s="237">
        <f t="shared" si="89"/>
        <v>0</v>
      </c>
      <c r="AM331" s="237">
        <f t="shared" si="89"/>
        <v>0</v>
      </c>
      <c r="AN331" s="237">
        <f t="shared" si="89"/>
        <v>0</v>
      </c>
      <c r="AO331" s="237">
        <f t="shared" si="89"/>
        <v>0</v>
      </c>
    </row>
    <row r="332" spans="3:44" x14ac:dyDescent="0.25">
      <c r="C332" s="82"/>
      <c r="F332" s="98"/>
      <c r="J332" s="111"/>
      <c r="K332" s="111"/>
      <c r="L332" s="111"/>
      <c r="M332" s="111"/>
      <c r="N332" s="111"/>
      <c r="O332" s="111"/>
      <c r="P332" s="111"/>
      <c r="Q332" s="111"/>
      <c r="R332" s="111"/>
      <c r="S332" s="111"/>
      <c r="T332" s="111"/>
      <c r="U332" s="111"/>
      <c r="V332" s="111"/>
      <c r="W332" s="111"/>
      <c r="X332" s="111"/>
      <c r="Y332" s="111"/>
      <c r="Z332" s="111"/>
      <c r="AA332" s="111"/>
      <c r="AB332" s="111"/>
      <c r="AC332" s="111"/>
      <c r="AD332" s="111"/>
      <c r="AE332" s="111"/>
      <c r="AF332" s="111"/>
      <c r="AG332" s="111"/>
      <c r="AH332" s="111"/>
      <c r="AI332" s="111"/>
      <c r="AJ332" s="111"/>
      <c r="AK332" s="111"/>
      <c r="AL332" s="111"/>
      <c r="AM332" s="111"/>
      <c r="AN332" s="111"/>
      <c r="AO332" s="111"/>
    </row>
    <row r="333" spans="3:44" x14ac:dyDescent="0.25">
      <c r="C333" s="82"/>
      <c r="F333" s="293" t="s">
        <v>1134</v>
      </c>
      <c r="G333" s="293" t="s">
        <v>120</v>
      </c>
      <c r="J333" s="237">
        <f>SUMIF($J$150:$AO$150,J$150,$J331:$AO331)</f>
        <v>0</v>
      </c>
      <c r="K333" s="237">
        <f t="shared" ref="K333:AO333" si="90">SUMIF($J$150:$AO$150,K$150,$J331:$AO331)</f>
        <v>0</v>
      </c>
      <c r="L333" s="237">
        <f t="shared" si="90"/>
        <v>0</v>
      </c>
      <c r="M333" s="237">
        <f t="shared" si="90"/>
        <v>0</v>
      </c>
      <c r="N333" s="237">
        <f t="shared" si="90"/>
        <v>0</v>
      </c>
      <c r="O333" s="237">
        <f t="shared" si="90"/>
        <v>0</v>
      </c>
      <c r="P333" s="237">
        <f t="shared" si="90"/>
        <v>0</v>
      </c>
      <c r="Q333" s="237">
        <f t="shared" si="90"/>
        <v>0</v>
      </c>
      <c r="R333" s="237">
        <f t="shared" si="90"/>
        <v>0</v>
      </c>
      <c r="S333" s="237">
        <f t="shared" si="90"/>
        <v>0</v>
      </c>
      <c r="T333" s="237">
        <f t="shared" si="90"/>
        <v>0</v>
      </c>
      <c r="U333" s="237">
        <f t="shared" si="90"/>
        <v>0</v>
      </c>
      <c r="V333" s="237">
        <f t="shared" si="90"/>
        <v>0</v>
      </c>
      <c r="W333" s="237">
        <f t="shared" si="90"/>
        <v>0</v>
      </c>
      <c r="X333" s="237">
        <f t="shared" si="90"/>
        <v>0</v>
      </c>
      <c r="Y333" s="237">
        <f t="shared" si="90"/>
        <v>0</v>
      </c>
      <c r="Z333" s="237">
        <f t="shared" si="90"/>
        <v>0</v>
      </c>
      <c r="AA333" s="237">
        <f t="shared" si="90"/>
        <v>0</v>
      </c>
      <c r="AB333" s="237">
        <f t="shared" si="90"/>
        <v>0</v>
      </c>
      <c r="AC333" s="237">
        <f t="shared" si="90"/>
        <v>0</v>
      </c>
      <c r="AD333" s="237">
        <f t="shared" si="90"/>
        <v>0</v>
      </c>
      <c r="AE333" s="237">
        <f t="shared" si="90"/>
        <v>0</v>
      </c>
      <c r="AF333" s="237">
        <f t="shared" si="90"/>
        <v>0</v>
      </c>
      <c r="AG333" s="237">
        <f t="shared" si="90"/>
        <v>0</v>
      </c>
      <c r="AH333" s="237">
        <f t="shared" si="90"/>
        <v>0</v>
      </c>
      <c r="AI333" s="237">
        <f t="shared" si="90"/>
        <v>0</v>
      </c>
      <c r="AJ333" s="237">
        <f t="shared" si="90"/>
        <v>0</v>
      </c>
      <c r="AK333" s="237">
        <f t="shared" si="90"/>
        <v>0</v>
      </c>
      <c r="AL333" s="237">
        <f t="shared" si="90"/>
        <v>0</v>
      </c>
      <c r="AM333" s="237">
        <f t="shared" si="90"/>
        <v>0</v>
      </c>
      <c r="AN333" s="237">
        <f t="shared" si="90"/>
        <v>0</v>
      </c>
      <c r="AO333" s="237">
        <f t="shared" si="90"/>
        <v>0</v>
      </c>
    </row>
    <row r="334" spans="3:44" x14ac:dyDescent="0.25">
      <c r="C334" s="82"/>
      <c r="J334" s="111"/>
      <c r="K334" s="111"/>
      <c r="L334" s="111"/>
      <c r="M334" s="111"/>
      <c r="N334" s="111"/>
      <c r="O334" s="111"/>
      <c r="P334" s="111"/>
      <c r="Q334" s="111"/>
      <c r="R334" s="111"/>
      <c r="S334" s="111"/>
      <c r="T334" s="111"/>
      <c r="U334" s="111"/>
      <c r="V334" s="111"/>
      <c r="W334" s="111"/>
      <c r="X334" s="111"/>
      <c r="Y334" s="111"/>
      <c r="Z334" s="111"/>
      <c r="AA334" s="111"/>
      <c r="AB334" s="111"/>
      <c r="AC334" s="111"/>
      <c r="AD334" s="111"/>
      <c r="AE334" s="111"/>
      <c r="AF334" s="111"/>
      <c r="AG334" s="111"/>
      <c r="AH334" s="111"/>
      <c r="AI334" s="111"/>
      <c r="AJ334" s="111"/>
      <c r="AK334" s="111"/>
      <c r="AL334" s="111"/>
      <c r="AM334" s="111"/>
      <c r="AN334" s="111"/>
      <c r="AO334" s="111"/>
    </row>
    <row r="335" spans="3:44" x14ac:dyDescent="0.25">
      <c r="C335" s="82"/>
      <c r="F335" s="293" t="s">
        <v>1135</v>
      </c>
      <c r="G335" s="293" t="s">
        <v>120</v>
      </c>
      <c r="J335" s="237">
        <f xml:space="preserve"> J333 * J$158</f>
        <v>0</v>
      </c>
      <c r="K335" s="237">
        <f t="shared" ref="K335:AO335" si="91" xml:space="preserve"> K333 * K$158</f>
        <v>0</v>
      </c>
      <c r="L335" s="237">
        <f t="shared" si="91"/>
        <v>0</v>
      </c>
      <c r="M335" s="237">
        <f t="shared" si="91"/>
        <v>0</v>
      </c>
      <c r="N335" s="237">
        <f t="shared" si="91"/>
        <v>0</v>
      </c>
      <c r="O335" s="237">
        <f t="shared" si="91"/>
        <v>0</v>
      </c>
      <c r="P335" s="237">
        <f t="shared" si="91"/>
        <v>0</v>
      </c>
      <c r="Q335" s="237">
        <f t="shared" si="91"/>
        <v>0</v>
      </c>
      <c r="R335" s="237">
        <f t="shared" si="91"/>
        <v>0</v>
      </c>
      <c r="S335" s="237">
        <f t="shared" si="91"/>
        <v>0</v>
      </c>
      <c r="T335" s="237">
        <f t="shared" si="91"/>
        <v>0</v>
      </c>
      <c r="U335" s="237">
        <f t="shared" si="91"/>
        <v>0</v>
      </c>
      <c r="V335" s="237">
        <f t="shared" si="91"/>
        <v>0</v>
      </c>
      <c r="W335" s="237">
        <f t="shared" si="91"/>
        <v>0</v>
      </c>
      <c r="X335" s="237">
        <f t="shared" si="91"/>
        <v>0</v>
      </c>
      <c r="Y335" s="237">
        <f t="shared" si="91"/>
        <v>0</v>
      </c>
      <c r="Z335" s="237">
        <f t="shared" si="91"/>
        <v>0</v>
      </c>
      <c r="AA335" s="237">
        <f t="shared" si="91"/>
        <v>0</v>
      </c>
      <c r="AB335" s="237">
        <f t="shared" si="91"/>
        <v>0</v>
      </c>
      <c r="AC335" s="237">
        <f t="shared" si="91"/>
        <v>0</v>
      </c>
      <c r="AD335" s="237">
        <f t="shared" si="91"/>
        <v>0</v>
      </c>
      <c r="AE335" s="237">
        <f t="shared" si="91"/>
        <v>0</v>
      </c>
      <c r="AF335" s="237">
        <f t="shared" si="91"/>
        <v>0</v>
      </c>
      <c r="AG335" s="237">
        <f t="shared" si="91"/>
        <v>0</v>
      </c>
      <c r="AH335" s="237">
        <f t="shared" si="91"/>
        <v>0</v>
      </c>
      <c r="AI335" s="237">
        <f t="shared" si="91"/>
        <v>0</v>
      </c>
      <c r="AJ335" s="237">
        <f t="shared" si="91"/>
        <v>0</v>
      </c>
      <c r="AK335" s="237">
        <f t="shared" si="91"/>
        <v>0</v>
      </c>
      <c r="AL335" s="237">
        <f t="shared" si="91"/>
        <v>0</v>
      </c>
      <c r="AM335" s="237">
        <f t="shared" si="91"/>
        <v>0</v>
      </c>
      <c r="AN335" s="237">
        <f t="shared" si="91"/>
        <v>0</v>
      </c>
      <c r="AO335" s="237">
        <f t="shared" si="91"/>
        <v>0</v>
      </c>
      <c r="AP335" s="111"/>
      <c r="AQ335" s="111"/>
      <c r="AR335" s="111"/>
    </row>
    <row r="336" spans="3:44" x14ac:dyDescent="0.25">
      <c r="C336" s="82"/>
      <c r="J336" s="111"/>
      <c r="K336" s="111"/>
      <c r="L336" s="111"/>
      <c r="M336" s="111"/>
      <c r="N336" s="111"/>
      <c r="O336" s="111"/>
      <c r="P336" s="111"/>
      <c r="Q336" s="111"/>
      <c r="R336" s="111"/>
      <c r="S336" s="111"/>
      <c r="T336" s="111"/>
      <c r="U336" s="111"/>
      <c r="V336" s="111"/>
      <c r="W336" s="111"/>
      <c r="X336" s="111"/>
      <c r="Y336" s="111"/>
      <c r="Z336" s="111"/>
      <c r="AA336" s="111"/>
      <c r="AB336" s="111"/>
      <c r="AC336" s="111"/>
      <c r="AD336" s="111"/>
      <c r="AE336" s="111"/>
      <c r="AF336" s="111"/>
      <c r="AG336" s="111"/>
      <c r="AH336" s="111"/>
      <c r="AI336" s="111"/>
      <c r="AJ336" s="111"/>
      <c r="AK336" s="111"/>
      <c r="AL336" s="111"/>
      <c r="AM336" s="111"/>
      <c r="AN336" s="111"/>
      <c r="AO336" s="111"/>
    </row>
    <row r="337" spans="3:43" x14ac:dyDescent="0.25">
      <c r="C337" s="82"/>
      <c r="E337" s="505" t="s">
        <v>1191</v>
      </c>
      <c r="G337" s="293" t="s">
        <v>183</v>
      </c>
      <c r="J337" s="441">
        <f t="shared" ref="J337:AO337" si="92">IF( J335&lt;&gt;0, J328/J335, 0)*hundred/thousand</f>
        <v>0</v>
      </c>
      <c r="K337" s="441">
        <f t="shared" si="92"/>
        <v>0</v>
      </c>
      <c r="L337" s="441">
        <f t="shared" si="92"/>
        <v>0</v>
      </c>
      <c r="M337" s="441">
        <f t="shared" si="92"/>
        <v>0</v>
      </c>
      <c r="N337" s="441">
        <f t="shared" si="92"/>
        <v>0</v>
      </c>
      <c r="O337" s="441">
        <f t="shared" si="92"/>
        <v>0</v>
      </c>
      <c r="P337" s="441">
        <f t="shared" si="92"/>
        <v>0</v>
      </c>
      <c r="Q337" s="441">
        <f t="shared" si="92"/>
        <v>0</v>
      </c>
      <c r="R337" s="441">
        <f t="shared" si="92"/>
        <v>0</v>
      </c>
      <c r="S337" s="441">
        <f t="shared" si="92"/>
        <v>0</v>
      </c>
      <c r="T337" s="441">
        <f t="shared" si="92"/>
        <v>0</v>
      </c>
      <c r="U337" s="441">
        <f t="shared" si="92"/>
        <v>0</v>
      </c>
      <c r="V337" s="441">
        <f t="shared" si="92"/>
        <v>0</v>
      </c>
      <c r="W337" s="441">
        <f t="shared" si="92"/>
        <v>0</v>
      </c>
      <c r="X337" s="441">
        <f t="shared" si="92"/>
        <v>0</v>
      </c>
      <c r="Y337" s="441">
        <f t="shared" si="92"/>
        <v>0</v>
      </c>
      <c r="Z337" s="441">
        <f t="shared" si="92"/>
        <v>0</v>
      </c>
      <c r="AA337" s="441">
        <f t="shared" si="92"/>
        <v>0</v>
      </c>
      <c r="AB337" s="441">
        <f t="shared" si="92"/>
        <v>0</v>
      </c>
      <c r="AC337" s="441">
        <f t="shared" si="92"/>
        <v>0</v>
      </c>
      <c r="AD337" s="441">
        <f t="shared" si="92"/>
        <v>0</v>
      </c>
      <c r="AE337" s="441">
        <f t="shared" si="92"/>
        <v>0</v>
      </c>
      <c r="AF337" s="441">
        <f t="shared" si="92"/>
        <v>0</v>
      </c>
      <c r="AG337" s="441">
        <f t="shared" si="92"/>
        <v>0</v>
      </c>
      <c r="AH337" s="441">
        <f t="shared" si="92"/>
        <v>0</v>
      </c>
      <c r="AI337" s="441">
        <f t="shared" si="92"/>
        <v>0</v>
      </c>
      <c r="AJ337" s="441">
        <f t="shared" si="92"/>
        <v>0</v>
      </c>
      <c r="AK337" s="441">
        <f t="shared" si="92"/>
        <v>0</v>
      </c>
      <c r="AL337" s="441">
        <f t="shared" si="92"/>
        <v>0</v>
      </c>
      <c r="AM337" s="441">
        <f t="shared" si="92"/>
        <v>0</v>
      </c>
      <c r="AN337" s="441">
        <f t="shared" si="92"/>
        <v>0</v>
      </c>
      <c r="AO337" s="441">
        <f t="shared" si="92"/>
        <v>0</v>
      </c>
    </row>
    <row r="338" spans="3:43" x14ac:dyDescent="0.25">
      <c r="C338" s="82"/>
      <c r="J338" s="111"/>
      <c r="K338" s="111"/>
      <c r="L338" s="111"/>
      <c r="M338" s="111"/>
      <c r="N338" s="111"/>
      <c r="O338" s="111"/>
      <c r="P338" s="111"/>
      <c r="Q338" s="111"/>
      <c r="R338" s="111"/>
      <c r="S338" s="111"/>
      <c r="T338" s="111"/>
      <c r="U338" s="111"/>
      <c r="V338" s="111"/>
      <c r="W338" s="111"/>
      <c r="X338" s="111"/>
      <c r="Y338" s="111"/>
      <c r="Z338" s="111"/>
      <c r="AA338" s="111"/>
      <c r="AB338" s="111"/>
      <c r="AC338" s="111"/>
      <c r="AD338" s="111"/>
      <c r="AE338" s="111"/>
      <c r="AF338" s="111"/>
      <c r="AG338" s="111"/>
      <c r="AH338" s="111"/>
      <c r="AI338" s="111"/>
      <c r="AJ338" s="111"/>
      <c r="AK338" s="111"/>
      <c r="AL338" s="111"/>
      <c r="AM338" s="111"/>
      <c r="AN338" s="111"/>
      <c r="AO338" s="111"/>
    </row>
    <row r="339" spans="3:43" x14ac:dyDescent="0.25">
      <c r="C339" s="82"/>
      <c r="E339" s="96" t="s">
        <v>1192</v>
      </c>
      <c r="J339" s="111"/>
      <c r="K339" s="111"/>
      <c r="L339" s="111"/>
      <c r="M339" s="111"/>
      <c r="N339" s="111"/>
      <c r="O339" s="111"/>
      <c r="P339" s="111"/>
      <c r="Q339" s="111"/>
      <c r="R339" s="111"/>
      <c r="S339" s="111"/>
      <c r="T339" s="111"/>
      <c r="U339" s="111"/>
      <c r="V339" s="111"/>
      <c r="W339" s="111"/>
      <c r="X339" s="111"/>
      <c r="Y339" s="111"/>
      <c r="Z339" s="111"/>
      <c r="AA339" s="111"/>
      <c r="AB339" s="111"/>
      <c r="AC339" s="111"/>
      <c r="AD339" s="111"/>
      <c r="AE339" s="111"/>
      <c r="AF339" s="111"/>
      <c r="AG339" s="111"/>
      <c r="AH339" s="111"/>
      <c r="AI339" s="111"/>
      <c r="AJ339" s="111"/>
      <c r="AK339" s="111"/>
      <c r="AL339" s="111"/>
      <c r="AM339" s="111"/>
      <c r="AN339" s="111"/>
      <c r="AO339" s="111"/>
    </row>
    <row r="340" spans="3:43" x14ac:dyDescent="0.25">
      <c r="C340" s="82"/>
      <c r="F340" s="91" t="s">
        <v>1162</v>
      </c>
      <c r="G340" s="91" t="s">
        <v>1024</v>
      </c>
      <c r="H340" s="91"/>
      <c r="I340" s="91"/>
      <c r="J340" s="509"/>
      <c r="K340" s="509"/>
      <c r="L340" s="509"/>
      <c r="M340" s="509"/>
      <c r="N340" s="509"/>
      <c r="O340" s="509"/>
      <c r="P340" s="509"/>
      <c r="Q340" s="509"/>
      <c r="R340" s="509"/>
      <c r="S340" s="509"/>
      <c r="T340" s="509"/>
      <c r="U340" s="509"/>
      <c r="V340" s="509"/>
      <c r="W340" s="509"/>
      <c r="X340" s="509"/>
      <c r="Y340" s="509"/>
      <c r="Z340" s="509"/>
      <c r="AA340" s="509"/>
      <c r="AB340" s="509"/>
      <c r="AC340" s="509"/>
      <c r="AD340" s="509"/>
      <c r="AE340" s="509"/>
      <c r="AF340" s="509"/>
      <c r="AG340" s="509"/>
      <c r="AH340" s="509"/>
      <c r="AI340" s="509"/>
      <c r="AJ340" s="509"/>
      <c r="AK340" s="509"/>
      <c r="AL340" s="509"/>
      <c r="AM340" s="509"/>
      <c r="AN340" s="509"/>
      <c r="AO340" s="509"/>
    </row>
    <row r="341" spans="3:43" x14ac:dyDescent="0.25">
      <c r="C341" s="82"/>
      <c r="F341" s="293" t="s">
        <v>1163</v>
      </c>
      <c r="G341" s="293" t="s">
        <v>1024</v>
      </c>
      <c r="J341" s="111" t="b">
        <f t="shared" ref="J341:AO341" si="93">IF(J$32, -J264+J$337&gt;=0, TRUE)</f>
        <v>1</v>
      </c>
      <c r="K341" s="111" t="b">
        <f t="shared" si="93"/>
        <v>1</v>
      </c>
      <c r="L341" s="111" t="b">
        <f t="shared" si="93"/>
        <v>1</v>
      </c>
      <c r="M341" s="111" t="b">
        <f t="shared" si="93"/>
        <v>1</v>
      </c>
      <c r="N341" s="111" t="b">
        <f t="shared" si="93"/>
        <v>1</v>
      </c>
      <c r="O341" s="111" t="b">
        <f t="shared" si="93"/>
        <v>1</v>
      </c>
      <c r="P341" s="111" t="b">
        <f t="shared" si="93"/>
        <v>1</v>
      </c>
      <c r="Q341" s="111" t="b">
        <f t="shared" si="93"/>
        <v>1</v>
      </c>
      <c r="R341" s="111" t="b">
        <f t="shared" si="93"/>
        <v>1</v>
      </c>
      <c r="S341" s="111" t="b">
        <f t="shared" si="93"/>
        <v>1</v>
      </c>
      <c r="T341" s="111" t="b">
        <f t="shared" si="93"/>
        <v>1</v>
      </c>
      <c r="U341" s="111" t="b">
        <f t="shared" si="93"/>
        <v>1</v>
      </c>
      <c r="V341" s="111" t="b">
        <f t="shared" si="93"/>
        <v>1</v>
      </c>
      <c r="W341" s="111" t="b">
        <f t="shared" si="93"/>
        <v>1</v>
      </c>
      <c r="X341" s="111" t="b">
        <f t="shared" si="93"/>
        <v>1</v>
      </c>
      <c r="Y341" s="111" t="b">
        <f t="shared" si="93"/>
        <v>1</v>
      </c>
      <c r="Z341" s="111" t="b">
        <f t="shared" si="93"/>
        <v>1</v>
      </c>
      <c r="AA341" s="111" t="b">
        <f t="shared" si="93"/>
        <v>1</v>
      </c>
      <c r="AB341" s="111" t="b">
        <f t="shared" si="93"/>
        <v>1</v>
      </c>
      <c r="AC341" s="111" t="b">
        <f t="shared" si="93"/>
        <v>1</v>
      </c>
      <c r="AD341" s="111" t="b">
        <f t="shared" si="93"/>
        <v>1</v>
      </c>
      <c r="AE341" s="111" t="b">
        <f t="shared" si="93"/>
        <v>1</v>
      </c>
      <c r="AF341" s="111" t="b">
        <f t="shared" si="93"/>
        <v>1</v>
      </c>
      <c r="AG341" s="111" t="b">
        <f t="shared" si="93"/>
        <v>1</v>
      </c>
      <c r="AH341" s="111" t="b">
        <f t="shared" si="93"/>
        <v>1</v>
      </c>
      <c r="AI341" s="111" t="b">
        <f t="shared" si="93"/>
        <v>1</v>
      </c>
      <c r="AJ341" s="111" t="b">
        <f t="shared" si="93"/>
        <v>1</v>
      </c>
      <c r="AK341" s="111" t="b">
        <f t="shared" si="93"/>
        <v>1</v>
      </c>
      <c r="AL341" s="111" t="b">
        <f t="shared" si="93"/>
        <v>1</v>
      </c>
      <c r="AM341" s="111" t="b">
        <f t="shared" si="93"/>
        <v>1</v>
      </c>
      <c r="AN341" s="111" t="b">
        <f t="shared" si="93"/>
        <v>1</v>
      </c>
      <c r="AO341" s="111" t="b">
        <f t="shared" si="93"/>
        <v>1</v>
      </c>
    </row>
    <row r="342" spans="3:43" x14ac:dyDescent="0.25">
      <c r="C342" s="82"/>
      <c r="F342" s="93" t="s">
        <v>1164</v>
      </c>
      <c r="G342" s="93" t="s">
        <v>1024</v>
      </c>
      <c r="H342" s="93"/>
      <c r="I342" s="93"/>
      <c r="J342" s="145" t="b">
        <f t="shared" ref="J342:AO342" si="94">IF(J$32, -J265+J$337&gt;=0, TRUE)</f>
        <v>1</v>
      </c>
      <c r="K342" s="145" t="b">
        <f t="shared" si="94"/>
        <v>1</v>
      </c>
      <c r="L342" s="145" t="b">
        <f t="shared" si="94"/>
        <v>1</v>
      </c>
      <c r="M342" s="145" t="b">
        <f t="shared" si="94"/>
        <v>1</v>
      </c>
      <c r="N342" s="145" t="b">
        <f t="shared" si="94"/>
        <v>1</v>
      </c>
      <c r="O342" s="145" t="b">
        <f t="shared" si="94"/>
        <v>1</v>
      </c>
      <c r="P342" s="145" t="b">
        <f t="shared" si="94"/>
        <v>1</v>
      </c>
      <c r="Q342" s="145" t="b">
        <f t="shared" si="94"/>
        <v>1</v>
      </c>
      <c r="R342" s="145" t="b">
        <f t="shared" si="94"/>
        <v>1</v>
      </c>
      <c r="S342" s="145" t="b">
        <f t="shared" si="94"/>
        <v>1</v>
      </c>
      <c r="T342" s="145" t="b">
        <f t="shared" si="94"/>
        <v>1</v>
      </c>
      <c r="U342" s="145" t="b">
        <f t="shared" si="94"/>
        <v>1</v>
      </c>
      <c r="V342" s="145" t="b">
        <f t="shared" si="94"/>
        <v>1</v>
      </c>
      <c r="W342" s="145" t="b">
        <f t="shared" si="94"/>
        <v>1</v>
      </c>
      <c r="X342" s="145" t="b">
        <f t="shared" si="94"/>
        <v>1</v>
      </c>
      <c r="Y342" s="145" t="b">
        <f t="shared" si="94"/>
        <v>1</v>
      </c>
      <c r="Z342" s="145" t="b">
        <f t="shared" si="94"/>
        <v>1</v>
      </c>
      <c r="AA342" s="145" t="b">
        <f t="shared" si="94"/>
        <v>1</v>
      </c>
      <c r="AB342" s="145" t="b">
        <f t="shared" si="94"/>
        <v>1</v>
      </c>
      <c r="AC342" s="145" t="b">
        <f t="shared" si="94"/>
        <v>1</v>
      </c>
      <c r="AD342" s="145" t="b">
        <f t="shared" si="94"/>
        <v>1</v>
      </c>
      <c r="AE342" s="145" t="b">
        <f t="shared" si="94"/>
        <v>1</v>
      </c>
      <c r="AF342" s="145" t="b">
        <f t="shared" si="94"/>
        <v>1</v>
      </c>
      <c r="AG342" s="145" t="b">
        <f t="shared" si="94"/>
        <v>1</v>
      </c>
      <c r="AH342" s="145" t="b">
        <f t="shared" si="94"/>
        <v>1</v>
      </c>
      <c r="AI342" s="145" t="b">
        <f t="shared" si="94"/>
        <v>1</v>
      </c>
      <c r="AJ342" s="145" t="b">
        <f t="shared" si="94"/>
        <v>1</v>
      </c>
      <c r="AK342" s="145" t="b">
        <f t="shared" si="94"/>
        <v>1</v>
      </c>
      <c r="AL342" s="145" t="b">
        <f t="shared" si="94"/>
        <v>1</v>
      </c>
      <c r="AM342" s="145" t="b">
        <f t="shared" si="94"/>
        <v>1</v>
      </c>
      <c r="AN342" s="145" t="b">
        <f t="shared" si="94"/>
        <v>1</v>
      </c>
      <c r="AO342" s="145" t="b">
        <f t="shared" si="94"/>
        <v>1</v>
      </c>
    </row>
    <row r="343" spans="3:43" x14ac:dyDescent="0.25">
      <c r="C343" s="82"/>
      <c r="J343" s="111"/>
      <c r="K343" s="111"/>
      <c r="L343" s="111"/>
      <c r="M343" s="111"/>
      <c r="N343" s="111"/>
      <c r="O343" s="111"/>
      <c r="P343" s="111"/>
      <c r="Q343" s="111"/>
      <c r="R343" s="111"/>
      <c r="S343" s="111"/>
      <c r="T343" s="111"/>
      <c r="U343" s="111"/>
      <c r="V343" s="111"/>
      <c r="W343" s="111"/>
      <c r="X343" s="111"/>
      <c r="Y343" s="111"/>
      <c r="Z343" s="111"/>
      <c r="AA343" s="111"/>
      <c r="AB343" s="111"/>
      <c r="AC343" s="111"/>
      <c r="AD343" s="111"/>
      <c r="AE343" s="111"/>
      <c r="AF343" s="111"/>
      <c r="AG343" s="111"/>
      <c r="AH343" s="111"/>
      <c r="AI343" s="111"/>
      <c r="AJ343" s="111"/>
      <c r="AK343" s="111"/>
      <c r="AL343" s="111"/>
      <c r="AM343" s="111"/>
      <c r="AN343" s="111"/>
      <c r="AO343" s="111"/>
    </row>
    <row r="344" spans="3:43" x14ac:dyDescent="0.25">
      <c r="C344" s="82"/>
      <c r="E344" s="293" t="s">
        <v>1193</v>
      </c>
      <c r="G344" s="293" t="s">
        <v>1024</v>
      </c>
      <c r="J344" s="111" t="b">
        <f>COUNTIF(J341:J342, TRUE) = 2</f>
        <v>1</v>
      </c>
      <c r="K344" s="111" t="b">
        <f t="shared" ref="K344:AO344" si="95">COUNTIF(K341:K342, TRUE) = 2</f>
        <v>1</v>
      </c>
      <c r="L344" s="111" t="b">
        <f t="shared" si="95"/>
        <v>1</v>
      </c>
      <c r="M344" s="111" t="b">
        <f t="shared" si="95"/>
        <v>1</v>
      </c>
      <c r="N344" s="111" t="b">
        <f t="shared" si="95"/>
        <v>1</v>
      </c>
      <c r="O344" s="111" t="b">
        <f t="shared" si="95"/>
        <v>1</v>
      </c>
      <c r="P344" s="111" t="b">
        <f t="shared" si="95"/>
        <v>1</v>
      </c>
      <c r="Q344" s="111" t="b">
        <f t="shared" si="95"/>
        <v>1</v>
      </c>
      <c r="R344" s="111" t="b">
        <f t="shared" si="95"/>
        <v>1</v>
      </c>
      <c r="S344" s="111" t="b">
        <f t="shared" si="95"/>
        <v>1</v>
      </c>
      <c r="T344" s="111" t="b">
        <f t="shared" si="95"/>
        <v>1</v>
      </c>
      <c r="U344" s="111" t="b">
        <f t="shared" si="95"/>
        <v>1</v>
      </c>
      <c r="V344" s="111" t="b">
        <f t="shared" si="95"/>
        <v>1</v>
      </c>
      <c r="W344" s="111" t="b">
        <f t="shared" si="95"/>
        <v>1</v>
      </c>
      <c r="X344" s="111" t="b">
        <f t="shared" si="95"/>
        <v>1</v>
      </c>
      <c r="Y344" s="111" t="b">
        <f t="shared" si="95"/>
        <v>1</v>
      </c>
      <c r="Z344" s="111" t="b">
        <f t="shared" si="95"/>
        <v>1</v>
      </c>
      <c r="AA344" s="111" t="b">
        <f t="shared" si="95"/>
        <v>1</v>
      </c>
      <c r="AB344" s="111" t="b">
        <f t="shared" si="95"/>
        <v>1</v>
      </c>
      <c r="AC344" s="111" t="b">
        <f t="shared" si="95"/>
        <v>1</v>
      </c>
      <c r="AD344" s="111" t="b">
        <f t="shared" si="95"/>
        <v>1</v>
      </c>
      <c r="AE344" s="111" t="b">
        <f t="shared" si="95"/>
        <v>1</v>
      </c>
      <c r="AF344" s="111" t="b">
        <f t="shared" si="95"/>
        <v>1</v>
      </c>
      <c r="AG344" s="111" t="b">
        <f t="shared" si="95"/>
        <v>1</v>
      </c>
      <c r="AH344" s="111" t="b">
        <f t="shared" si="95"/>
        <v>1</v>
      </c>
      <c r="AI344" s="111" t="b">
        <f t="shared" si="95"/>
        <v>1</v>
      </c>
      <c r="AJ344" s="111" t="b">
        <f t="shared" si="95"/>
        <v>1</v>
      </c>
      <c r="AK344" s="111" t="b">
        <f t="shared" si="95"/>
        <v>1</v>
      </c>
      <c r="AL344" s="111" t="b">
        <f t="shared" si="95"/>
        <v>1</v>
      </c>
      <c r="AM344" s="111" t="b">
        <f t="shared" si="95"/>
        <v>1</v>
      </c>
      <c r="AN344" s="111" t="b">
        <f t="shared" si="95"/>
        <v>1</v>
      </c>
      <c r="AO344" s="111" t="b">
        <f t="shared" si="95"/>
        <v>1</v>
      </c>
    </row>
    <row r="345" spans="3:43" x14ac:dyDescent="0.25">
      <c r="C345" s="82"/>
      <c r="J345" s="111"/>
      <c r="K345" s="111"/>
      <c r="L345" s="111"/>
      <c r="M345" s="111"/>
      <c r="N345" s="111"/>
      <c r="O345" s="111"/>
      <c r="P345" s="111"/>
      <c r="Q345" s="111"/>
      <c r="R345" s="111"/>
      <c r="S345" s="111"/>
      <c r="T345" s="111"/>
      <c r="U345" s="111"/>
      <c r="V345" s="111"/>
      <c r="W345" s="111"/>
      <c r="X345" s="111"/>
      <c r="Y345" s="111"/>
      <c r="Z345" s="111"/>
      <c r="AA345" s="111"/>
      <c r="AB345" s="111"/>
      <c r="AC345" s="111"/>
      <c r="AD345" s="111"/>
      <c r="AE345" s="111"/>
      <c r="AF345" s="111"/>
      <c r="AG345" s="111"/>
      <c r="AH345" s="111"/>
      <c r="AI345" s="111"/>
      <c r="AJ345" s="111"/>
      <c r="AK345" s="111"/>
      <c r="AL345" s="111"/>
      <c r="AM345" s="111"/>
      <c r="AN345" s="111"/>
      <c r="AO345" s="111"/>
    </row>
    <row r="346" spans="3:43" x14ac:dyDescent="0.25">
      <c r="C346" s="7" t="str">
        <f ca="1">INDEX('Version control'!$H$35:$H$61,MATCH($A$1,'Version control'!$F$35:$F$61,0),1)&amp;"-M: Revenue matching for one timeband"</f>
        <v>Section 519-M: Revenue matching for one timeband</v>
      </c>
      <c r="D346" s="7"/>
      <c r="E346" s="7"/>
      <c r="F346" s="7"/>
      <c r="G346" s="7"/>
      <c r="H346" s="7"/>
      <c r="I346" s="7"/>
      <c r="J346" s="171"/>
      <c r="K346" s="171"/>
      <c r="L346" s="171"/>
      <c r="M346" s="171"/>
      <c r="N346" s="171"/>
      <c r="O346" s="171"/>
      <c r="P346" s="171"/>
      <c r="Q346" s="171"/>
      <c r="R346" s="171"/>
      <c r="S346" s="171"/>
      <c r="T346" s="171"/>
      <c r="U346" s="171"/>
      <c r="V346" s="171"/>
      <c r="W346" s="171"/>
      <c r="X346" s="171"/>
      <c r="Y346" s="171"/>
      <c r="Z346" s="171"/>
      <c r="AA346" s="171"/>
      <c r="AB346" s="171"/>
      <c r="AC346" s="171"/>
      <c r="AD346" s="171"/>
      <c r="AE346" s="171"/>
      <c r="AF346" s="171"/>
      <c r="AG346" s="171"/>
      <c r="AH346" s="171"/>
      <c r="AI346" s="171"/>
      <c r="AJ346" s="171"/>
      <c r="AK346" s="171"/>
      <c r="AL346" s="171"/>
      <c r="AM346" s="171"/>
      <c r="AN346" s="171"/>
      <c r="AO346" s="171"/>
      <c r="AP346" s="7"/>
      <c r="AQ346" s="7"/>
    </row>
    <row r="347" spans="3:43" x14ac:dyDescent="0.25">
      <c r="C347" s="82"/>
      <c r="E347" s="96"/>
      <c r="J347" s="111"/>
      <c r="K347" s="111"/>
      <c r="L347" s="111"/>
      <c r="M347" s="111"/>
      <c r="N347" s="111"/>
      <c r="O347" s="111"/>
      <c r="P347" s="111"/>
      <c r="Q347" s="111"/>
      <c r="R347" s="111"/>
      <c r="S347" s="111"/>
      <c r="T347" s="111"/>
      <c r="U347" s="111"/>
      <c r="V347" s="111"/>
      <c r="W347" s="111"/>
      <c r="X347" s="111"/>
      <c r="Y347" s="111"/>
      <c r="Z347" s="111"/>
      <c r="AA347" s="111"/>
      <c r="AB347" s="111"/>
      <c r="AC347" s="111"/>
      <c r="AD347" s="111"/>
      <c r="AE347" s="111"/>
      <c r="AF347" s="111"/>
      <c r="AG347" s="111"/>
      <c r="AH347" s="111"/>
      <c r="AI347" s="111"/>
      <c r="AJ347" s="111"/>
      <c r="AK347" s="111"/>
      <c r="AL347" s="111"/>
      <c r="AM347" s="111"/>
      <c r="AN347" s="111"/>
      <c r="AO347" s="111"/>
    </row>
    <row r="348" spans="3:43" x14ac:dyDescent="0.25">
      <c r="C348" s="82"/>
      <c r="D348" s="82" t="s">
        <v>1241</v>
      </c>
      <c r="E348" s="96"/>
      <c r="I348" s="293" t="s">
        <v>359</v>
      </c>
      <c r="J348" s="111"/>
      <c r="K348" s="111"/>
      <c r="L348" s="111"/>
      <c r="M348" s="111"/>
      <c r="N348" s="111"/>
      <c r="O348" s="111"/>
      <c r="P348" s="111"/>
      <c r="Q348" s="111"/>
      <c r="R348" s="111"/>
      <c r="S348" s="111"/>
      <c r="T348" s="111"/>
      <c r="U348" s="111"/>
      <c r="V348" s="111"/>
      <c r="W348" s="111"/>
      <c r="X348" s="111"/>
      <c r="Y348" s="111"/>
      <c r="Z348" s="111"/>
      <c r="AA348" s="111"/>
      <c r="AB348" s="111"/>
      <c r="AC348" s="111"/>
      <c r="AD348" s="111"/>
      <c r="AE348" s="111"/>
      <c r="AF348" s="111"/>
      <c r="AG348" s="111"/>
      <c r="AH348" s="111"/>
      <c r="AI348" s="111"/>
      <c r="AJ348" s="111"/>
      <c r="AK348" s="111"/>
      <c r="AL348" s="111"/>
      <c r="AM348" s="111"/>
      <c r="AN348" s="111"/>
      <c r="AO348" s="111"/>
      <c r="AQ348" s="293" t="s">
        <v>744</v>
      </c>
    </row>
    <row r="349" spans="3:43" x14ac:dyDescent="0.25">
      <c r="C349" s="82"/>
      <c r="D349" s="82" t="s">
        <v>1194</v>
      </c>
      <c r="E349" s="96"/>
      <c r="J349" s="111"/>
      <c r="K349" s="111"/>
      <c r="L349" s="111"/>
      <c r="M349" s="111"/>
      <c r="N349" s="111"/>
      <c r="O349" s="111"/>
      <c r="P349" s="111"/>
      <c r="Q349" s="111"/>
      <c r="R349" s="111"/>
      <c r="S349" s="111"/>
      <c r="T349" s="111"/>
      <c r="U349" s="111"/>
      <c r="V349" s="111"/>
      <c r="W349" s="111"/>
      <c r="X349" s="111"/>
      <c r="Y349" s="111"/>
      <c r="Z349" s="111"/>
      <c r="AA349" s="111"/>
      <c r="AB349" s="111"/>
      <c r="AC349" s="111"/>
      <c r="AD349" s="111"/>
      <c r="AE349" s="111"/>
      <c r="AF349" s="111"/>
      <c r="AG349" s="111"/>
      <c r="AH349" s="111"/>
      <c r="AI349" s="111"/>
      <c r="AJ349" s="111"/>
      <c r="AK349" s="111"/>
      <c r="AL349" s="111"/>
      <c r="AM349" s="111"/>
      <c r="AN349" s="111"/>
      <c r="AO349" s="111"/>
    </row>
    <row r="350" spans="3:43" x14ac:dyDescent="0.25">
      <c r="C350" s="82"/>
      <c r="D350" s="82" t="s">
        <v>1185</v>
      </c>
      <c r="E350" s="96"/>
      <c r="J350" s="111"/>
      <c r="K350" s="111"/>
      <c r="L350" s="111"/>
      <c r="M350" s="111"/>
      <c r="N350" s="111"/>
      <c r="O350" s="111"/>
      <c r="P350" s="111"/>
      <c r="Q350" s="111"/>
      <c r="R350" s="111"/>
      <c r="S350" s="111"/>
      <c r="T350" s="111"/>
      <c r="U350" s="111"/>
      <c r="V350" s="111"/>
      <c r="W350" s="111"/>
      <c r="X350" s="111"/>
      <c r="Y350" s="111"/>
      <c r="Z350" s="111"/>
      <c r="AA350" s="111"/>
      <c r="AB350" s="111"/>
      <c r="AC350" s="111"/>
      <c r="AD350" s="111"/>
      <c r="AE350" s="111"/>
      <c r="AF350" s="111"/>
      <c r="AG350" s="111"/>
      <c r="AH350" s="111"/>
      <c r="AI350" s="111"/>
      <c r="AJ350" s="111"/>
      <c r="AK350" s="111"/>
      <c r="AL350" s="111"/>
      <c r="AM350" s="111"/>
      <c r="AN350" s="111"/>
      <c r="AO350" s="111"/>
    </row>
    <row r="351" spans="3:43" x14ac:dyDescent="0.25">
      <c r="C351" s="82"/>
      <c r="D351" s="82" t="s">
        <v>1186</v>
      </c>
      <c r="E351" s="96"/>
      <c r="J351" s="111"/>
      <c r="K351" s="111"/>
      <c r="L351" s="111"/>
      <c r="M351" s="111"/>
      <c r="N351" s="111"/>
      <c r="O351" s="111"/>
      <c r="P351" s="111"/>
      <c r="Q351" s="111"/>
      <c r="R351" s="111"/>
      <c r="S351" s="111"/>
      <c r="T351" s="111"/>
      <c r="U351" s="111"/>
      <c r="V351" s="111"/>
      <c r="W351" s="111"/>
      <c r="X351" s="111"/>
      <c r="Y351" s="111"/>
      <c r="Z351" s="111"/>
      <c r="AA351" s="111"/>
      <c r="AB351" s="111"/>
      <c r="AC351" s="111"/>
      <c r="AD351" s="111"/>
      <c r="AE351" s="111"/>
      <c r="AF351" s="111"/>
      <c r="AG351" s="111"/>
      <c r="AH351" s="111"/>
      <c r="AI351" s="111"/>
      <c r="AJ351" s="111"/>
      <c r="AK351" s="111"/>
      <c r="AL351" s="111"/>
      <c r="AM351" s="111"/>
      <c r="AN351" s="111"/>
      <c r="AO351" s="111"/>
    </row>
    <row r="352" spans="3:43" x14ac:dyDescent="0.25">
      <c r="C352" s="82"/>
      <c r="E352" s="96"/>
      <c r="J352" s="111"/>
      <c r="K352" s="111"/>
      <c r="L352" s="111"/>
      <c r="M352" s="111"/>
      <c r="N352" s="111"/>
      <c r="O352" s="111"/>
      <c r="P352" s="111"/>
      <c r="Q352" s="111"/>
      <c r="R352" s="111"/>
      <c r="S352" s="111"/>
      <c r="T352" s="111"/>
      <c r="U352" s="111"/>
      <c r="V352" s="111"/>
      <c r="W352" s="111"/>
      <c r="X352" s="111"/>
      <c r="Y352" s="111"/>
      <c r="Z352" s="111"/>
      <c r="AA352" s="111"/>
      <c r="AB352" s="111"/>
      <c r="AC352" s="111"/>
      <c r="AD352" s="111"/>
      <c r="AE352" s="111"/>
      <c r="AF352" s="111"/>
      <c r="AG352" s="111"/>
      <c r="AH352" s="111"/>
      <c r="AI352" s="111"/>
      <c r="AJ352" s="111"/>
      <c r="AK352" s="111"/>
      <c r="AL352" s="111"/>
      <c r="AM352" s="111"/>
      <c r="AN352" s="111"/>
      <c r="AO352" s="111"/>
    </row>
    <row r="353" spans="3:44" x14ac:dyDescent="0.25">
      <c r="C353" s="82"/>
      <c r="E353" s="96" t="s">
        <v>1195</v>
      </c>
      <c r="J353" s="111"/>
      <c r="K353" s="111"/>
      <c r="L353" s="111"/>
      <c r="M353" s="111"/>
      <c r="N353" s="111"/>
      <c r="O353" s="111"/>
      <c r="P353" s="111"/>
      <c r="Q353" s="111"/>
      <c r="R353" s="111"/>
      <c r="S353" s="111"/>
      <c r="T353" s="111"/>
      <c r="U353" s="111"/>
      <c r="V353" s="111"/>
      <c r="W353" s="111"/>
      <c r="X353" s="111"/>
      <c r="Y353" s="111"/>
      <c r="Z353" s="111"/>
      <c r="AA353" s="111"/>
      <c r="AB353" s="111"/>
      <c r="AC353" s="111"/>
      <c r="AD353" s="111"/>
      <c r="AE353" s="111"/>
      <c r="AF353" s="111"/>
      <c r="AG353" s="111"/>
      <c r="AH353" s="111"/>
      <c r="AI353" s="111"/>
      <c r="AJ353" s="111"/>
      <c r="AK353" s="111"/>
      <c r="AL353" s="111"/>
      <c r="AM353" s="111"/>
      <c r="AN353" s="111"/>
      <c r="AO353" s="111"/>
    </row>
    <row r="354" spans="3:44" x14ac:dyDescent="0.25">
      <c r="C354" s="82"/>
      <c r="F354" s="373" t="s">
        <v>1196</v>
      </c>
      <c r="G354" s="293" t="s">
        <v>1139</v>
      </c>
      <c r="J354" s="237">
        <f t="shared" ref="J354:AO354" si="96">SUMPRODUCT(J263:J264, J283:J284)*thousand/hundred</f>
        <v>0</v>
      </c>
      <c r="K354" s="237">
        <f t="shared" si="96"/>
        <v>0</v>
      </c>
      <c r="L354" s="237">
        <f t="shared" si="96"/>
        <v>0</v>
      </c>
      <c r="M354" s="237">
        <f t="shared" si="96"/>
        <v>0</v>
      </c>
      <c r="N354" s="237">
        <f t="shared" si="96"/>
        <v>0</v>
      </c>
      <c r="O354" s="237">
        <f t="shared" si="96"/>
        <v>0</v>
      </c>
      <c r="P354" s="237">
        <f t="shared" si="96"/>
        <v>0</v>
      </c>
      <c r="Q354" s="237">
        <f t="shared" si="96"/>
        <v>0</v>
      </c>
      <c r="R354" s="237">
        <f t="shared" si="96"/>
        <v>0</v>
      </c>
      <c r="S354" s="237">
        <f t="shared" si="96"/>
        <v>0</v>
      </c>
      <c r="T354" s="237">
        <f t="shared" si="96"/>
        <v>0</v>
      </c>
      <c r="U354" s="237">
        <f t="shared" si="96"/>
        <v>0</v>
      </c>
      <c r="V354" s="237">
        <f t="shared" si="96"/>
        <v>0</v>
      </c>
      <c r="W354" s="237">
        <f t="shared" si="96"/>
        <v>0</v>
      </c>
      <c r="X354" s="237">
        <f t="shared" si="96"/>
        <v>0</v>
      </c>
      <c r="Y354" s="237">
        <f t="shared" si="96"/>
        <v>0</v>
      </c>
      <c r="Z354" s="237">
        <f t="shared" si="96"/>
        <v>0</v>
      </c>
      <c r="AA354" s="237">
        <f t="shared" si="96"/>
        <v>0</v>
      </c>
      <c r="AB354" s="237">
        <f t="shared" si="96"/>
        <v>0</v>
      </c>
      <c r="AC354" s="237">
        <f t="shared" si="96"/>
        <v>0</v>
      </c>
      <c r="AD354" s="237">
        <f t="shared" si="96"/>
        <v>0</v>
      </c>
      <c r="AE354" s="237">
        <f t="shared" si="96"/>
        <v>0</v>
      </c>
      <c r="AF354" s="237">
        <f t="shared" si="96"/>
        <v>0</v>
      </c>
      <c r="AG354" s="237">
        <f t="shared" si="96"/>
        <v>0</v>
      </c>
      <c r="AH354" s="237">
        <f t="shared" si="96"/>
        <v>0</v>
      </c>
      <c r="AI354" s="237">
        <f t="shared" si="96"/>
        <v>0</v>
      </c>
      <c r="AJ354" s="237">
        <f t="shared" si="96"/>
        <v>0</v>
      </c>
      <c r="AK354" s="237">
        <f t="shared" si="96"/>
        <v>0</v>
      </c>
      <c r="AL354" s="237">
        <f t="shared" si="96"/>
        <v>0</v>
      </c>
      <c r="AM354" s="237">
        <f t="shared" si="96"/>
        <v>0</v>
      </c>
      <c r="AN354" s="237">
        <f t="shared" si="96"/>
        <v>0</v>
      </c>
      <c r="AO354" s="237">
        <f t="shared" si="96"/>
        <v>0</v>
      </c>
    </row>
    <row r="355" spans="3:44" x14ac:dyDescent="0.25">
      <c r="C355" s="82"/>
      <c r="F355" s="96"/>
      <c r="J355" s="111"/>
      <c r="K355" s="111"/>
      <c r="L355" s="111"/>
      <c r="M355" s="111"/>
      <c r="N355" s="111"/>
      <c r="O355" s="111"/>
      <c r="P355" s="111"/>
      <c r="Q355" s="111"/>
      <c r="R355" s="111"/>
      <c r="S355" s="111"/>
      <c r="T355" s="111"/>
      <c r="U355" s="111"/>
      <c r="V355" s="111"/>
      <c r="W355" s="111"/>
      <c r="X355" s="111"/>
      <c r="Y355" s="111"/>
      <c r="Z355" s="111"/>
      <c r="AA355" s="111"/>
      <c r="AB355" s="111"/>
      <c r="AC355" s="111"/>
      <c r="AD355" s="111"/>
      <c r="AE355" s="111"/>
      <c r="AF355" s="111"/>
      <c r="AG355" s="111"/>
      <c r="AH355" s="111"/>
      <c r="AI355" s="111"/>
      <c r="AJ355" s="111"/>
      <c r="AK355" s="111"/>
      <c r="AL355" s="111"/>
      <c r="AM355" s="111"/>
      <c r="AN355" s="111"/>
      <c r="AO355" s="111"/>
    </row>
    <row r="356" spans="3:44" x14ac:dyDescent="0.25">
      <c r="C356" s="82"/>
      <c r="F356" s="508" t="s">
        <v>1189</v>
      </c>
      <c r="G356" s="293" t="s">
        <v>1139</v>
      </c>
      <c r="J356" s="237">
        <f t="shared" ref="J356:AO356" si="97">J229 - J354</f>
        <v>0</v>
      </c>
      <c r="K356" s="237">
        <f t="shared" si="97"/>
        <v>0</v>
      </c>
      <c r="L356" s="237">
        <f t="shared" si="97"/>
        <v>0</v>
      </c>
      <c r="M356" s="237">
        <f t="shared" si="97"/>
        <v>0</v>
      </c>
      <c r="N356" s="237">
        <f t="shared" si="97"/>
        <v>0</v>
      </c>
      <c r="O356" s="237">
        <f t="shared" si="97"/>
        <v>0</v>
      </c>
      <c r="P356" s="237">
        <f t="shared" si="97"/>
        <v>0</v>
      </c>
      <c r="Q356" s="237">
        <f t="shared" si="97"/>
        <v>0</v>
      </c>
      <c r="R356" s="237">
        <f t="shared" si="97"/>
        <v>0</v>
      </c>
      <c r="S356" s="237">
        <f t="shared" si="97"/>
        <v>0</v>
      </c>
      <c r="T356" s="237">
        <f t="shared" si="97"/>
        <v>0</v>
      </c>
      <c r="U356" s="237">
        <f t="shared" si="97"/>
        <v>0</v>
      </c>
      <c r="V356" s="237">
        <f t="shared" si="97"/>
        <v>0</v>
      </c>
      <c r="W356" s="237">
        <f t="shared" si="97"/>
        <v>0</v>
      </c>
      <c r="X356" s="237">
        <f t="shared" si="97"/>
        <v>0</v>
      </c>
      <c r="Y356" s="237">
        <f t="shared" si="97"/>
        <v>0</v>
      </c>
      <c r="Z356" s="237">
        <f t="shared" si="97"/>
        <v>0</v>
      </c>
      <c r="AA356" s="237">
        <f t="shared" si="97"/>
        <v>0</v>
      </c>
      <c r="AB356" s="237">
        <f t="shared" si="97"/>
        <v>0</v>
      </c>
      <c r="AC356" s="237">
        <f t="shared" si="97"/>
        <v>0</v>
      </c>
      <c r="AD356" s="237">
        <f t="shared" si="97"/>
        <v>0</v>
      </c>
      <c r="AE356" s="237">
        <f t="shared" si="97"/>
        <v>0</v>
      </c>
      <c r="AF356" s="237">
        <f t="shared" si="97"/>
        <v>0</v>
      </c>
      <c r="AG356" s="237">
        <f t="shared" si="97"/>
        <v>0</v>
      </c>
      <c r="AH356" s="237">
        <f t="shared" si="97"/>
        <v>0</v>
      </c>
      <c r="AI356" s="237">
        <f t="shared" si="97"/>
        <v>0</v>
      </c>
      <c r="AJ356" s="237">
        <f t="shared" si="97"/>
        <v>0</v>
      </c>
      <c r="AK356" s="237">
        <f t="shared" si="97"/>
        <v>0</v>
      </c>
      <c r="AL356" s="237">
        <f t="shared" si="97"/>
        <v>0</v>
      </c>
      <c r="AM356" s="237">
        <f t="shared" si="97"/>
        <v>0</v>
      </c>
      <c r="AN356" s="237">
        <f t="shared" si="97"/>
        <v>0</v>
      </c>
      <c r="AO356" s="237">
        <f t="shared" si="97"/>
        <v>0</v>
      </c>
    </row>
    <row r="357" spans="3:44" x14ac:dyDescent="0.25">
      <c r="C357" s="82"/>
      <c r="F357" s="96"/>
      <c r="J357" s="111"/>
      <c r="K357" s="111"/>
      <c r="L357" s="111"/>
      <c r="M357" s="111"/>
      <c r="N357" s="111"/>
      <c r="O357" s="111"/>
      <c r="P357" s="111"/>
      <c r="Q357" s="111"/>
      <c r="R357" s="111"/>
      <c r="S357" s="111"/>
      <c r="T357" s="111"/>
      <c r="U357" s="111"/>
      <c r="V357" s="111"/>
      <c r="W357" s="111"/>
      <c r="X357" s="111"/>
      <c r="Y357" s="111"/>
      <c r="Z357" s="111"/>
      <c r="AA357" s="111"/>
      <c r="AB357" s="111"/>
      <c r="AC357" s="111"/>
      <c r="AD357" s="111"/>
      <c r="AE357" s="111"/>
      <c r="AF357" s="111"/>
      <c r="AG357" s="111"/>
      <c r="AH357" s="111"/>
      <c r="AI357" s="111"/>
      <c r="AJ357" s="111"/>
      <c r="AK357" s="111"/>
      <c r="AL357" s="111"/>
      <c r="AM357" s="111"/>
      <c r="AN357" s="111"/>
      <c r="AO357" s="111"/>
    </row>
    <row r="358" spans="3:44" x14ac:dyDescent="0.25">
      <c r="C358" s="82"/>
      <c r="F358" s="293" t="s">
        <v>1178</v>
      </c>
      <c r="G358" s="293" t="s">
        <v>1139</v>
      </c>
      <c r="J358" s="237">
        <f>SUMIF($J$150:$AO$150,J$150,$J356:$AO356)</f>
        <v>0</v>
      </c>
      <c r="K358" s="237">
        <f t="shared" ref="K358:AO358" si="98">SUMIF($J$150:$AO$150,K$150,$J356:$AO356)</f>
        <v>0</v>
      </c>
      <c r="L358" s="237">
        <f t="shared" si="98"/>
        <v>0</v>
      </c>
      <c r="M358" s="237">
        <f t="shared" si="98"/>
        <v>0</v>
      </c>
      <c r="N358" s="237">
        <f t="shared" si="98"/>
        <v>0</v>
      </c>
      <c r="O358" s="237">
        <f t="shared" si="98"/>
        <v>0</v>
      </c>
      <c r="P358" s="237">
        <f t="shared" si="98"/>
        <v>0</v>
      </c>
      <c r="Q358" s="237">
        <f t="shared" si="98"/>
        <v>0</v>
      </c>
      <c r="R358" s="237">
        <f t="shared" si="98"/>
        <v>0</v>
      </c>
      <c r="S358" s="237">
        <f t="shared" si="98"/>
        <v>0</v>
      </c>
      <c r="T358" s="237">
        <f t="shared" si="98"/>
        <v>0</v>
      </c>
      <c r="U358" s="237">
        <f t="shared" si="98"/>
        <v>0</v>
      </c>
      <c r="V358" s="237">
        <f t="shared" si="98"/>
        <v>0</v>
      </c>
      <c r="W358" s="237">
        <f t="shared" si="98"/>
        <v>0</v>
      </c>
      <c r="X358" s="237">
        <f t="shared" si="98"/>
        <v>0</v>
      </c>
      <c r="Y358" s="237">
        <f t="shared" si="98"/>
        <v>0</v>
      </c>
      <c r="Z358" s="237">
        <f t="shared" si="98"/>
        <v>0</v>
      </c>
      <c r="AA358" s="237">
        <f t="shared" si="98"/>
        <v>0</v>
      </c>
      <c r="AB358" s="237">
        <f t="shared" si="98"/>
        <v>0</v>
      </c>
      <c r="AC358" s="237">
        <f t="shared" si="98"/>
        <v>0</v>
      </c>
      <c r="AD358" s="237">
        <f t="shared" si="98"/>
        <v>0</v>
      </c>
      <c r="AE358" s="237">
        <f t="shared" si="98"/>
        <v>0</v>
      </c>
      <c r="AF358" s="237">
        <f t="shared" si="98"/>
        <v>0</v>
      </c>
      <c r="AG358" s="237">
        <f t="shared" si="98"/>
        <v>0</v>
      </c>
      <c r="AH358" s="237">
        <f t="shared" si="98"/>
        <v>0</v>
      </c>
      <c r="AI358" s="237">
        <f t="shared" si="98"/>
        <v>0</v>
      </c>
      <c r="AJ358" s="237">
        <f t="shared" si="98"/>
        <v>0</v>
      </c>
      <c r="AK358" s="237">
        <f t="shared" si="98"/>
        <v>0</v>
      </c>
      <c r="AL358" s="237">
        <f t="shared" si="98"/>
        <v>0</v>
      </c>
      <c r="AM358" s="237">
        <f t="shared" si="98"/>
        <v>0</v>
      </c>
      <c r="AN358" s="237">
        <f t="shared" si="98"/>
        <v>0</v>
      </c>
      <c r="AO358" s="237">
        <f t="shared" si="98"/>
        <v>0</v>
      </c>
    </row>
    <row r="359" spans="3:44" x14ac:dyDescent="0.25">
      <c r="C359" s="82"/>
      <c r="J359" s="111"/>
      <c r="K359" s="111"/>
      <c r="L359" s="111"/>
      <c r="M359" s="111"/>
      <c r="N359" s="111"/>
      <c r="O359" s="111"/>
      <c r="P359" s="111"/>
      <c r="Q359" s="111"/>
      <c r="R359" s="111"/>
      <c r="S359" s="111"/>
      <c r="T359" s="111"/>
      <c r="U359" s="111"/>
      <c r="V359" s="111"/>
      <c r="W359" s="111"/>
      <c r="X359" s="111"/>
      <c r="Y359" s="111"/>
      <c r="Z359" s="111"/>
      <c r="AA359" s="111"/>
      <c r="AB359" s="111"/>
      <c r="AC359" s="111"/>
      <c r="AD359" s="111"/>
      <c r="AE359" s="111"/>
      <c r="AF359" s="111"/>
      <c r="AG359" s="111"/>
      <c r="AH359" s="111"/>
      <c r="AI359" s="111"/>
      <c r="AJ359" s="111"/>
      <c r="AK359" s="111"/>
      <c r="AL359" s="111"/>
      <c r="AM359" s="111"/>
      <c r="AN359" s="111"/>
      <c r="AO359" s="111"/>
    </row>
    <row r="360" spans="3:44" x14ac:dyDescent="0.25">
      <c r="C360" s="82"/>
      <c r="F360" s="293" t="s">
        <v>1179</v>
      </c>
      <c r="G360" s="293" t="s">
        <v>1139</v>
      </c>
      <c r="J360" s="237">
        <f xml:space="preserve"> J358 * J$158</f>
        <v>0</v>
      </c>
      <c r="K360" s="237">
        <f t="shared" ref="K360:AO360" si="99" xml:space="preserve"> K358 * K$158</f>
        <v>0</v>
      </c>
      <c r="L360" s="237">
        <f t="shared" si="99"/>
        <v>0</v>
      </c>
      <c r="M360" s="237">
        <f t="shared" si="99"/>
        <v>0</v>
      </c>
      <c r="N360" s="237">
        <f t="shared" si="99"/>
        <v>0</v>
      </c>
      <c r="O360" s="237">
        <f t="shared" si="99"/>
        <v>0</v>
      </c>
      <c r="P360" s="237">
        <f t="shared" si="99"/>
        <v>0</v>
      </c>
      <c r="Q360" s="237">
        <f t="shared" si="99"/>
        <v>0</v>
      </c>
      <c r="R360" s="237">
        <f t="shared" si="99"/>
        <v>0</v>
      </c>
      <c r="S360" s="237">
        <f t="shared" si="99"/>
        <v>0</v>
      </c>
      <c r="T360" s="237">
        <f t="shared" si="99"/>
        <v>0</v>
      </c>
      <c r="U360" s="237">
        <f t="shared" si="99"/>
        <v>0</v>
      </c>
      <c r="V360" s="237">
        <f t="shared" si="99"/>
        <v>0</v>
      </c>
      <c r="W360" s="237">
        <f t="shared" si="99"/>
        <v>0</v>
      </c>
      <c r="X360" s="237">
        <f t="shared" si="99"/>
        <v>0</v>
      </c>
      <c r="Y360" s="237">
        <f t="shared" si="99"/>
        <v>0</v>
      </c>
      <c r="Z360" s="237">
        <f t="shared" si="99"/>
        <v>0</v>
      </c>
      <c r="AA360" s="237">
        <f t="shared" si="99"/>
        <v>0</v>
      </c>
      <c r="AB360" s="237">
        <f t="shared" si="99"/>
        <v>0</v>
      </c>
      <c r="AC360" s="237">
        <f t="shared" si="99"/>
        <v>0</v>
      </c>
      <c r="AD360" s="237">
        <f t="shared" si="99"/>
        <v>0</v>
      </c>
      <c r="AE360" s="237">
        <f t="shared" si="99"/>
        <v>0</v>
      </c>
      <c r="AF360" s="237">
        <f t="shared" si="99"/>
        <v>0</v>
      </c>
      <c r="AG360" s="237">
        <f t="shared" si="99"/>
        <v>0</v>
      </c>
      <c r="AH360" s="237">
        <f t="shared" si="99"/>
        <v>0</v>
      </c>
      <c r="AI360" s="237">
        <f t="shared" si="99"/>
        <v>0</v>
      </c>
      <c r="AJ360" s="237">
        <f t="shared" si="99"/>
        <v>0</v>
      </c>
      <c r="AK360" s="237">
        <f t="shared" si="99"/>
        <v>0</v>
      </c>
      <c r="AL360" s="237">
        <f t="shared" si="99"/>
        <v>0</v>
      </c>
      <c r="AM360" s="237">
        <f t="shared" si="99"/>
        <v>0</v>
      </c>
      <c r="AN360" s="237">
        <f t="shared" si="99"/>
        <v>0</v>
      </c>
      <c r="AO360" s="237">
        <f t="shared" si="99"/>
        <v>0</v>
      </c>
    </row>
    <row r="361" spans="3:44" x14ac:dyDescent="0.25">
      <c r="C361" s="82"/>
      <c r="F361" s="98"/>
      <c r="J361" s="111"/>
      <c r="K361" s="111"/>
      <c r="L361" s="111"/>
      <c r="M361" s="111"/>
      <c r="N361" s="111"/>
      <c r="O361" s="111"/>
      <c r="P361" s="111"/>
      <c r="Q361" s="111"/>
      <c r="R361" s="111"/>
      <c r="S361" s="111"/>
      <c r="T361" s="111"/>
      <c r="U361" s="111"/>
      <c r="V361" s="111"/>
      <c r="W361" s="111"/>
      <c r="X361" s="111"/>
      <c r="Y361" s="111"/>
      <c r="Z361" s="111"/>
      <c r="AA361" s="111"/>
      <c r="AB361" s="111"/>
      <c r="AC361" s="111"/>
      <c r="AD361" s="111"/>
      <c r="AE361" s="111"/>
      <c r="AF361" s="111"/>
      <c r="AG361" s="111"/>
      <c r="AH361" s="111"/>
      <c r="AI361" s="111"/>
      <c r="AJ361" s="111"/>
      <c r="AK361" s="111"/>
      <c r="AL361" s="111"/>
      <c r="AM361" s="111"/>
      <c r="AN361" s="111"/>
      <c r="AO361" s="111"/>
    </row>
    <row r="362" spans="3:44" x14ac:dyDescent="0.25">
      <c r="C362" s="82"/>
      <c r="E362" s="96" t="s">
        <v>1130</v>
      </c>
      <c r="F362" s="98"/>
      <c r="J362" s="111"/>
      <c r="K362" s="111"/>
      <c r="L362" s="111"/>
      <c r="M362" s="111"/>
      <c r="N362" s="111"/>
      <c r="O362" s="111"/>
      <c r="P362" s="111"/>
      <c r="Q362" s="111"/>
      <c r="R362" s="111"/>
      <c r="S362" s="111"/>
      <c r="T362" s="111"/>
      <c r="U362" s="111"/>
      <c r="V362" s="111"/>
      <c r="W362" s="111"/>
      <c r="X362" s="111"/>
      <c r="Y362" s="111"/>
      <c r="Z362" s="111"/>
      <c r="AA362" s="111"/>
      <c r="AB362" s="111"/>
      <c r="AC362" s="111"/>
      <c r="AD362" s="111"/>
      <c r="AE362" s="111"/>
      <c r="AF362" s="111"/>
      <c r="AG362" s="111"/>
      <c r="AH362" s="111"/>
      <c r="AI362" s="111"/>
      <c r="AJ362" s="111"/>
      <c r="AK362" s="111"/>
      <c r="AL362" s="111"/>
      <c r="AM362" s="111"/>
      <c r="AN362" s="111"/>
      <c r="AO362" s="111"/>
    </row>
    <row r="363" spans="3:44" x14ac:dyDescent="0.25">
      <c r="C363" s="82"/>
      <c r="F363" s="505" t="s">
        <v>1190</v>
      </c>
      <c r="G363" s="293" t="s">
        <v>120</v>
      </c>
      <c r="J363" s="237">
        <f t="shared" ref="J363:AO363" si="100">J285</f>
        <v>0</v>
      </c>
      <c r="K363" s="237">
        <f t="shared" si="100"/>
        <v>0</v>
      </c>
      <c r="L363" s="237">
        <f t="shared" si="100"/>
        <v>0</v>
      </c>
      <c r="M363" s="237">
        <f t="shared" si="100"/>
        <v>0</v>
      </c>
      <c r="N363" s="237">
        <f t="shared" si="100"/>
        <v>0</v>
      </c>
      <c r="O363" s="237">
        <f t="shared" si="100"/>
        <v>0</v>
      </c>
      <c r="P363" s="237">
        <f t="shared" si="100"/>
        <v>0</v>
      </c>
      <c r="Q363" s="237">
        <f t="shared" si="100"/>
        <v>0</v>
      </c>
      <c r="R363" s="237">
        <f t="shared" si="100"/>
        <v>0</v>
      </c>
      <c r="S363" s="237">
        <f t="shared" si="100"/>
        <v>0</v>
      </c>
      <c r="T363" s="237">
        <f t="shared" si="100"/>
        <v>0</v>
      </c>
      <c r="U363" s="237">
        <f t="shared" si="100"/>
        <v>0</v>
      </c>
      <c r="V363" s="237">
        <f t="shared" si="100"/>
        <v>0</v>
      </c>
      <c r="W363" s="237">
        <f t="shared" si="100"/>
        <v>0</v>
      </c>
      <c r="X363" s="237">
        <f t="shared" si="100"/>
        <v>0</v>
      </c>
      <c r="Y363" s="237">
        <f t="shared" si="100"/>
        <v>0</v>
      </c>
      <c r="Z363" s="237">
        <f t="shared" si="100"/>
        <v>0</v>
      </c>
      <c r="AA363" s="237">
        <f t="shared" si="100"/>
        <v>0</v>
      </c>
      <c r="AB363" s="237">
        <f t="shared" si="100"/>
        <v>0</v>
      </c>
      <c r="AC363" s="237">
        <f t="shared" si="100"/>
        <v>0</v>
      </c>
      <c r="AD363" s="237">
        <f t="shared" si="100"/>
        <v>0</v>
      </c>
      <c r="AE363" s="237">
        <f t="shared" si="100"/>
        <v>0</v>
      </c>
      <c r="AF363" s="237">
        <f t="shared" si="100"/>
        <v>0</v>
      </c>
      <c r="AG363" s="237">
        <f t="shared" si="100"/>
        <v>0</v>
      </c>
      <c r="AH363" s="237">
        <f t="shared" si="100"/>
        <v>0</v>
      </c>
      <c r="AI363" s="237">
        <f t="shared" si="100"/>
        <v>0</v>
      </c>
      <c r="AJ363" s="237">
        <f t="shared" si="100"/>
        <v>0</v>
      </c>
      <c r="AK363" s="237">
        <f t="shared" si="100"/>
        <v>0</v>
      </c>
      <c r="AL363" s="237">
        <f t="shared" si="100"/>
        <v>0</v>
      </c>
      <c r="AM363" s="237">
        <f t="shared" si="100"/>
        <v>0</v>
      </c>
      <c r="AN363" s="237">
        <f t="shared" si="100"/>
        <v>0</v>
      </c>
      <c r="AO363" s="237">
        <f t="shared" si="100"/>
        <v>0</v>
      </c>
    </row>
    <row r="364" spans="3:44" x14ac:dyDescent="0.25">
      <c r="C364" s="82"/>
      <c r="F364" s="98"/>
      <c r="J364" s="111"/>
      <c r="K364" s="111"/>
      <c r="L364" s="111"/>
      <c r="M364" s="111"/>
      <c r="N364" s="111"/>
      <c r="O364" s="111"/>
      <c r="P364" s="111"/>
      <c r="Q364" s="111"/>
      <c r="R364" s="111"/>
      <c r="S364" s="111"/>
      <c r="T364" s="111"/>
      <c r="U364" s="111"/>
      <c r="V364" s="111"/>
      <c r="W364" s="111"/>
      <c r="X364" s="111"/>
      <c r="Y364" s="111"/>
      <c r="Z364" s="111"/>
      <c r="AA364" s="111"/>
      <c r="AB364" s="111"/>
      <c r="AC364" s="111"/>
      <c r="AD364" s="111"/>
      <c r="AE364" s="111"/>
      <c r="AF364" s="111"/>
      <c r="AG364" s="111"/>
      <c r="AH364" s="111"/>
      <c r="AI364" s="111"/>
      <c r="AJ364" s="111"/>
      <c r="AK364" s="111"/>
      <c r="AL364" s="111"/>
      <c r="AM364" s="111"/>
      <c r="AN364" s="111"/>
      <c r="AO364" s="111"/>
    </row>
    <row r="365" spans="3:44" x14ac:dyDescent="0.25">
      <c r="C365" s="82"/>
      <c r="F365" s="293" t="s">
        <v>1134</v>
      </c>
      <c r="G365" s="293" t="s">
        <v>120</v>
      </c>
      <c r="J365" s="237">
        <f>SUMIF($J$150:$AO$150,J$150,$J363:$AO363)</f>
        <v>0</v>
      </c>
      <c r="K365" s="237">
        <f t="shared" ref="K365:AO365" si="101">SUMIF($J$150:$AO$150,K$150,$J363:$AO363)</f>
        <v>0</v>
      </c>
      <c r="L365" s="237">
        <f t="shared" si="101"/>
        <v>0</v>
      </c>
      <c r="M365" s="237">
        <f t="shared" si="101"/>
        <v>0</v>
      </c>
      <c r="N365" s="237">
        <f t="shared" si="101"/>
        <v>0</v>
      </c>
      <c r="O365" s="237">
        <f t="shared" si="101"/>
        <v>0</v>
      </c>
      <c r="P365" s="237">
        <f t="shared" si="101"/>
        <v>0</v>
      </c>
      <c r="Q365" s="237">
        <f t="shared" si="101"/>
        <v>0</v>
      </c>
      <c r="R365" s="237">
        <f t="shared" si="101"/>
        <v>0</v>
      </c>
      <c r="S365" s="237">
        <f t="shared" si="101"/>
        <v>0</v>
      </c>
      <c r="T365" s="237">
        <f t="shared" si="101"/>
        <v>0</v>
      </c>
      <c r="U365" s="237">
        <f t="shared" si="101"/>
        <v>0</v>
      </c>
      <c r="V365" s="237">
        <f t="shared" si="101"/>
        <v>0</v>
      </c>
      <c r="W365" s="237">
        <f t="shared" si="101"/>
        <v>0</v>
      </c>
      <c r="X365" s="237">
        <f t="shared" si="101"/>
        <v>0</v>
      </c>
      <c r="Y365" s="237">
        <f t="shared" si="101"/>
        <v>0</v>
      </c>
      <c r="Z365" s="237">
        <f t="shared" si="101"/>
        <v>0</v>
      </c>
      <c r="AA365" s="237">
        <f t="shared" si="101"/>
        <v>0</v>
      </c>
      <c r="AB365" s="237">
        <f t="shared" si="101"/>
        <v>0</v>
      </c>
      <c r="AC365" s="237">
        <f t="shared" si="101"/>
        <v>0</v>
      </c>
      <c r="AD365" s="237">
        <f t="shared" si="101"/>
        <v>0</v>
      </c>
      <c r="AE365" s="237">
        <f t="shared" si="101"/>
        <v>0</v>
      </c>
      <c r="AF365" s="237">
        <f t="shared" si="101"/>
        <v>0</v>
      </c>
      <c r="AG365" s="237">
        <f t="shared" si="101"/>
        <v>0</v>
      </c>
      <c r="AH365" s="237">
        <f t="shared" si="101"/>
        <v>0</v>
      </c>
      <c r="AI365" s="237">
        <f t="shared" si="101"/>
        <v>0</v>
      </c>
      <c r="AJ365" s="237">
        <f t="shared" si="101"/>
        <v>0</v>
      </c>
      <c r="AK365" s="237">
        <f t="shared" si="101"/>
        <v>0</v>
      </c>
      <c r="AL365" s="237">
        <f t="shared" si="101"/>
        <v>0</v>
      </c>
      <c r="AM365" s="237">
        <f t="shared" si="101"/>
        <v>0</v>
      </c>
      <c r="AN365" s="237">
        <f t="shared" si="101"/>
        <v>0</v>
      </c>
      <c r="AO365" s="237">
        <f t="shared" si="101"/>
        <v>0</v>
      </c>
    </row>
    <row r="366" spans="3:44" x14ac:dyDescent="0.25">
      <c r="C366" s="82"/>
      <c r="J366" s="111"/>
      <c r="K366" s="111"/>
      <c r="L366" s="111"/>
      <c r="M366" s="111"/>
      <c r="N366" s="111"/>
      <c r="O366" s="111"/>
      <c r="P366" s="111"/>
      <c r="Q366" s="111"/>
      <c r="R366" s="111"/>
      <c r="S366" s="111"/>
      <c r="T366" s="111"/>
      <c r="U366" s="111"/>
      <c r="V366" s="111"/>
      <c r="W366" s="111"/>
      <c r="X366" s="111"/>
      <c r="Y366" s="111"/>
      <c r="Z366" s="111"/>
      <c r="AA366" s="111"/>
      <c r="AB366" s="111"/>
      <c r="AC366" s="111"/>
      <c r="AD366" s="111"/>
      <c r="AE366" s="111"/>
      <c r="AF366" s="111"/>
      <c r="AG366" s="111"/>
      <c r="AH366" s="111"/>
      <c r="AI366" s="111"/>
      <c r="AJ366" s="111"/>
      <c r="AK366" s="111"/>
      <c r="AL366" s="111"/>
      <c r="AM366" s="111"/>
      <c r="AN366" s="111"/>
      <c r="AO366" s="111"/>
    </row>
    <row r="367" spans="3:44" x14ac:dyDescent="0.25">
      <c r="C367" s="82"/>
      <c r="F367" s="293" t="s">
        <v>1135</v>
      </c>
      <c r="G367" s="293" t="s">
        <v>120</v>
      </c>
      <c r="J367" s="237">
        <f xml:space="preserve"> J365 * J$158</f>
        <v>0</v>
      </c>
      <c r="K367" s="237">
        <f t="shared" ref="K367:AO367" si="102" xml:space="preserve"> K365 * K$158</f>
        <v>0</v>
      </c>
      <c r="L367" s="237">
        <f t="shared" si="102"/>
        <v>0</v>
      </c>
      <c r="M367" s="237">
        <f t="shared" si="102"/>
        <v>0</v>
      </c>
      <c r="N367" s="237">
        <f t="shared" si="102"/>
        <v>0</v>
      </c>
      <c r="O367" s="237">
        <f t="shared" si="102"/>
        <v>0</v>
      </c>
      <c r="P367" s="237">
        <f t="shared" si="102"/>
        <v>0</v>
      </c>
      <c r="Q367" s="237">
        <f t="shared" si="102"/>
        <v>0</v>
      </c>
      <c r="R367" s="237">
        <f t="shared" si="102"/>
        <v>0</v>
      </c>
      <c r="S367" s="237">
        <f t="shared" si="102"/>
        <v>0</v>
      </c>
      <c r="T367" s="237">
        <f t="shared" si="102"/>
        <v>0</v>
      </c>
      <c r="U367" s="237">
        <f t="shared" si="102"/>
        <v>0</v>
      </c>
      <c r="V367" s="237">
        <f t="shared" si="102"/>
        <v>0</v>
      </c>
      <c r="W367" s="237">
        <f t="shared" si="102"/>
        <v>0</v>
      </c>
      <c r="X367" s="237">
        <f t="shared" si="102"/>
        <v>0</v>
      </c>
      <c r="Y367" s="237">
        <f t="shared" si="102"/>
        <v>0</v>
      </c>
      <c r="Z367" s="237">
        <f t="shared" si="102"/>
        <v>0</v>
      </c>
      <c r="AA367" s="237">
        <f t="shared" si="102"/>
        <v>0</v>
      </c>
      <c r="AB367" s="237">
        <f t="shared" si="102"/>
        <v>0</v>
      </c>
      <c r="AC367" s="237">
        <f t="shared" si="102"/>
        <v>0</v>
      </c>
      <c r="AD367" s="237">
        <f t="shared" si="102"/>
        <v>0</v>
      </c>
      <c r="AE367" s="237">
        <f t="shared" si="102"/>
        <v>0</v>
      </c>
      <c r="AF367" s="237">
        <f t="shared" si="102"/>
        <v>0</v>
      </c>
      <c r="AG367" s="237">
        <f t="shared" si="102"/>
        <v>0</v>
      </c>
      <c r="AH367" s="237">
        <f t="shared" si="102"/>
        <v>0</v>
      </c>
      <c r="AI367" s="237">
        <f t="shared" si="102"/>
        <v>0</v>
      </c>
      <c r="AJ367" s="237">
        <f t="shared" si="102"/>
        <v>0</v>
      </c>
      <c r="AK367" s="237">
        <f t="shared" si="102"/>
        <v>0</v>
      </c>
      <c r="AL367" s="237">
        <f t="shared" si="102"/>
        <v>0</v>
      </c>
      <c r="AM367" s="237">
        <f t="shared" si="102"/>
        <v>0</v>
      </c>
      <c r="AN367" s="237">
        <f t="shared" si="102"/>
        <v>0</v>
      </c>
      <c r="AO367" s="237">
        <f t="shared" si="102"/>
        <v>0</v>
      </c>
      <c r="AP367" s="111"/>
      <c r="AQ367" s="111"/>
      <c r="AR367" s="111"/>
    </row>
    <row r="368" spans="3:44" x14ac:dyDescent="0.25">
      <c r="C368" s="82"/>
      <c r="J368" s="111"/>
      <c r="K368" s="111"/>
      <c r="L368" s="111"/>
      <c r="M368" s="111"/>
      <c r="N368" s="111"/>
      <c r="O368" s="111"/>
      <c r="P368" s="111"/>
      <c r="Q368" s="111"/>
      <c r="R368" s="111"/>
      <c r="S368" s="111"/>
      <c r="T368" s="111"/>
      <c r="U368" s="111"/>
      <c r="V368" s="111"/>
      <c r="W368" s="111"/>
      <c r="X368" s="111"/>
      <c r="Y368" s="111"/>
      <c r="Z368" s="111"/>
      <c r="AA368" s="111"/>
      <c r="AB368" s="111"/>
      <c r="AC368" s="111"/>
      <c r="AD368" s="111"/>
      <c r="AE368" s="111"/>
      <c r="AF368" s="111"/>
      <c r="AG368" s="111"/>
      <c r="AH368" s="111"/>
      <c r="AI368" s="111"/>
      <c r="AJ368" s="111"/>
      <c r="AK368" s="111"/>
      <c r="AL368" s="111"/>
      <c r="AM368" s="111"/>
      <c r="AN368" s="111"/>
      <c r="AO368" s="111"/>
    </row>
    <row r="369" spans="3:43" x14ac:dyDescent="0.25">
      <c r="C369" s="82"/>
      <c r="E369" s="14" t="s">
        <v>1197</v>
      </c>
      <c r="G369" s="293" t="s">
        <v>183</v>
      </c>
      <c r="J369" s="441">
        <f t="shared" ref="J369:AO369" si="103">IF( J367&lt;&gt;0, J360/J367, 0)*hundred/thousand</f>
        <v>0</v>
      </c>
      <c r="K369" s="441">
        <f t="shared" si="103"/>
        <v>0</v>
      </c>
      <c r="L369" s="441">
        <f t="shared" si="103"/>
        <v>0</v>
      </c>
      <c r="M369" s="441">
        <f t="shared" si="103"/>
        <v>0</v>
      </c>
      <c r="N369" s="441">
        <f t="shared" si="103"/>
        <v>0</v>
      </c>
      <c r="O369" s="441">
        <f t="shared" si="103"/>
        <v>0</v>
      </c>
      <c r="P369" s="441">
        <f t="shared" si="103"/>
        <v>0</v>
      </c>
      <c r="Q369" s="441">
        <f t="shared" si="103"/>
        <v>0</v>
      </c>
      <c r="R369" s="441">
        <f t="shared" si="103"/>
        <v>0</v>
      </c>
      <c r="S369" s="441">
        <f t="shared" si="103"/>
        <v>0</v>
      </c>
      <c r="T369" s="441">
        <f t="shared" si="103"/>
        <v>0</v>
      </c>
      <c r="U369" s="441">
        <f t="shared" si="103"/>
        <v>0</v>
      </c>
      <c r="V369" s="441">
        <f t="shared" si="103"/>
        <v>0</v>
      </c>
      <c r="W369" s="441">
        <f t="shared" si="103"/>
        <v>0</v>
      </c>
      <c r="X369" s="441">
        <f t="shared" si="103"/>
        <v>0</v>
      </c>
      <c r="Y369" s="441">
        <f t="shared" si="103"/>
        <v>0</v>
      </c>
      <c r="Z369" s="441">
        <f t="shared" si="103"/>
        <v>0</v>
      </c>
      <c r="AA369" s="441">
        <f t="shared" si="103"/>
        <v>0</v>
      </c>
      <c r="AB369" s="441">
        <f t="shared" si="103"/>
        <v>0</v>
      </c>
      <c r="AC369" s="441">
        <f t="shared" si="103"/>
        <v>0</v>
      </c>
      <c r="AD369" s="441">
        <f t="shared" si="103"/>
        <v>0</v>
      </c>
      <c r="AE369" s="441">
        <f t="shared" si="103"/>
        <v>0</v>
      </c>
      <c r="AF369" s="441">
        <f t="shared" si="103"/>
        <v>0</v>
      </c>
      <c r="AG369" s="441">
        <f t="shared" si="103"/>
        <v>0</v>
      </c>
      <c r="AH369" s="441">
        <f t="shared" si="103"/>
        <v>0</v>
      </c>
      <c r="AI369" s="441">
        <f t="shared" si="103"/>
        <v>0</v>
      </c>
      <c r="AJ369" s="441">
        <f t="shared" si="103"/>
        <v>0</v>
      </c>
      <c r="AK369" s="441">
        <f t="shared" si="103"/>
        <v>0</v>
      </c>
      <c r="AL369" s="441">
        <f t="shared" si="103"/>
        <v>0</v>
      </c>
      <c r="AM369" s="441">
        <f t="shared" si="103"/>
        <v>0</v>
      </c>
      <c r="AN369" s="441">
        <f t="shared" si="103"/>
        <v>0</v>
      </c>
      <c r="AO369" s="441">
        <f t="shared" si="103"/>
        <v>0</v>
      </c>
    </row>
    <row r="370" spans="3:43" x14ac:dyDescent="0.25">
      <c r="C370" s="82"/>
      <c r="J370" s="111"/>
      <c r="K370" s="111"/>
      <c r="L370" s="111"/>
      <c r="M370" s="111"/>
      <c r="N370" s="111"/>
      <c r="O370" s="111"/>
      <c r="P370" s="111"/>
      <c r="Q370" s="111"/>
      <c r="R370" s="111"/>
      <c r="S370" s="111"/>
      <c r="T370" s="111"/>
      <c r="U370" s="111"/>
      <c r="V370" s="111"/>
      <c r="W370" s="111"/>
      <c r="X370" s="111"/>
      <c r="Y370" s="111"/>
      <c r="Z370" s="111"/>
      <c r="AA370" s="111"/>
      <c r="AB370" s="111"/>
      <c r="AC370" s="111"/>
      <c r="AD370" s="111"/>
      <c r="AE370" s="111"/>
      <c r="AF370" s="111"/>
      <c r="AG370" s="111"/>
      <c r="AH370" s="111"/>
      <c r="AI370" s="111"/>
      <c r="AJ370" s="111"/>
      <c r="AK370" s="111"/>
      <c r="AL370" s="111"/>
      <c r="AM370" s="111"/>
      <c r="AN370" s="111"/>
      <c r="AO370" s="111"/>
    </row>
    <row r="371" spans="3:43" x14ac:dyDescent="0.25">
      <c r="C371" s="82"/>
      <c r="E371" s="96" t="s">
        <v>1198</v>
      </c>
      <c r="J371" s="111"/>
      <c r="K371" s="111"/>
      <c r="L371" s="111"/>
      <c r="M371" s="111"/>
      <c r="N371" s="111"/>
      <c r="O371" s="111"/>
      <c r="P371" s="111"/>
      <c r="Q371" s="111"/>
      <c r="R371" s="111"/>
      <c r="S371" s="111"/>
      <c r="T371" s="111"/>
      <c r="U371" s="111"/>
      <c r="V371" s="111"/>
      <c r="W371" s="111"/>
      <c r="X371" s="111"/>
      <c r="Y371" s="111"/>
      <c r="Z371" s="111"/>
      <c r="AA371" s="111"/>
      <c r="AB371" s="111"/>
      <c r="AC371" s="111"/>
      <c r="AD371" s="111"/>
      <c r="AE371" s="111"/>
      <c r="AF371" s="111"/>
      <c r="AG371" s="111"/>
      <c r="AH371" s="111"/>
      <c r="AI371" s="111"/>
      <c r="AJ371" s="111"/>
      <c r="AK371" s="111"/>
      <c r="AL371" s="111"/>
      <c r="AM371" s="111"/>
      <c r="AN371" s="111"/>
      <c r="AO371" s="111"/>
    </row>
    <row r="372" spans="3:43" x14ac:dyDescent="0.25">
      <c r="C372" s="82"/>
      <c r="F372" s="91" t="s">
        <v>1162</v>
      </c>
      <c r="G372" s="91" t="s">
        <v>1024</v>
      </c>
      <c r="H372" s="91"/>
      <c r="I372" s="91"/>
      <c r="J372" s="509"/>
      <c r="K372" s="509"/>
      <c r="L372" s="509"/>
      <c r="M372" s="509"/>
      <c r="N372" s="509"/>
      <c r="O372" s="509"/>
      <c r="P372" s="509"/>
      <c r="Q372" s="509"/>
      <c r="R372" s="509"/>
      <c r="S372" s="509"/>
      <c r="T372" s="509"/>
      <c r="U372" s="509"/>
      <c r="V372" s="509"/>
      <c r="W372" s="509"/>
      <c r="X372" s="509"/>
      <c r="Y372" s="509"/>
      <c r="Z372" s="509"/>
      <c r="AA372" s="509"/>
      <c r="AB372" s="509"/>
      <c r="AC372" s="509"/>
      <c r="AD372" s="509"/>
      <c r="AE372" s="509"/>
      <c r="AF372" s="509"/>
      <c r="AG372" s="509"/>
      <c r="AH372" s="509"/>
      <c r="AI372" s="509"/>
      <c r="AJ372" s="509"/>
      <c r="AK372" s="509"/>
      <c r="AL372" s="509"/>
      <c r="AM372" s="509"/>
      <c r="AN372" s="509"/>
      <c r="AO372" s="509"/>
    </row>
    <row r="373" spans="3:43" x14ac:dyDescent="0.25">
      <c r="C373" s="82"/>
      <c r="F373" s="293" t="s">
        <v>1163</v>
      </c>
      <c r="G373" s="293" t="s">
        <v>1024</v>
      </c>
      <c r="J373" s="510"/>
      <c r="K373" s="510"/>
      <c r="L373" s="510"/>
      <c r="M373" s="510"/>
      <c r="N373" s="510"/>
      <c r="O373" s="510"/>
      <c r="P373" s="510"/>
      <c r="Q373" s="510"/>
      <c r="R373" s="510"/>
      <c r="S373" s="510"/>
      <c r="T373" s="510"/>
      <c r="U373" s="510"/>
      <c r="V373" s="510"/>
      <c r="W373" s="510"/>
      <c r="X373" s="510"/>
      <c r="Y373" s="510"/>
      <c r="Z373" s="510"/>
      <c r="AA373" s="510"/>
      <c r="AB373" s="510"/>
      <c r="AC373" s="510"/>
      <c r="AD373" s="510"/>
      <c r="AE373" s="510"/>
      <c r="AF373" s="510"/>
      <c r="AG373" s="510"/>
      <c r="AH373" s="510"/>
      <c r="AI373" s="510"/>
      <c r="AJ373" s="510"/>
      <c r="AK373" s="510"/>
      <c r="AL373" s="510"/>
      <c r="AM373" s="510"/>
      <c r="AN373" s="510"/>
      <c r="AO373" s="510"/>
    </row>
    <row r="374" spans="3:43" x14ac:dyDescent="0.25">
      <c r="C374" s="82"/>
      <c r="F374" s="93" t="s">
        <v>1164</v>
      </c>
      <c r="G374" s="93" t="s">
        <v>1024</v>
      </c>
      <c r="H374" s="93"/>
      <c r="I374" s="93"/>
      <c r="J374" s="145" t="b">
        <f t="shared" ref="J374:AO374" si="104">IF(J$32, -J265+J$369&gt;=0, TRUE)</f>
        <v>1</v>
      </c>
      <c r="K374" s="145" t="b">
        <f t="shared" si="104"/>
        <v>1</v>
      </c>
      <c r="L374" s="145" t="b">
        <f t="shared" si="104"/>
        <v>1</v>
      </c>
      <c r="M374" s="145" t="b">
        <f t="shared" si="104"/>
        <v>1</v>
      </c>
      <c r="N374" s="145" t="b">
        <f t="shared" si="104"/>
        <v>1</v>
      </c>
      <c r="O374" s="145" t="b">
        <f t="shared" si="104"/>
        <v>1</v>
      </c>
      <c r="P374" s="145" t="b">
        <f t="shared" si="104"/>
        <v>1</v>
      </c>
      <c r="Q374" s="145" t="b">
        <f t="shared" si="104"/>
        <v>1</v>
      </c>
      <c r="R374" s="145" t="b">
        <f t="shared" si="104"/>
        <v>1</v>
      </c>
      <c r="S374" s="145" t="b">
        <f t="shared" si="104"/>
        <v>1</v>
      </c>
      <c r="T374" s="145" t="b">
        <f t="shared" si="104"/>
        <v>1</v>
      </c>
      <c r="U374" s="145" t="b">
        <f t="shared" si="104"/>
        <v>1</v>
      </c>
      <c r="V374" s="145" t="b">
        <f t="shared" si="104"/>
        <v>1</v>
      </c>
      <c r="W374" s="145" t="b">
        <f t="shared" si="104"/>
        <v>1</v>
      </c>
      <c r="X374" s="145" t="b">
        <f t="shared" si="104"/>
        <v>1</v>
      </c>
      <c r="Y374" s="145" t="b">
        <f t="shared" si="104"/>
        <v>1</v>
      </c>
      <c r="Z374" s="145" t="b">
        <f t="shared" si="104"/>
        <v>1</v>
      </c>
      <c r="AA374" s="145" t="b">
        <f t="shared" si="104"/>
        <v>1</v>
      </c>
      <c r="AB374" s="145" t="b">
        <f t="shared" si="104"/>
        <v>1</v>
      </c>
      <c r="AC374" s="145" t="b">
        <f t="shared" si="104"/>
        <v>1</v>
      </c>
      <c r="AD374" s="145" t="b">
        <f t="shared" si="104"/>
        <v>1</v>
      </c>
      <c r="AE374" s="145" t="b">
        <f t="shared" si="104"/>
        <v>1</v>
      </c>
      <c r="AF374" s="145" t="b">
        <f t="shared" si="104"/>
        <v>1</v>
      </c>
      <c r="AG374" s="145" t="b">
        <f t="shared" si="104"/>
        <v>1</v>
      </c>
      <c r="AH374" s="145" t="b">
        <f t="shared" si="104"/>
        <v>1</v>
      </c>
      <c r="AI374" s="145" t="b">
        <f t="shared" si="104"/>
        <v>1</v>
      </c>
      <c r="AJ374" s="145" t="b">
        <f t="shared" si="104"/>
        <v>1</v>
      </c>
      <c r="AK374" s="145" t="b">
        <f t="shared" si="104"/>
        <v>1</v>
      </c>
      <c r="AL374" s="145" t="b">
        <f t="shared" si="104"/>
        <v>1</v>
      </c>
      <c r="AM374" s="145" t="b">
        <f t="shared" si="104"/>
        <v>1</v>
      </c>
      <c r="AN374" s="145" t="b">
        <f t="shared" si="104"/>
        <v>1</v>
      </c>
      <c r="AO374" s="145" t="b">
        <f t="shared" si="104"/>
        <v>1</v>
      </c>
    </row>
    <row r="375" spans="3:43" x14ac:dyDescent="0.25">
      <c r="C375" s="82"/>
      <c r="J375" s="111"/>
      <c r="K375" s="111"/>
      <c r="L375" s="111"/>
      <c r="M375" s="111"/>
      <c r="N375" s="111"/>
      <c r="O375" s="111"/>
      <c r="P375" s="111"/>
      <c r="Q375" s="111"/>
      <c r="R375" s="111"/>
      <c r="S375" s="111"/>
      <c r="T375" s="111"/>
      <c r="U375" s="111"/>
      <c r="V375" s="111"/>
      <c r="W375" s="111"/>
      <c r="X375" s="111"/>
      <c r="Y375" s="111"/>
      <c r="Z375" s="111"/>
      <c r="AA375" s="111"/>
      <c r="AB375" s="111"/>
      <c r="AC375" s="111"/>
      <c r="AD375" s="111"/>
      <c r="AE375" s="111"/>
      <c r="AF375" s="111"/>
      <c r="AG375" s="111"/>
      <c r="AH375" s="111"/>
      <c r="AI375" s="111"/>
      <c r="AJ375" s="111"/>
      <c r="AK375" s="111"/>
      <c r="AL375" s="111"/>
      <c r="AM375" s="111"/>
      <c r="AN375" s="111"/>
      <c r="AO375" s="111"/>
    </row>
    <row r="376" spans="3:43" x14ac:dyDescent="0.25">
      <c r="C376" s="82"/>
      <c r="E376" s="293" t="s">
        <v>1199</v>
      </c>
      <c r="G376" s="293" t="s">
        <v>1024</v>
      </c>
      <c r="J376" s="111" t="b">
        <f>J374</f>
        <v>1</v>
      </c>
      <c r="K376" s="111" t="b">
        <f t="shared" ref="K376:AO376" si="105">K374</f>
        <v>1</v>
      </c>
      <c r="L376" s="111" t="b">
        <f t="shared" si="105"/>
        <v>1</v>
      </c>
      <c r="M376" s="111" t="b">
        <f t="shared" si="105"/>
        <v>1</v>
      </c>
      <c r="N376" s="111" t="b">
        <f t="shared" si="105"/>
        <v>1</v>
      </c>
      <c r="O376" s="111" t="b">
        <f t="shared" si="105"/>
        <v>1</v>
      </c>
      <c r="P376" s="111" t="b">
        <f t="shared" si="105"/>
        <v>1</v>
      </c>
      <c r="Q376" s="111" t="b">
        <f t="shared" si="105"/>
        <v>1</v>
      </c>
      <c r="R376" s="111" t="b">
        <f t="shared" si="105"/>
        <v>1</v>
      </c>
      <c r="S376" s="111" t="b">
        <f t="shared" si="105"/>
        <v>1</v>
      </c>
      <c r="T376" s="111" t="b">
        <f t="shared" si="105"/>
        <v>1</v>
      </c>
      <c r="U376" s="111" t="b">
        <f t="shared" si="105"/>
        <v>1</v>
      </c>
      <c r="V376" s="111" t="b">
        <f t="shared" si="105"/>
        <v>1</v>
      </c>
      <c r="W376" s="111" t="b">
        <f t="shared" si="105"/>
        <v>1</v>
      </c>
      <c r="X376" s="111" t="b">
        <f t="shared" si="105"/>
        <v>1</v>
      </c>
      <c r="Y376" s="111" t="b">
        <f t="shared" si="105"/>
        <v>1</v>
      </c>
      <c r="Z376" s="111" t="b">
        <f t="shared" si="105"/>
        <v>1</v>
      </c>
      <c r="AA376" s="111" t="b">
        <f t="shared" si="105"/>
        <v>1</v>
      </c>
      <c r="AB376" s="111" t="b">
        <f t="shared" si="105"/>
        <v>1</v>
      </c>
      <c r="AC376" s="111" t="b">
        <f t="shared" si="105"/>
        <v>1</v>
      </c>
      <c r="AD376" s="111" t="b">
        <f t="shared" si="105"/>
        <v>1</v>
      </c>
      <c r="AE376" s="111" t="b">
        <f t="shared" si="105"/>
        <v>1</v>
      </c>
      <c r="AF376" s="111" t="b">
        <f t="shared" si="105"/>
        <v>1</v>
      </c>
      <c r="AG376" s="111" t="b">
        <f t="shared" si="105"/>
        <v>1</v>
      </c>
      <c r="AH376" s="111" t="b">
        <f t="shared" si="105"/>
        <v>1</v>
      </c>
      <c r="AI376" s="111" t="b">
        <f t="shared" si="105"/>
        <v>1</v>
      </c>
      <c r="AJ376" s="111" t="b">
        <f t="shared" si="105"/>
        <v>1</v>
      </c>
      <c r="AK376" s="111" t="b">
        <f t="shared" si="105"/>
        <v>1</v>
      </c>
      <c r="AL376" s="111" t="b">
        <f t="shared" si="105"/>
        <v>1</v>
      </c>
      <c r="AM376" s="111" t="b">
        <f t="shared" si="105"/>
        <v>1</v>
      </c>
      <c r="AN376" s="111" t="b">
        <f t="shared" si="105"/>
        <v>1</v>
      </c>
      <c r="AO376" s="111" t="b">
        <f t="shared" si="105"/>
        <v>1</v>
      </c>
    </row>
    <row r="377" spans="3:43" x14ac:dyDescent="0.25">
      <c r="C377" s="82"/>
      <c r="J377" s="111"/>
      <c r="K377" s="111"/>
      <c r="L377" s="111"/>
      <c r="M377" s="111"/>
      <c r="N377" s="111"/>
      <c r="O377" s="111"/>
      <c r="P377" s="111"/>
      <c r="Q377" s="111"/>
      <c r="R377" s="111"/>
      <c r="S377" s="111"/>
      <c r="T377" s="111"/>
      <c r="U377" s="111"/>
      <c r="V377" s="111"/>
      <c r="W377" s="111"/>
      <c r="X377" s="111"/>
      <c r="Y377" s="111"/>
      <c r="Z377" s="111"/>
      <c r="AA377" s="111"/>
      <c r="AB377" s="111"/>
      <c r="AC377" s="111"/>
      <c r="AD377" s="111"/>
      <c r="AE377" s="111"/>
      <c r="AF377" s="111"/>
      <c r="AG377" s="111"/>
      <c r="AH377" s="111"/>
      <c r="AI377" s="111"/>
      <c r="AJ377" s="111"/>
      <c r="AK377" s="111"/>
      <c r="AL377" s="111"/>
      <c r="AM377" s="111"/>
      <c r="AN377" s="111"/>
      <c r="AO377" s="111"/>
    </row>
    <row r="378" spans="3:43" x14ac:dyDescent="0.25">
      <c r="C378" s="7" t="str">
        <f ca="1">INDEX('Version control'!$H$35:$H$61,MATCH($A$1,'Version control'!$F$35:$F$61,0),1)&amp;"-N: Revenue matching adders by timeband"</f>
        <v>Section 519-N: Revenue matching adders by timeband</v>
      </c>
      <c r="D378" s="7"/>
      <c r="E378" s="7"/>
      <c r="F378" s="7"/>
      <c r="G378" s="7"/>
      <c r="H378" s="7"/>
      <c r="I378" s="7"/>
      <c r="J378" s="171"/>
      <c r="K378" s="171"/>
      <c r="L378" s="171"/>
      <c r="M378" s="171"/>
      <c r="N378" s="171"/>
      <c r="O378" s="171"/>
      <c r="P378" s="171"/>
      <c r="Q378" s="171"/>
      <c r="R378" s="171"/>
      <c r="S378" s="171"/>
      <c r="T378" s="171"/>
      <c r="U378" s="171"/>
      <c r="V378" s="171"/>
      <c r="W378" s="171"/>
      <c r="X378" s="171"/>
      <c r="Y378" s="171"/>
      <c r="Z378" s="171"/>
      <c r="AA378" s="171"/>
      <c r="AB378" s="171"/>
      <c r="AC378" s="171"/>
      <c r="AD378" s="171"/>
      <c r="AE378" s="171"/>
      <c r="AF378" s="171"/>
      <c r="AG378" s="171"/>
      <c r="AH378" s="171"/>
      <c r="AI378" s="171"/>
      <c r="AJ378" s="171"/>
      <c r="AK378" s="171"/>
      <c r="AL378" s="171"/>
      <c r="AM378" s="171"/>
      <c r="AN378" s="171"/>
      <c r="AO378" s="171"/>
      <c r="AP378" s="7"/>
      <c r="AQ378" s="7"/>
    </row>
    <row r="379" spans="3:43" x14ac:dyDescent="0.25">
      <c r="C379" s="82"/>
      <c r="E379" s="96"/>
      <c r="J379" s="111"/>
      <c r="K379" s="111"/>
      <c r="L379" s="111"/>
      <c r="M379" s="111"/>
      <c r="N379" s="111"/>
      <c r="O379" s="111"/>
      <c r="P379" s="111"/>
      <c r="Q379" s="111"/>
      <c r="R379" s="111"/>
      <c r="S379" s="111"/>
      <c r="T379" s="111"/>
      <c r="U379" s="111"/>
      <c r="V379" s="111"/>
      <c r="W379" s="111"/>
      <c r="X379" s="111"/>
      <c r="Y379" s="111"/>
      <c r="Z379" s="111"/>
      <c r="AA379" s="111"/>
      <c r="AB379" s="111"/>
      <c r="AC379" s="111"/>
      <c r="AD379" s="111"/>
      <c r="AE379" s="111"/>
      <c r="AF379" s="111"/>
      <c r="AG379" s="111"/>
      <c r="AH379" s="111"/>
      <c r="AI379" s="111"/>
      <c r="AJ379" s="111"/>
      <c r="AK379" s="111"/>
      <c r="AL379" s="111"/>
      <c r="AM379" s="111"/>
      <c r="AN379" s="111"/>
      <c r="AO379" s="111"/>
    </row>
    <row r="380" spans="3:43" x14ac:dyDescent="0.25">
      <c r="C380" s="82"/>
      <c r="D380" s="82" t="s">
        <v>1238</v>
      </c>
      <c r="E380" s="96"/>
      <c r="I380" s="293" t="s">
        <v>359</v>
      </c>
      <c r="J380" s="111"/>
      <c r="K380" s="111"/>
      <c r="L380" s="111"/>
      <c r="M380" s="111"/>
      <c r="N380" s="111"/>
      <c r="O380" s="111"/>
      <c r="P380" s="111"/>
      <c r="Q380" s="111"/>
      <c r="R380" s="111"/>
      <c r="S380" s="111"/>
      <c r="T380" s="111"/>
      <c r="U380" s="111"/>
      <c r="V380" s="111"/>
      <c r="W380" s="111"/>
      <c r="X380" s="111"/>
      <c r="Y380" s="111"/>
      <c r="Z380" s="111"/>
      <c r="AA380" s="111"/>
      <c r="AB380" s="111"/>
      <c r="AC380" s="111"/>
      <c r="AD380" s="111"/>
      <c r="AE380" s="111"/>
      <c r="AF380" s="111"/>
      <c r="AG380" s="111"/>
      <c r="AH380" s="111"/>
      <c r="AI380" s="111"/>
      <c r="AJ380" s="111"/>
      <c r="AK380" s="111"/>
      <c r="AL380" s="111"/>
      <c r="AM380" s="111"/>
      <c r="AN380" s="111"/>
      <c r="AO380" s="111"/>
      <c r="AQ380" s="293" t="s">
        <v>744</v>
      </c>
    </row>
    <row r="381" spans="3:43" x14ac:dyDescent="0.25">
      <c r="C381" s="82"/>
      <c r="D381" s="82" t="s">
        <v>1200</v>
      </c>
      <c r="E381" s="96"/>
      <c r="J381" s="111"/>
      <c r="K381" s="111"/>
      <c r="L381" s="111"/>
      <c r="M381" s="111"/>
      <c r="N381" s="111"/>
      <c r="O381" s="111"/>
      <c r="P381" s="111"/>
      <c r="Q381" s="111"/>
      <c r="R381" s="111"/>
      <c r="S381" s="111"/>
      <c r="T381" s="111"/>
      <c r="U381" s="111"/>
      <c r="V381" s="111"/>
      <c r="W381" s="111"/>
      <c r="X381" s="111"/>
      <c r="Y381" s="111"/>
      <c r="Z381" s="111"/>
      <c r="AA381" s="111"/>
      <c r="AB381" s="111"/>
      <c r="AC381" s="111"/>
      <c r="AD381" s="111"/>
      <c r="AE381" s="111"/>
      <c r="AF381" s="111"/>
      <c r="AG381" s="111"/>
      <c r="AH381" s="111"/>
      <c r="AI381" s="111"/>
      <c r="AJ381" s="111"/>
      <c r="AK381" s="111"/>
      <c r="AL381" s="111"/>
      <c r="AM381" s="111"/>
      <c r="AN381" s="111"/>
      <c r="AO381" s="111"/>
    </row>
    <row r="382" spans="3:43" x14ac:dyDescent="0.25">
      <c r="C382" s="82"/>
      <c r="D382" s="82" t="s">
        <v>1201</v>
      </c>
      <c r="E382" s="96"/>
      <c r="J382" s="111"/>
      <c r="K382" s="111"/>
      <c r="L382" s="111"/>
      <c r="M382" s="111"/>
      <c r="N382" s="111"/>
      <c r="O382" s="111"/>
      <c r="P382" s="111"/>
      <c r="Q382" s="111"/>
      <c r="R382" s="111"/>
      <c r="S382" s="111"/>
      <c r="T382" s="111"/>
      <c r="U382" s="111"/>
      <c r="V382" s="111"/>
      <c r="W382" s="111"/>
      <c r="X382" s="111"/>
      <c r="Y382" s="111"/>
      <c r="Z382" s="111"/>
      <c r="AA382" s="111"/>
      <c r="AB382" s="111"/>
      <c r="AC382" s="111"/>
      <c r="AD382" s="111"/>
      <c r="AE382" s="111"/>
      <c r="AF382" s="111"/>
      <c r="AG382" s="111"/>
      <c r="AH382" s="111"/>
      <c r="AI382" s="111"/>
      <c r="AJ382" s="111"/>
      <c r="AK382" s="111"/>
      <c r="AL382" s="111"/>
      <c r="AM382" s="111"/>
      <c r="AN382" s="111"/>
      <c r="AO382" s="111"/>
    </row>
    <row r="383" spans="3:43" x14ac:dyDescent="0.25">
      <c r="C383" s="82"/>
      <c r="E383" s="96"/>
      <c r="J383" s="111"/>
      <c r="K383" s="111"/>
      <c r="L383" s="111"/>
      <c r="M383" s="111"/>
      <c r="N383" s="111"/>
      <c r="O383" s="111"/>
      <c r="P383" s="111"/>
      <c r="Q383" s="111"/>
      <c r="R383" s="111"/>
      <c r="S383" s="111"/>
      <c r="T383" s="111"/>
      <c r="U383" s="111"/>
      <c r="V383" s="111"/>
      <c r="W383" s="111"/>
      <c r="X383" s="111"/>
      <c r="Y383" s="111"/>
      <c r="Z383" s="111"/>
      <c r="AA383" s="111"/>
      <c r="AB383" s="111"/>
      <c r="AC383" s="111"/>
      <c r="AD383" s="111"/>
      <c r="AE383" s="111"/>
      <c r="AF383" s="111"/>
      <c r="AG383" s="111"/>
      <c r="AH383" s="111"/>
      <c r="AI383" s="111"/>
      <c r="AJ383" s="111"/>
      <c r="AK383" s="111"/>
      <c r="AL383" s="111"/>
      <c r="AM383" s="111"/>
      <c r="AN383" s="111"/>
      <c r="AO383" s="111"/>
    </row>
    <row r="384" spans="3:43" x14ac:dyDescent="0.25">
      <c r="C384" s="82"/>
      <c r="E384" s="96" t="s">
        <v>1202</v>
      </c>
      <c r="J384" s="111"/>
      <c r="K384" s="111"/>
      <c r="L384" s="111"/>
      <c r="M384" s="111"/>
      <c r="N384" s="111"/>
      <c r="O384" s="111"/>
      <c r="P384" s="111"/>
      <c r="Q384" s="111"/>
      <c r="R384" s="111"/>
      <c r="S384" s="111"/>
      <c r="T384" s="111"/>
      <c r="U384" s="111"/>
      <c r="V384" s="111"/>
      <c r="W384" s="111"/>
      <c r="X384" s="111"/>
      <c r="Y384" s="111"/>
      <c r="Z384" s="111"/>
      <c r="AA384" s="111"/>
      <c r="AB384" s="111"/>
      <c r="AC384" s="111"/>
      <c r="AD384" s="111"/>
      <c r="AE384" s="111"/>
      <c r="AF384" s="111"/>
      <c r="AG384" s="111"/>
      <c r="AH384" s="111"/>
      <c r="AI384" s="111"/>
      <c r="AJ384" s="111"/>
      <c r="AK384" s="111"/>
      <c r="AL384" s="111"/>
      <c r="AM384" s="111"/>
      <c r="AN384" s="111"/>
      <c r="AO384" s="111"/>
    </row>
    <row r="385" spans="3:41" x14ac:dyDescent="0.25">
      <c r="C385" s="82"/>
      <c r="F385" s="91" t="s">
        <v>1203</v>
      </c>
      <c r="G385" s="91" t="s">
        <v>1024</v>
      </c>
      <c r="H385" s="91"/>
      <c r="I385" s="91"/>
      <c r="J385" s="305" t="b">
        <f t="shared" ref="J385:AO385" si="106">J312</f>
        <v>1</v>
      </c>
      <c r="K385" s="305" t="b">
        <f t="shared" si="106"/>
        <v>1</v>
      </c>
      <c r="L385" s="305" t="b">
        <f t="shared" si="106"/>
        <v>1</v>
      </c>
      <c r="M385" s="305" t="b">
        <f t="shared" si="106"/>
        <v>1</v>
      </c>
      <c r="N385" s="305" t="b">
        <f t="shared" si="106"/>
        <v>1</v>
      </c>
      <c r="O385" s="305" t="b">
        <f t="shared" si="106"/>
        <v>1</v>
      </c>
      <c r="P385" s="305" t="b">
        <f t="shared" si="106"/>
        <v>1</v>
      </c>
      <c r="Q385" s="305" t="b">
        <f t="shared" si="106"/>
        <v>1</v>
      </c>
      <c r="R385" s="305" t="b">
        <f t="shared" si="106"/>
        <v>1</v>
      </c>
      <c r="S385" s="305" t="b">
        <f t="shared" si="106"/>
        <v>1</v>
      </c>
      <c r="T385" s="305" t="b">
        <f t="shared" si="106"/>
        <v>1</v>
      </c>
      <c r="U385" s="305" t="b">
        <f t="shared" si="106"/>
        <v>1</v>
      </c>
      <c r="V385" s="305" t="b">
        <f t="shared" si="106"/>
        <v>1</v>
      </c>
      <c r="W385" s="305" t="b">
        <f t="shared" si="106"/>
        <v>1</v>
      </c>
      <c r="X385" s="305" t="b">
        <f t="shared" si="106"/>
        <v>1</v>
      </c>
      <c r="Y385" s="305" t="b">
        <f t="shared" si="106"/>
        <v>1</v>
      </c>
      <c r="Z385" s="305" t="b">
        <f t="shared" si="106"/>
        <v>1</v>
      </c>
      <c r="AA385" s="305" t="b">
        <f t="shared" si="106"/>
        <v>1</v>
      </c>
      <c r="AB385" s="305" t="b">
        <f t="shared" si="106"/>
        <v>1</v>
      </c>
      <c r="AC385" s="305" t="b">
        <f t="shared" si="106"/>
        <v>1</v>
      </c>
      <c r="AD385" s="305" t="b">
        <f t="shared" si="106"/>
        <v>1</v>
      </c>
      <c r="AE385" s="305" t="b">
        <f t="shared" si="106"/>
        <v>1</v>
      </c>
      <c r="AF385" s="305" t="b">
        <f t="shared" si="106"/>
        <v>1</v>
      </c>
      <c r="AG385" s="305" t="b">
        <f t="shared" si="106"/>
        <v>1</v>
      </c>
      <c r="AH385" s="305" t="b">
        <f t="shared" si="106"/>
        <v>1</v>
      </c>
      <c r="AI385" s="305" t="b">
        <f t="shared" si="106"/>
        <v>1</v>
      </c>
      <c r="AJ385" s="305" t="b">
        <f t="shared" si="106"/>
        <v>1</v>
      </c>
      <c r="AK385" s="305" t="b">
        <f t="shared" si="106"/>
        <v>1</v>
      </c>
      <c r="AL385" s="305" t="b">
        <f t="shared" si="106"/>
        <v>1</v>
      </c>
      <c r="AM385" s="305" t="b">
        <f t="shared" si="106"/>
        <v>1</v>
      </c>
      <c r="AN385" s="305" t="b">
        <f t="shared" si="106"/>
        <v>1</v>
      </c>
      <c r="AO385" s="305" t="b">
        <f t="shared" si="106"/>
        <v>1</v>
      </c>
    </row>
    <row r="386" spans="3:41" x14ac:dyDescent="0.25">
      <c r="C386" s="82"/>
      <c r="F386" s="293" t="s">
        <v>1204</v>
      </c>
      <c r="G386" s="293" t="s">
        <v>1024</v>
      </c>
      <c r="J386" s="305" t="b">
        <f t="shared" ref="J386:AO386" si="107">J344</f>
        <v>1</v>
      </c>
      <c r="K386" s="305" t="b">
        <f t="shared" si="107"/>
        <v>1</v>
      </c>
      <c r="L386" s="305" t="b">
        <f t="shared" si="107"/>
        <v>1</v>
      </c>
      <c r="M386" s="305" t="b">
        <f t="shared" si="107"/>
        <v>1</v>
      </c>
      <c r="N386" s="305" t="b">
        <f t="shared" si="107"/>
        <v>1</v>
      </c>
      <c r="O386" s="305" t="b">
        <f t="shared" si="107"/>
        <v>1</v>
      </c>
      <c r="P386" s="305" t="b">
        <f t="shared" si="107"/>
        <v>1</v>
      </c>
      <c r="Q386" s="305" t="b">
        <f t="shared" si="107"/>
        <v>1</v>
      </c>
      <c r="R386" s="305" t="b">
        <f t="shared" si="107"/>
        <v>1</v>
      </c>
      <c r="S386" s="305" t="b">
        <f t="shared" si="107"/>
        <v>1</v>
      </c>
      <c r="T386" s="305" t="b">
        <f t="shared" si="107"/>
        <v>1</v>
      </c>
      <c r="U386" s="305" t="b">
        <f t="shared" si="107"/>
        <v>1</v>
      </c>
      <c r="V386" s="305" t="b">
        <f t="shared" si="107"/>
        <v>1</v>
      </c>
      <c r="W386" s="305" t="b">
        <f t="shared" si="107"/>
        <v>1</v>
      </c>
      <c r="X386" s="305" t="b">
        <f t="shared" si="107"/>
        <v>1</v>
      </c>
      <c r="Y386" s="305" t="b">
        <f t="shared" si="107"/>
        <v>1</v>
      </c>
      <c r="Z386" s="305" t="b">
        <f t="shared" si="107"/>
        <v>1</v>
      </c>
      <c r="AA386" s="305" t="b">
        <f t="shared" si="107"/>
        <v>1</v>
      </c>
      <c r="AB386" s="305" t="b">
        <f t="shared" si="107"/>
        <v>1</v>
      </c>
      <c r="AC386" s="305" t="b">
        <f t="shared" si="107"/>
        <v>1</v>
      </c>
      <c r="AD386" s="305" t="b">
        <f t="shared" si="107"/>
        <v>1</v>
      </c>
      <c r="AE386" s="305" t="b">
        <f t="shared" si="107"/>
        <v>1</v>
      </c>
      <c r="AF386" s="305" t="b">
        <f t="shared" si="107"/>
        <v>1</v>
      </c>
      <c r="AG386" s="305" t="b">
        <f t="shared" si="107"/>
        <v>1</v>
      </c>
      <c r="AH386" s="305" t="b">
        <f t="shared" si="107"/>
        <v>1</v>
      </c>
      <c r="AI386" s="305" t="b">
        <f t="shared" si="107"/>
        <v>1</v>
      </c>
      <c r="AJ386" s="305" t="b">
        <f t="shared" si="107"/>
        <v>1</v>
      </c>
      <c r="AK386" s="305" t="b">
        <f t="shared" si="107"/>
        <v>1</v>
      </c>
      <c r="AL386" s="305" t="b">
        <f t="shared" si="107"/>
        <v>1</v>
      </c>
      <c r="AM386" s="305" t="b">
        <f t="shared" si="107"/>
        <v>1</v>
      </c>
      <c r="AN386" s="305" t="b">
        <f t="shared" si="107"/>
        <v>1</v>
      </c>
      <c r="AO386" s="305" t="b">
        <f t="shared" si="107"/>
        <v>1</v>
      </c>
    </row>
    <row r="387" spans="3:41" x14ac:dyDescent="0.25">
      <c r="C387" s="82"/>
      <c r="F387" s="93" t="s">
        <v>1205</v>
      </c>
      <c r="G387" s="93" t="s">
        <v>1024</v>
      </c>
      <c r="H387" s="93"/>
      <c r="I387" s="93"/>
      <c r="J387" s="145" t="b">
        <f>J376</f>
        <v>1</v>
      </c>
      <c r="K387" s="145" t="b">
        <f t="shared" ref="K387:AO387" si="108">K376</f>
        <v>1</v>
      </c>
      <c r="L387" s="145" t="b">
        <f t="shared" si="108"/>
        <v>1</v>
      </c>
      <c r="M387" s="145" t="b">
        <f t="shared" si="108"/>
        <v>1</v>
      </c>
      <c r="N387" s="145" t="b">
        <f t="shared" si="108"/>
        <v>1</v>
      </c>
      <c r="O387" s="145" t="b">
        <f t="shared" si="108"/>
        <v>1</v>
      </c>
      <c r="P387" s="145" t="b">
        <f t="shared" si="108"/>
        <v>1</v>
      </c>
      <c r="Q387" s="145" t="b">
        <f t="shared" si="108"/>
        <v>1</v>
      </c>
      <c r="R387" s="145" t="b">
        <f t="shared" si="108"/>
        <v>1</v>
      </c>
      <c r="S387" s="145" t="b">
        <f t="shared" si="108"/>
        <v>1</v>
      </c>
      <c r="T387" s="145" t="b">
        <f t="shared" si="108"/>
        <v>1</v>
      </c>
      <c r="U387" s="145" t="b">
        <f t="shared" si="108"/>
        <v>1</v>
      </c>
      <c r="V387" s="145" t="b">
        <f t="shared" si="108"/>
        <v>1</v>
      </c>
      <c r="W387" s="145" t="b">
        <f t="shared" si="108"/>
        <v>1</v>
      </c>
      <c r="X387" s="145" t="b">
        <f t="shared" si="108"/>
        <v>1</v>
      </c>
      <c r="Y387" s="145" t="b">
        <f t="shared" si="108"/>
        <v>1</v>
      </c>
      <c r="Z387" s="145" t="b">
        <f t="shared" si="108"/>
        <v>1</v>
      </c>
      <c r="AA387" s="145" t="b">
        <f t="shared" si="108"/>
        <v>1</v>
      </c>
      <c r="AB387" s="145" t="b">
        <f t="shared" si="108"/>
        <v>1</v>
      </c>
      <c r="AC387" s="145" t="b">
        <f t="shared" si="108"/>
        <v>1</v>
      </c>
      <c r="AD387" s="145" t="b">
        <f t="shared" si="108"/>
        <v>1</v>
      </c>
      <c r="AE387" s="145" t="b">
        <f t="shared" si="108"/>
        <v>1</v>
      </c>
      <c r="AF387" s="145" t="b">
        <f t="shared" si="108"/>
        <v>1</v>
      </c>
      <c r="AG387" s="145" t="b">
        <f t="shared" si="108"/>
        <v>1</v>
      </c>
      <c r="AH387" s="145" t="b">
        <f t="shared" si="108"/>
        <v>1</v>
      </c>
      <c r="AI387" s="145" t="b">
        <f t="shared" si="108"/>
        <v>1</v>
      </c>
      <c r="AJ387" s="145" t="b">
        <f t="shared" si="108"/>
        <v>1</v>
      </c>
      <c r="AK387" s="145" t="b">
        <f t="shared" si="108"/>
        <v>1</v>
      </c>
      <c r="AL387" s="145" t="b">
        <f t="shared" si="108"/>
        <v>1</v>
      </c>
      <c r="AM387" s="145" t="b">
        <f t="shared" si="108"/>
        <v>1</v>
      </c>
      <c r="AN387" s="145" t="b">
        <f t="shared" si="108"/>
        <v>1</v>
      </c>
      <c r="AO387" s="145" t="b">
        <f t="shared" si="108"/>
        <v>1</v>
      </c>
    </row>
    <row r="388" spans="3:41" x14ac:dyDescent="0.25">
      <c r="C388" s="82"/>
      <c r="J388" s="111"/>
      <c r="K388" s="111"/>
      <c r="L388" s="111"/>
      <c r="M388" s="111"/>
      <c r="N388" s="111"/>
      <c r="O388" s="111"/>
      <c r="P388" s="111"/>
      <c r="Q388" s="111"/>
      <c r="R388" s="111"/>
      <c r="S388" s="111"/>
      <c r="T388" s="111"/>
      <c r="U388" s="111"/>
      <c r="V388" s="111"/>
      <c r="W388" s="111"/>
      <c r="X388" s="111"/>
      <c r="Y388" s="111"/>
      <c r="Z388" s="111"/>
      <c r="AA388" s="111"/>
      <c r="AB388" s="111"/>
      <c r="AC388" s="111"/>
      <c r="AD388" s="111"/>
      <c r="AE388" s="111"/>
      <c r="AF388" s="111"/>
      <c r="AG388" s="111"/>
      <c r="AH388" s="111"/>
      <c r="AI388" s="111"/>
      <c r="AJ388" s="111"/>
      <c r="AK388" s="111"/>
      <c r="AL388" s="111"/>
      <c r="AM388" s="111"/>
      <c r="AN388" s="111"/>
      <c r="AO388" s="111"/>
    </row>
    <row r="389" spans="3:41" x14ac:dyDescent="0.25">
      <c r="C389" s="82"/>
      <c r="E389" s="96" t="s">
        <v>1206</v>
      </c>
      <c r="G389" s="293" t="s">
        <v>426</v>
      </c>
      <c r="J389" s="111">
        <f>COUNTIF(J385:J387, FALSE)+1</f>
        <v>1</v>
      </c>
      <c r="K389" s="111">
        <f t="shared" ref="K389:AO389" si="109">COUNTIF(K385:K387, FALSE)+1</f>
        <v>1</v>
      </c>
      <c r="L389" s="111">
        <f t="shared" si="109"/>
        <v>1</v>
      </c>
      <c r="M389" s="111">
        <f t="shared" si="109"/>
        <v>1</v>
      </c>
      <c r="N389" s="111">
        <f t="shared" si="109"/>
        <v>1</v>
      </c>
      <c r="O389" s="111">
        <f t="shared" si="109"/>
        <v>1</v>
      </c>
      <c r="P389" s="111">
        <f t="shared" si="109"/>
        <v>1</v>
      </c>
      <c r="Q389" s="111">
        <f t="shared" si="109"/>
        <v>1</v>
      </c>
      <c r="R389" s="111">
        <f t="shared" si="109"/>
        <v>1</v>
      </c>
      <c r="S389" s="111">
        <f t="shared" si="109"/>
        <v>1</v>
      </c>
      <c r="T389" s="111">
        <f t="shared" si="109"/>
        <v>1</v>
      </c>
      <c r="U389" s="111">
        <f t="shared" si="109"/>
        <v>1</v>
      </c>
      <c r="V389" s="111">
        <f t="shared" si="109"/>
        <v>1</v>
      </c>
      <c r="W389" s="111">
        <f t="shared" si="109"/>
        <v>1</v>
      </c>
      <c r="X389" s="111">
        <f t="shared" si="109"/>
        <v>1</v>
      </c>
      <c r="Y389" s="111">
        <f t="shared" si="109"/>
        <v>1</v>
      </c>
      <c r="Z389" s="111">
        <f t="shared" si="109"/>
        <v>1</v>
      </c>
      <c r="AA389" s="111">
        <f t="shared" si="109"/>
        <v>1</v>
      </c>
      <c r="AB389" s="111">
        <f t="shared" si="109"/>
        <v>1</v>
      </c>
      <c r="AC389" s="111">
        <f t="shared" si="109"/>
        <v>1</v>
      </c>
      <c r="AD389" s="111">
        <f t="shared" si="109"/>
        <v>1</v>
      </c>
      <c r="AE389" s="111">
        <f t="shared" si="109"/>
        <v>1</v>
      </c>
      <c r="AF389" s="111">
        <f t="shared" si="109"/>
        <v>1</v>
      </c>
      <c r="AG389" s="111">
        <f t="shared" si="109"/>
        <v>1</v>
      </c>
      <c r="AH389" s="111">
        <f t="shared" si="109"/>
        <v>1</v>
      </c>
      <c r="AI389" s="111">
        <f t="shared" si="109"/>
        <v>1</v>
      </c>
      <c r="AJ389" s="111">
        <f t="shared" si="109"/>
        <v>1</v>
      </c>
      <c r="AK389" s="111">
        <f t="shared" si="109"/>
        <v>1</v>
      </c>
      <c r="AL389" s="111">
        <f t="shared" si="109"/>
        <v>1</v>
      </c>
      <c r="AM389" s="111">
        <f t="shared" si="109"/>
        <v>1</v>
      </c>
      <c r="AN389" s="111">
        <f t="shared" si="109"/>
        <v>1</v>
      </c>
      <c r="AO389" s="111">
        <f t="shared" si="109"/>
        <v>1</v>
      </c>
    </row>
    <row r="390" spans="3:41" x14ac:dyDescent="0.25">
      <c r="C390" s="82"/>
      <c r="E390" s="14"/>
      <c r="J390" s="441"/>
      <c r="K390" s="441"/>
      <c r="L390" s="441"/>
      <c r="M390" s="441"/>
      <c r="N390" s="441"/>
      <c r="O390" s="441"/>
      <c r="P390" s="441"/>
      <c r="Q390" s="441"/>
      <c r="R390" s="441"/>
      <c r="S390" s="441"/>
      <c r="T390" s="441"/>
      <c r="U390" s="441"/>
      <c r="V390" s="441"/>
      <c r="W390" s="441"/>
      <c r="X390" s="441"/>
      <c r="Y390" s="441"/>
      <c r="Z390" s="441"/>
      <c r="AA390" s="441"/>
      <c r="AB390" s="441"/>
      <c r="AC390" s="441"/>
      <c r="AD390" s="441"/>
      <c r="AE390" s="441"/>
      <c r="AF390" s="441"/>
      <c r="AG390" s="441"/>
      <c r="AH390" s="441"/>
      <c r="AI390" s="441"/>
      <c r="AJ390" s="441"/>
      <c r="AK390" s="441"/>
      <c r="AL390" s="441"/>
      <c r="AM390" s="441"/>
      <c r="AN390" s="441"/>
      <c r="AO390" s="441"/>
    </row>
    <row r="391" spans="3:41" x14ac:dyDescent="0.25">
      <c r="C391" s="82"/>
      <c r="E391" s="96" t="s">
        <v>1207</v>
      </c>
      <c r="F391" s="93"/>
      <c r="G391" s="93"/>
      <c r="H391" s="93"/>
      <c r="I391" s="93"/>
      <c r="J391" s="145"/>
      <c r="K391" s="145"/>
      <c r="L391" s="145"/>
      <c r="M391" s="145"/>
      <c r="N391" s="145"/>
      <c r="O391" s="145"/>
      <c r="P391" s="145"/>
      <c r="Q391" s="145"/>
      <c r="R391" s="145"/>
      <c r="S391" s="145"/>
      <c r="T391" s="145"/>
      <c r="U391" s="145"/>
      <c r="V391" s="145"/>
      <c r="W391" s="145"/>
      <c r="X391" s="145"/>
      <c r="Y391" s="145"/>
      <c r="Z391" s="145"/>
      <c r="AA391" s="145"/>
      <c r="AB391" s="145"/>
      <c r="AC391" s="145"/>
      <c r="AD391" s="145"/>
      <c r="AE391" s="145"/>
      <c r="AF391" s="145"/>
      <c r="AG391" s="145"/>
      <c r="AH391" s="145"/>
      <c r="AI391" s="145"/>
      <c r="AJ391" s="145"/>
      <c r="AK391" s="145"/>
      <c r="AL391" s="145"/>
      <c r="AM391" s="145"/>
      <c r="AN391" s="145"/>
      <c r="AO391" s="145"/>
    </row>
    <row r="392" spans="3:41" x14ac:dyDescent="0.25">
      <c r="C392" s="82"/>
      <c r="F392" s="91" t="s">
        <v>1203</v>
      </c>
      <c r="G392" s="91" t="s">
        <v>1024</v>
      </c>
      <c r="H392" s="91"/>
      <c r="I392" s="91"/>
      <c r="J392" s="511">
        <f t="shared" ref="J392:AO392" si="110">J305</f>
        <v>0</v>
      </c>
      <c r="K392" s="511">
        <f t="shared" si="110"/>
        <v>0</v>
      </c>
      <c r="L392" s="511">
        <f t="shared" si="110"/>
        <v>0</v>
      </c>
      <c r="M392" s="511">
        <f t="shared" si="110"/>
        <v>0</v>
      </c>
      <c r="N392" s="511">
        <f t="shared" si="110"/>
        <v>0</v>
      </c>
      <c r="O392" s="511">
        <f t="shared" si="110"/>
        <v>0</v>
      </c>
      <c r="P392" s="511">
        <f t="shared" si="110"/>
        <v>0</v>
      </c>
      <c r="Q392" s="511">
        <f t="shared" si="110"/>
        <v>0</v>
      </c>
      <c r="R392" s="511">
        <f t="shared" si="110"/>
        <v>0</v>
      </c>
      <c r="S392" s="511">
        <f t="shared" si="110"/>
        <v>0</v>
      </c>
      <c r="T392" s="511">
        <f t="shared" si="110"/>
        <v>0</v>
      </c>
      <c r="U392" s="511">
        <f t="shared" si="110"/>
        <v>0</v>
      </c>
      <c r="V392" s="511">
        <f t="shared" si="110"/>
        <v>0</v>
      </c>
      <c r="W392" s="511">
        <f t="shared" si="110"/>
        <v>0</v>
      </c>
      <c r="X392" s="511">
        <f t="shared" si="110"/>
        <v>0</v>
      </c>
      <c r="Y392" s="511">
        <f t="shared" si="110"/>
        <v>0</v>
      </c>
      <c r="Z392" s="511">
        <f t="shared" si="110"/>
        <v>0</v>
      </c>
      <c r="AA392" s="511">
        <f t="shared" si="110"/>
        <v>0</v>
      </c>
      <c r="AB392" s="511">
        <f t="shared" si="110"/>
        <v>0</v>
      </c>
      <c r="AC392" s="511">
        <f t="shared" si="110"/>
        <v>0</v>
      </c>
      <c r="AD392" s="511">
        <f t="shared" si="110"/>
        <v>0</v>
      </c>
      <c r="AE392" s="511">
        <f t="shared" si="110"/>
        <v>0</v>
      </c>
      <c r="AF392" s="511">
        <f t="shared" si="110"/>
        <v>0</v>
      </c>
      <c r="AG392" s="511">
        <f t="shared" si="110"/>
        <v>0</v>
      </c>
      <c r="AH392" s="511">
        <f t="shared" si="110"/>
        <v>0</v>
      </c>
      <c r="AI392" s="511">
        <f t="shared" si="110"/>
        <v>0</v>
      </c>
      <c r="AJ392" s="511">
        <f t="shared" si="110"/>
        <v>0</v>
      </c>
      <c r="AK392" s="511">
        <f t="shared" si="110"/>
        <v>0</v>
      </c>
      <c r="AL392" s="511">
        <f t="shared" si="110"/>
        <v>0</v>
      </c>
      <c r="AM392" s="511">
        <f t="shared" si="110"/>
        <v>0</v>
      </c>
      <c r="AN392" s="511">
        <f t="shared" si="110"/>
        <v>0</v>
      </c>
      <c r="AO392" s="511">
        <f t="shared" si="110"/>
        <v>0</v>
      </c>
    </row>
    <row r="393" spans="3:41" x14ac:dyDescent="0.25">
      <c r="C393" s="82"/>
      <c r="F393" s="293" t="s">
        <v>1204</v>
      </c>
      <c r="G393" s="293" t="s">
        <v>1024</v>
      </c>
      <c r="J393" s="511">
        <f t="shared" ref="J393:AO393" si="111">J337</f>
        <v>0</v>
      </c>
      <c r="K393" s="511">
        <f t="shared" si="111"/>
        <v>0</v>
      </c>
      <c r="L393" s="511">
        <f t="shared" si="111"/>
        <v>0</v>
      </c>
      <c r="M393" s="511">
        <f t="shared" si="111"/>
        <v>0</v>
      </c>
      <c r="N393" s="511">
        <f t="shared" si="111"/>
        <v>0</v>
      </c>
      <c r="O393" s="511">
        <f t="shared" si="111"/>
        <v>0</v>
      </c>
      <c r="P393" s="511">
        <f t="shared" si="111"/>
        <v>0</v>
      </c>
      <c r="Q393" s="511">
        <f t="shared" si="111"/>
        <v>0</v>
      </c>
      <c r="R393" s="511">
        <f t="shared" si="111"/>
        <v>0</v>
      </c>
      <c r="S393" s="511">
        <f t="shared" si="111"/>
        <v>0</v>
      </c>
      <c r="T393" s="511">
        <f t="shared" si="111"/>
        <v>0</v>
      </c>
      <c r="U393" s="511">
        <f t="shared" si="111"/>
        <v>0</v>
      </c>
      <c r="V393" s="511">
        <f t="shared" si="111"/>
        <v>0</v>
      </c>
      <c r="W393" s="511">
        <f t="shared" si="111"/>
        <v>0</v>
      </c>
      <c r="X393" s="511">
        <f t="shared" si="111"/>
        <v>0</v>
      </c>
      <c r="Y393" s="511">
        <f t="shared" si="111"/>
        <v>0</v>
      </c>
      <c r="Z393" s="511">
        <f t="shared" si="111"/>
        <v>0</v>
      </c>
      <c r="AA393" s="511">
        <f t="shared" si="111"/>
        <v>0</v>
      </c>
      <c r="AB393" s="511">
        <f t="shared" si="111"/>
        <v>0</v>
      </c>
      <c r="AC393" s="511">
        <f t="shared" si="111"/>
        <v>0</v>
      </c>
      <c r="AD393" s="511">
        <f t="shared" si="111"/>
        <v>0</v>
      </c>
      <c r="AE393" s="511">
        <f t="shared" si="111"/>
        <v>0</v>
      </c>
      <c r="AF393" s="511">
        <f t="shared" si="111"/>
        <v>0</v>
      </c>
      <c r="AG393" s="511">
        <f t="shared" si="111"/>
        <v>0</v>
      </c>
      <c r="AH393" s="511">
        <f t="shared" si="111"/>
        <v>0</v>
      </c>
      <c r="AI393" s="511">
        <f t="shared" si="111"/>
        <v>0</v>
      </c>
      <c r="AJ393" s="511">
        <f t="shared" si="111"/>
        <v>0</v>
      </c>
      <c r="AK393" s="511">
        <f t="shared" si="111"/>
        <v>0</v>
      </c>
      <c r="AL393" s="511">
        <f t="shared" si="111"/>
        <v>0</v>
      </c>
      <c r="AM393" s="511">
        <f t="shared" si="111"/>
        <v>0</v>
      </c>
      <c r="AN393" s="511">
        <f t="shared" si="111"/>
        <v>0</v>
      </c>
      <c r="AO393" s="511">
        <f t="shared" si="111"/>
        <v>0</v>
      </c>
    </row>
    <row r="394" spans="3:41" x14ac:dyDescent="0.25">
      <c r="C394" s="82"/>
      <c r="F394" s="93" t="s">
        <v>1205</v>
      </c>
      <c r="G394" s="93" t="s">
        <v>1024</v>
      </c>
      <c r="H394" s="93"/>
      <c r="I394" s="93"/>
      <c r="J394" s="507">
        <f t="shared" ref="J394:AO394" si="112">J369</f>
        <v>0</v>
      </c>
      <c r="K394" s="507">
        <f t="shared" si="112"/>
        <v>0</v>
      </c>
      <c r="L394" s="507">
        <f t="shared" si="112"/>
        <v>0</v>
      </c>
      <c r="M394" s="507">
        <f t="shared" si="112"/>
        <v>0</v>
      </c>
      <c r="N394" s="507">
        <f t="shared" si="112"/>
        <v>0</v>
      </c>
      <c r="O394" s="507">
        <f t="shared" si="112"/>
        <v>0</v>
      </c>
      <c r="P394" s="507">
        <f t="shared" si="112"/>
        <v>0</v>
      </c>
      <c r="Q394" s="507">
        <f t="shared" si="112"/>
        <v>0</v>
      </c>
      <c r="R394" s="507">
        <f t="shared" si="112"/>
        <v>0</v>
      </c>
      <c r="S394" s="507">
        <f t="shared" si="112"/>
        <v>0</v>
      </c>
      <c r="T394" s="507">
        <f t="shared" si="112"/>
        <v>0</v>
      </c>
      <c r="U394" s="507">
        <f t="shared" si="112"/>
        <v>0</v>
      </c>
      <c r="V394" s="507">
        <f t="shared" si="112"/>
        <v>0</v>
      </c>
      <c r="W394" s="507">
        <f t="shared" si="112"/>
        <v>0</v>
      </c>
      <c r="X394" s="507">
        <f t="shared" si="112"/>
        <v>0</v>
      </c>
      <c r="Y394" s="507">
        <f t="shared" si="112"/>
        <v>0</v>
      </c>
      <c r="Z394" s="507">
        <f t="shared" si="112"/>
        <v>0</v>
      </c>
      <c r="AA394" s="507">
        <f t="shared" si="112"/>
        <v>0</v>
      </c>
      <c r="AB394" s="507">
        <f t="shared" si="112"/>
        <v>0</v>
      </c>
      <c r="AC394" s="507">
        <f t="shared" si="112"/>
        <v>0</v>
      </c>
      <c r="AD394" s="507">
        <f t="shared" si="112"/>
        <v>0</v>
      </c>
      <c r="AE394" s="507">
        <f t="shared" si="112"/>
        <v>0</v>
      </c>
      <c r="AF394" s="507">
        <f t="shared" si="112"/>
        <v>0</v>
      </c>
      <c r="AG394" s="507">
        <f t="shared" si="112"/>
        <v>0</v>
      </c>
      <c r="AH394" s="507">
        <f t="shared" si="112"/>
        <v>0</v>
      </c>
      <c r="AI394" s="507">
        <f t="shared" si="112"/>
        <v>0</v>
      </c>
      <c r="AJ394" s="507">
        <f t="shared" si="112"/>
        <v>0</v>
      </c>
      <c r="AK394" s="507">
        <f t="shared" si="112"/>
        <v>0</v>
      </c>
      <c r="AL394" s="507">
        <f t="shared" si="112"/>
        <v>0</v>
      </c>
      <c r="AM394" s="507">
        <f t="shared" si="112"/>
        <v>0</v>
      </c>
      <c r="AN394" s="507">
        <f t="shared" si="112"/>
        <v>0</v>
      </c>
      <c r="AO394" s="507">
        <f t="shared" si="112"/>
        <v>0</v>
      </c>
    </row>
    <row r="395" spans="3:41" x14ac:dyDescent="0.25">
      <c r="C395" s="82"/>
      <c r="J395" s="441"/>
      <c r="K395" s="441"/>
      <c r="L395" s="441"/>
      <c r="M395" s="441"/>
      <c r="N395" s="441"/>
      <c r="O395" s="441"/>
      <c r="P395" s="441"/>
      <c r="Q395" s="441"/>
      <c r="R395" s="441"/>
      <c r="S395" s="441"/>
      <c r="T395" s="441"/>
      <c r="U395" s="441"/>
      <c r="V395" s="441"/>
      <c r="W395" s="441"/>
      <c r="X395" s="441"/>
      <c r="Y395" s="441"/>
      <c r="Z395" s="441"/>
      <c r="AA395" s="441"/>
      <c r="AB395" s="441"/>
      <c r="AC395" s="441"/>
      <c r="AD395" s="441"/>
      <c r="AE395" s="441"/>
      <c r="AF395" s="441"/>
      <c r="AG395" s="441"/>
      <c r="AH395" s="441"/>
      <c r="AI395" s="441"/>
      <c r="AJ395" s="441"/>
      <c r="AK395" s="441"/>
      <c r="AL395" s="441"/>
      <c r="AM395" s="441"/>
      <c r="AN395" s="441"/>
      <c r="AO395" s="441"/>
    </row>
    <row r="396" spans="3:41" x14ac:dyDescent="0.25">
      <c r="C396" s="82"/>
      <c r="E396" s="505" t="s">
        <v>1208</v>
      </c>
      <c r="G396" s="293" t="s">
        <v>183</v>
      </c>
      <c r="J396" s="441">
        <f>INDEX(J392:J394,J389)</f>
        <v>0</v>
      </c>
      <c r="K396" s="441">
        <f t="shared" ref="K396:AO396" si="113">INDEX(K392:K394,K389)</f>
        <v>0</v>
      </c>
      <c r="L396" s="441">
        <f t="shared" si="113"/>
        <v>0</v>
      </c>
      <c r="M396" s="441">
        <f t="shared" si="113"/>
        <v>0</v>
      </c>
      <c r="N396" s="441">
        <f t="shared" si="113"/>
        <v>0</v>
      </c>
      <c r="O396" s="441">
        <f t="shared" si="113"/>
        <v>0</v>
      </c>
      <c r="P396" s="441">
        <f t="shared" si="113"/>
        <v>0</v>
      </c>
      <c r="Q396" s="441">
        <f t="shared" si="113"/>
        <v>0</v>
      </c>
      <c r="R396" s="441">
        <f t="shared" si="113"/>
        <v>0</v>
      </c>
      <c r="S396" s="441">
        <f t="shared" si="113"/>
        <v>0</v>
      </c>
      <c r="T396" s="441">
        <f t="shared" si="113"/>
        <v>0</v>
      </c>
      <c r="U396" s="441">
        <f t="shared" si="113"/>
        <v>0</v>
      </c>
      <c r="V396" s="441">
        <f t="shared" si="113"/>
        <v>0</v>
      </c>
      <c r="W396" s="441">
        <f t="shared" si="113"/>
        <v>0</v>
      </c>
      <c r="X396" s="441">
        <f t="shared" si="113"/>
        <v>0</v>
      </c>
      <c r="Y396" s="441">
        <f t="shared" si="113"/>
        <v>0</v>
      </c>
      <c r="Z396" s="441">
        <f t="shared" si="113"/>
        <v>0</v>
      </c>
      <c r="AA396" s="441">
        <f t="shared" si="113"/>
        <v>0</v>
      </c>
      <c r="AB396" s="441">
        <f t="shared" si="113"/>
        <v>0</v>
      </c>
      <c r="AC396" s="441">
        <f t="shared" si="113"/>
        <v>0</v>
      </c>
      <c r="AD396" s="441">
        <f t="shared" si="113"/>
        <v>0</v>
      </c>
      <c r="AE396" s="441">
        <f t="shared" si="113"/>
        <v>0</v>
      </c>
      <c r="AF396" s="441">
        <f t="shared" si="113"/>
        <v>0</v>
      </c>
      <c r="AG396" s="441">
        <f t="shared" si="113"/>
        <v>0</v>
      </c>
      <c r="AH396" s="441">
        <f t="shared" si="113"/>
        <v>0</v>
      </c>
      <c r="AI396" s="441">
        <f t="shared" si="113"/>
        <v>0</v>
      </c>
      <c r="AJ396" s="441">
        <f t="shared" si="113"/>
        <v>0</v>
      </c>
      <c r="AK396" s="441">
        <f t="shared" si="113"/>
        <v>0</v>
      </c>
      <c r="AL396" s="441">
        <f t="shared" si="113"/>
        <v>0</v>
      </c>
      <c r="AM396" s="441">
        <f t="shared" si="113"/>
        <v>0</v>
      </c>
      <c r="AN396" s="441">
        <f t="shared" si="113"/>
        <v>0</v>
      </c>
      <c r="AO396" s="441">
        <f t="shared" si="113"/>
        <v>0</v>
      </c>
    </row>
    <row r="397" spans="3:41" x14ac:dyDescent="0.25">
      <c r="C397" s="82"/>
      <c r="J397" s="111"/>
      <c r="K397" s="111"/>
      <c r="L397" s="111"/>
      <c r="M397" s="111"/>
      <c r="N397" s="111"/>
      <c r="O397" s="111"/>
      <c r="P397" s="111"/>
      <c r="Q397" s="111"/>
      <c r="R397" s="111"/>
      <c r="S397" s="111"/>
      <c r="T397" s="111"/>
      <c r="U397" s="111"/>
      <c r="V397" s="111"/>
      <c r="W397" s="111"/>
      <c r="X397" s="111"/>
      <c r="Y397" s="111"/>
      <c r="Z397" s="111"/>
      <c r="AA397" s="111"/>
      <c r="AB397" s="111"/>
      <c r="AC397" s="111"/>
      <c r="AD397" s="111"/>
      <c r="AE397" s="111"/>
      <c r="AF397" s="111"/>
      <c r="AG397" s="111"/>
      <c r="AH397" s="111"/>
      <c r="AI397" s="111"/>
      <c r="AJ397" s="111"/>
      <c r="AK397" s="111"/>
      <c r="AL397" s="111"/>
      <c r="AM397" s="111"/>
      <c r="AN397" s="111"/>
      <c r="AO397" s="111"/>
    </row>
    <row r="398" spans="3:41" x14ac:dyDescent="0.25">
      <c r="C398" s="82"/>
      <c r="E398" s="96" t="s">
        <v>1209</v>
      </c>
      <c r="J398" s="111"/>
      <c r="K398" s="111"/>
      <c r="L398" s="111"/>
      <c r="M398" s="111"/>
      <c r="N398" s="111"/>
      <c r="O398" s="111"/>
      <c r="P398" s="111"/>
      <c r="Q398" s="111"/>
      <c r="R398" s="111"/>
      <c r="S398" s="111"/>
      <c r="T398" s="111"/>
      <c r="U398" s="111"/>
      <c r="V398" s="111"/>
      <c r="W398" s="111"/>
      <c r="X398" s="111"/>
      <c r="Y398" s="111"/>
      <c r="Z398" s="111"/>
      <c r="AA398" s="111"/>
      <c r="AB398" s="111"/>
      <c r="AC398" s="111"/>
      <c r="AD398" s="111"/>
      <c r="AE398" s="111"/>
      <c r="AF398" s="111"/>
      <c r="AG398" s="111"/>
      <c r="AH398" s="111"/>
      <c r="AI398" s="111"/>
      <c r="AJ398" s="111"/>
      <c r="AK398" s="111"/>
      <c r="AL398" s="111"/>
      <c r="AM398" s="111"/>
      <c r="AN398" s="111"/>
      <c r="AO398" s="111"/>
    </row>
    <row r="399" spans="3:41" x14ac:dyDescent="0.25">
      <c r="C399" s="82"/>
      <c r="F399" s="91" t="s">
        <v>1162</v>
      </c>
      <c r="G399" s="91" t="s">
        <v>183</v>
      </c>
      <c r="H399" s="91"/>
      <c r="I399" s="91"/>
      <c r="J399" s="506">
        <f t="shared" ref="J399:AO401" si="114">MAX(J$396, J263)</f>
        <v>0</v>
      </c>
      <c r="K399" s="506">
        <f t="shared" si="114"/>
        <v>0</v>
      </c>
      <c r="L399" s="506">
        <f t="shared" si="114"/>
        <v>0</v>
      </c>
      <c r="M399" s="506">
        <f t="shared" si="114"/>
        <v>0</v>
      </c>
      <c r="N399" s="506">
        <f t="shared" si="114"/>
        <v>0</v>
      </c>
      <c r="O399" s="506">
        <f t="shared" si="114"/>
        <v>0</v>
      </c>
      <c r="P399" s="506">
        <f t="shared" si="114"/>
        <v>0</v>
      </c>
      <c r="Q399" s="506">
        <f t="shared" si="114"/>
        <v>0</v>
      </c>
      <c r="R399" s="506">
        <f t="shared" si="114"/>
        <v>0</v>
      </c>
      <c r="S399" s="506">
        <f t="shared" si="114"/>
        <v>0</v>
      </c>
      <c r="T399" s="506">
        <f t="shared" si="114"/>
        <v>0</v>
      </c>
      <c r="U399" s="506">
        <f t="shared" si="114"/>
        <v>0</v>
      </c>
      <c r="V399" s="506">
        <f t="shared" si="114"/>
        <v>0</v>
      </c>
      <c r="W399" s="506">
        <f t="shared" si="114"/>
        <v>0</v>
      </c>
      <c r="X399" s="506">
        <f t="shared" si="114"/>
        <v>0</v>
      </c>
      <c r="Y399" s="506">
        <f t="shared" si="114"/>
        <v>0</v>
      </c>
      <c r="Z399" s="506">
        <f t="shared" si="114"/>
        <v>0</v>
      </c>
      <c r="AA399" s="506">
        <f t="shared" si="114"/>
        <v>0</v>
      </c>
      <c r="AB399" s="506">
        <f t="shared" si="114"/>
        <v>0</v>
      </c>
      <c r="AC399" s="506">
        <f t="shared" si="114"/>
        <v>0</v>
      </c>
      <c r="AD399" s="506">
        <f t="shared" si="114"/>
        <v>0</v>
      </c>
      <c r="AE399" s="506">
        <f t="shared" si="114"/>
        <v>0</v>
      </c>
      <c r="AF399" s="506">
        <f t="shared" si="114"/>
        <v>0</v>
      </c>
      <c r="AG399" s="506">
        <f t="shared" si="114"/>
        <v>0</v>
      </c>
      <c r="AH399" s="506">
        <f t="shared" si="114"/>
        <v>0</v>
      </c>
      <c r="AI399" s="506">
        <f t="shared" si="114"/>
        <v>0</v>
      </c>
      <c r="AJ399" s="506">
        <f t="shared" si="114"/>
        <v>0</v>
      </c>
      <c r="AK399" s="506">
        <f t="shared" si="114"/>
        <v>0</v>
      </c>
      <c r="AL399" s="506">
        <f t="shared" si="114"/>
        <v>0</v>
      </c>
      <c r="AM399" s="506">
        <f t="shared" si="114"/>
        <v>0</v>
      </c>
      <c r="AN399" s="506">
        <f t="shared" si="114"/>
        <v>0</v>
      </c>
      <c r="AO399" s="506">
        <f t="shared" si="114"/>
        <v>0</v>
      </c>
    </row>
    <row r="400" spans="3:41" x14ac:dyDescent="0.25">
      <c r="C400" s="82"/>
      <c r="F400" s="293" t="s">
        <v>1163</v>
      </c>
      <c r="G400" s="293" t="s">
        <v>183</v>
      </c>
      <c r="J400" s="441">
        <f t="shared" si="114"/>
        <v>0</v>
      </c>
      <c r="K400" s="441">
        <f t="shared" si="114"/>
        <v>0</v>
      </c>
      <c r="L400" s="441">
        <f t="shared" si="114"/>
        <v>0</v>
      </c>
      <c r="M400" s="441">
        <f t="shared" si="114"/>
        <v>0</v>
      </c>
      <c r="N400" s="441">
        <f t="shared" si="114"/>
        <v>0</v>
      </c>
      <c r="O400" s="441">
        <f t="shared" si="114"/>
        <v>0</v>
      </c>
      <c r="P400" s="441">
        <f t="shared" si="114"/>
        <v>0</v>
      </c>
      <c r="Q400" s="441">
        <f t="shared" si="114"/>
        <v>0</v>
      </c>
      <c r="R400" s="441">
        <f t="shared" si="114"/>
        <v>0</v>
      </c>
      <c r="S400" s="441">
        <f t="shared" si="114"/>
        <v>0</v>
      </c>
      <c r="T400" s="441">
        <f t="shared" si="114"/>
        <v>0</v>
      </c>
      <c r="U400" s="441">
        <f t="shared" si="114"/>
        <v>0</v>
      </c>
      <c r="V400" s="441">
        <f t="shared" si="114"/>
        <v>0</v>
      </c>
      <c r="W400" s="441">
        <f t="shared" si="114"/>
        <v>0</v>
      </c>
      <c r="X400" s="441">
        <f t="shared" si="114"/>
        <v>0</v>
      </c>
      <c r="Y400" s="441">
        <f t="shared" si="114"/>
        <v>0</v>
      </c>
      <c r="Z400" s="441">
        <f t="shared" si="114"/>
        <v>0</v>
      </c>
      <c r="AA400" s="441">
        <f t="shared" si="114"/>
        <v>0</v>
      </c>
      <c r="AB400" s="441">
        <f t="shared" si="114"/>
        <v>0</v>
      </c>
      <c r="AC400" s="441">
        <f t="shared" si="114"/>
        <v>0</v>
      </c>
      <c r="AD400" s="441">
        <f t="shared" si="114"/>
        <v>0</v>
      </c>
      <c r="AE400" s="441">
        <f t="shared" si="114"/>
        <v>0</v>
      </c>
      <c r="AF400" s="441">
        <f t="shared" si="114"/>
        <v>0</v>
      </c>
      <c r="AG400" s="441">
        <f t="shared" si="114"/>
        <v>0</v>
      </c>
      <c r="AH400" s="441">
        <f t="shared" si="114"/>
        <v>0</v>
      </c>
      <c r="AI400" s="441">
        <f t="shared" si="114"/>
        <v>0</v>
      </c>
      <c r="AJ400" s="441">
        <f t="shared" si="114"/>
        <v>0</v>
      </c>
      <c r="AK400" s="441">
        <f t="shared" si="114"/>
        <v>0</v>
      </c>
      <c r="AL400" s="441">
        <f t="shared" si="114"/>
        <v>0</v>
      </c>
      <c r="AM400" s="441">
        <f t="shared" si="114"/>
        <v>0</v>
      </c>
      <c r="AN400" s="441">
        <f t="shared" si="114"/>
        <v>0</v>
      </c>
      <c r="AO400" s="441">
        <f t="shared" si="114"/>
        <v>0</v>
      </c>
    </row>
    <row r="401" spans="2:43" x14ac:dyDescent="0.25">
      <c r="C401" s="82"/>
      <c r="F401" s="93" t="s">
        <v>1164</v>
      </c>
      <c r="G401" s="93" t="s">
        <v>183</v>
      </c>
      <c r="H401" s="93"/>
      <c r="I401" s="93"/>
      <c r="J401" s="507">
        <f t="shared" si="114"/>
        <v>0</v>
      </c>
      <c r="K401" s="507">
        <f t="shared" si="114"/>
        <v>0</v>
      </c>
      <c r="L401" s="507">
        <f t="shared" si="114"/>
        <v>0</v>
      </c>
      <c r="M401" s="507">
        <f t="shared" si="114"/>
        <v>0</v>
      </c>
      <c r="N401" s="507">
        <f t="shared" si="114"/>
        <v>0</v>
      </c>
      <c r="O401" s="507">
        <f t="shared" si="114"/>
        <v>0</v>
      </c>
      <c r="P401" s="507">
        <f t="shared" si="114"/>
        <v>0</v>
      </c>
      <c r="Q401" s="507">
        <f t="shared" si="114"/>
        <v>0</v>
      </c>
      <c r="R401" s="507">
        <f t="shared" si="114"/>
        <v>0</v>
      </c>
      <c r="S401" s="507">
        <f t="shared" si="114"/>
        <v>0</v>
      </c>
      <c r="T401" s="507">
        <f t="shared" si="114"/>
        <v>0</v>
      </c>
      <c r="U401" s="507">
        <f t="shared" si="114"/>
        <v>0</v>
      </c>
      <c r="V401" s="507">
        <f t="shared" si="114"/>
        <v>0</v>
      </c>
      <c r="W401" s="507">
        <f t="shared" si="114"/>
        <v>0</v>
      </c>
      <c r="X401" s="507">
        <f t="shared" si="114"/>
        <v>0</v>
      </c>
      <c r="Y401" s="507">
        <f t="shared" si="114"/>
        <v>0</v>
      </c>
      <c r="Z401" s="507">
        <f t="shared" si="114"/>
        <v>0</v>
      </c>
      <c r="AA401" s="507">
        <f t="shared" si="114"/>
        <v>0</v>
      </c>
      <c r="AB401" s="507">
        <f t="shared" si="114"/>
        <v>0</v>
      </c>
      <c r="AC401" s="507">
        <f t="shared" si="114"/>
        <v>0</v>
      </c>
      <c r="AD401" s="507">
        <f t="shared" si="114"/>
        <v>0</v>
      </c>
      <c r="AE401" s="507">
        <f t="shared" si="114"/>
        <v>0</v>
      </c>
      <c r="AF401" s="507">
        <f t="shared" si="114"/>
        <v>0</v>
      </c>
      <c r="AG401" s="507">
        <f t="shared" si="114"/>
        <v>0</v>
      </c>
      <c r="AH401" s="507">
        <f t="shared" si="114"/>
        <v>0</v>
      </c>
      <c r="AI401" s="507">
        <f t="shared" si="114"/>
        <v>0</v>
      </c>
      <c r="AJ401" s="507">
        <f t="shared" si="114"/>
        <v>0</v>
      </c>
      <c r="AK401" s="507">
        <f t="shared" si="114"/>
        <v>0</v>
      </c>
      <c r="AL401" s="507">
        <f t="shared" si="114"/>
        <v>0</v>
      </c>
      <c r="AM401" s="507">
        <f t="shared" si="114"/>
        <v>0</v>
      </c>
      <c r="AN401" s="507">
        <f t="shared" si="114"/>
        <v>0</v>
      </c>
      <c r="AO401" s="507">
        <f t="shared" si="114"/>
        <v>0</v>
      </c>
    </row>
    <row r="402" spans="2:43" x14ac:dyDescent="0.25">
      <c r="C402" s="82"/>
      <c r="J402" s="111"/>
      <c r="K402" s="111"/>
      <c r="L402" s="111"/>
      <c r="M402" s="111"/>
      <c r="N402" s="111"/>
      <c r="O402" s="111"/>
      <c r="P402" s="111"/>
      <c r="Q402" s="111"/>
      <c r="R402" s="111"/>
      <c r="S402" s="111"/>
      <c r="T402" s="111"/>
      <c r="U402" s="111"/>
      <c r="V402" s="111"/>
      <c r="W402" s="111"/>
      <c r="X402" s="111"/>
      <c r="Y402" s="111"/>
      <c r="Z402" s="111"/>
      <c r="AA402" s="111"/>
      <c r="AB402" s="111"/>
      <c r="AC402" s="111"/>
      <c r="AD402" s="111"/>
      <c r="AE402" s="111"/>
      <c r="AF402" s="111"/>
      <c r="AG402" s="111"/>
      <c r="AH402" s="111"/>
      <c r="AI402" s="111"/>
      <c r="AJ402" s="111"/>
      <c r="AK402" s="111"/>
      <c r="AL402" s="111"/>
      <c r="AM402" s="111"/>
      <c r="AN402" s="111"/>
      <c r="AO402" s="111"/>
    </row>
    <row r="403" spans="2:43" x14ac:dyDescent="0.25">
      <c r="C403" s="82"/>
      <c r="E403" s="96" t="s">
        <v>1210</v>
      </c>
      <c r="J403" s="111"/>
      <c r="K403" s="111"/>
      <c r="L403" s="111"/>
      <c r="M403" s="111"/>
      <c r="N403" s="111"/>
      <c r="O403" s="111"/>
      <c r="P403" s="111"/>
      <c r="Q403" s="111"/>
      <c r="R403" s="111"/>
      <c r="S403" s="111"/>
      <c r="T403" s="111"/>
      <c r="U403" s="111"/>
      <c r="V403" s="111"/>
      <c r="W403" s="111"/>
      <c r="X403" s="111"/>
      <c r="Y403" s="111"/>
      <c r="Z403" s="111"/>
      <c r="AA403" s="111"/>
      <c r="AB403" s="111"/>
      <c r="AC403" s="111"/>
      <c r="AD403" s="111"/>
      <c r="AE403" s="111"/>
      <c r="AF403" s="111"/>
      <c r="AG403" s="111"/>
      <c r="AH403" s="111"/>
      <c r="AI403" s="111"/>
      <c r="AJ403" s="111"/>
      <c r="AK403" s="111"/>
      <c r="AL403" s="111"/>
      <c r="AM403" s="111"/>
      <c r="AN403" s="111"/>
      <c r="AO403" s="111"/>
    </row>
    <row r="404" spans="2:43" x14ac:dyDescent="0.25">
      <c r="C404" s="82"/>
      <c r="F404" s="91" t="s">
        <v>134</v>
      </c>
      <c r="G404" s="91" t="s">
        <v>183</v>
      </c>
      <c r="H404" s="91"/>
      <c r="I404" s="91"/>
      <c r="J404" s="506">
        <f t="shared" ref="J404:AO406" si="115">IF(J$238, INDEX(J$399:J$401,J268), 0)</f>
        <v>0</v>
      </c>
      <c r="K404" s="506">
        <f t="shared" si="115"/>
        <v>0</v>
      </c>
      <c r="L404" s="506">
        <f t="shared" si="115"/>
        <v>0</v>
      </c>
      <c r="M404" s="506">
        <f t="shared" si="115"/>
        <v>0</v>
      </c>
      <c r="N404" s="506">
        <f t="shared" si="115"/>
        <v>0</v>
      </c>
      <c r="O404" s="506">
        <f t="shared" si="115"/>
        <v>0</v>
      </c>
      <c r="P404" s="506">
        <f t="shared" si="115"/>
        <v>0</v>
      </c>
      <c r="Q404" s="506">
        <f t="shared" si="115"/>
        <v>0</v>
      </c>
      <c r="R404" s="506">
        <f t="shared" si="115"/>
        <v>0</v>
      </c>
      <c r="S404" s="506">
        <f t="shared" si="115"/>
        <v>0</v>
      </c>
      <c r="T404" s="506">
        <f t="shared" si="115"/>
        <v>0</v>
      </c>
      <c r="U404" s="506">
        <f t="shared" si="115"/>
        <v>0</v>
      </c>
      <c r="V404" s="506">
        <f t="shared" si="115"/>
        <v>0</v>
      </c>
      <c r="W404" s="506">
        <f t="shared" si="115"/>
        <v>0</v>
      </c>
      <c r="X404" s="506">
        <f t="shared" si="115"/>
        <v>0</v>
      </c>
      <c r="Y404" s="506">
        <f t="shared" si="115"/>
        <v>0</v>
      </c>
      <c r="Z404" s="506">
        <f t="shared" si="115"/>
        <v>0</v>
      </c>
      <c r="AA404" s="506">
        <f t="shared" si="115"/>
        <v>0</v>
      </c>
      <c r="AB404" s="506">
        <f t="shared" si="115"/>
        <v>0</v>
      </c>
      <c r="AC404" s="506">
        <f t="shared" si="115"/>
        <v>0</v>
      </c>
      <c r="AD404" s="506">
        <f t="shared" si="115"/>
        <v>0</v>
      </c>
      <c r="AE404" s="506">
        <f t="shared" si="115"/>
        <v>0</v>
      </c>
      <c r="AF404" s="506">
        <f t="shared" si="115"/>
        <v>0</v>
      </c>
      <c r="AG404" s="506">
        <f t="shared" si="115"/>
        <v>0</v>
      </c>
      <c r="AH404" s="506">
        <f t="shared" si="115"/>
        <v>0</v>
      </c>
      <c r="AI404" s="506">
        <f t="shared" si="115"/>
        <v>0</v>
      </c>
      <c r="AJ404" s="506">
        <f t="shared" si="115"/>
        <v>0</v>
      </c>
      <c r="AK404" s="506">
        <f t="shared" si="115"/>
        <v>0</v>
      </c>
      <c r="AL404" s="506">
        <f t="shared" si="115"/>
        <v>0</v>
      </c>
      <c r="AM404" s="506">
        <f t="shared" si="115"/>
        <v>0</v>
      </c>
      <c r="AN404" s="506">
        <f t="shared" si="115"/>
        <v>0</v>
      </c>
      <c r="AO404" s="506">
        <f t="shared" si="115"/>
        <v>0</v>
      </c>
    </row>
    <row r="405" spans="2:43" x14ac:dyDescent="0.25">
      <c r="C405" s="82"/>
      <c r="F405" s="293" t="s">
        <v>135</v>
      </c>
      <c r="G405" s="293" t="s">
        <v>183</v>
      </c>
      <c r="J405" s="441">
        <f t="shared" si="115"/>
        <v>0</v>
      </c>
      <c r="K405" s="441">
        <f t="shared" si="115"/>
        <v>0</v>
      </c>
      <c r="L405" s="441">
        <f t="shared" si="115"/>
        <v>0</v>
      </c>
      <c r="M405" s="441">
        <f t="shared" si="115"/>
        <v>0</v>
      </c>
      <c r="N405" s="441">
        <f t="shared" si="115"/>
        <v>0</v>
      </c>
      <c r="O405" s="441">
        <f t="shared" si="115"/>
        <v>0</v>
      </c>
      <c r="P405" s="441">
        <f t="shared" si="115"/>
        <v>0</v>
      </c>
      <c r="Q405" s="441">
        <f t="shared" si="115"/>
        <v>0</v>
      </c>
      <c r="R405" s="441">
        <f t="shared" si="115"/>
        <v>0</v>
      </c>
      <c r="S405" s="441">
        <f t="shared" si="115"/>
        <v>0</v>
      </c>
      <c r="T405" s="441">
        <f t="shared" si="115"/>
        <v>0</v>
      </c>
      <c r="U405" s="441">
        <f t="shared" si="115"/>
        <v>0</v>
      </c>
      <c r="V405" s="441">
        <f t="shared" si="115"/>
        <v>0</v>
      </c>
      <c r="W405" s="441">
        <f t="shared" si="115"/>
        <v>0</v>
      </c>
      <c r="X405" s="441">
        <f t="shared" si="115"/>
        <v>0</v>
      </c>
      <c r="Y405" s="441">
        <f t="shared" si="115"/>
        <v>0</v>
      </c>
      <c r="Z405" s="441">
        <f t="shared" si="115"/>
        <v>0</v>
      </c>
      <c r="AA405" s="441">
        <f t="shared" si="115"/>
        <v>0</v>
      </c>
      <c r="AB405" s="441">
        <f t="shared" si="115"/>
        <v>0</v>
      </c>
      <c r="AC405" s="441">
        <f t="shared" si="115"/>
        <v>0</v>
      </c>
      <c r="AD405" s="441">
        <f t="shared" si="115"/>
        <v>0</v>
      </c>
      <c r="AE405" s="441">
        <f t="shared" si="115"/>
        <v>0</v>
      </c>
      <c r="AF405" s="441">
        <f t="shared" si="115"/>
        <v>0</v>
      </c>
      <c r="AG405" s="441">
        <f t="shared" si="115"/>
        <v>0</v>
      </c>
      <c r="AH405" s="441">
        <f t="shared" si="115"/>
        <v>0</v>
      </c>
      <c r="AI405" s="441">
        <f t="shared" si="115"/>
        <v>0</v>
      </c>
      <c r="AJ405" s="441">
        <f t="shared" si="115"/>
        <v>0</v>
      </c>
      <c r="AK405" s="441">
        <f t="shared" si="115"/>
        <v>0</v>
      </c>
      <c r="AL405" s="441">
        <f t="shared" si="115"/>
        <v>0</v>
      </c>
      <c r="AM405" s="441">
        <f t="shared" si="115"/>
        <v>0</v>
      </c>
      <c r="AN405" s="441">
        <f t="shared" si="115"/>
        <v>0</v>
      </c>
      <c r="AO405" s="441">
        <f t="shared" si="115"/>
        <v>0</v>
      </c>
    </row>
    <row r="406" spans="2:43" x14ac:dyDescent="0.25">
      <c r="C406" s="82"/>
      <c r="F406" s="93" t="s">
        <v>136</v>
      </c>
      <c r="G406" s="93" t="s">
        <v>183</v>
      </c>
      <c r="H406" s="93"/>
      <c r="I406" s="93"/>
      <c r="J406" s="507">
        <f t="shared" si="115"/>
        <v>0</v>
      </c>
      <c r="K406" s="507">
        <f t="shared" si="115"/>
        <v>0</v>
      </c>
      <c r="L406" s="507">
        <f t="shared" si="115"/>
        <v>0</v>
      </c>
      <c r="M406" s="507">
        <f t="shared" si="115"/>
        <v>0</v>
      </c>
      <c r="N406" s="507">
        <f t="shared" si="115"/>
        <v>0</v>
      </c>
      <c r="O406" s="507">
        <f t="shared" si="115"/>
        <v>0</v>
      </c>
      <c r="P406" s="507">
        <f t="shared" si="115"/>
        <v>0</v>
      </c>
      <c r="Q406" s="507">
        <f t="shared" si="115"/>
        <v>0</v>
      </c>
      <c r="R406" s="507">
        <f t="shared" si="115"/>
        <v>0</v>
      </c>
      <c r="S406" s="507">
        <f t="shared" si="115"/>
        <v>0</v>
      </c>
      <c r="T406" s="507">
        <f t="shared" si="115"/>
        <v>0</v>
      </c>
      <c r="U406" s="507">
        <f t="shared" si="115"/>
        <v>0</v>
      </c>
      <c r="V406" s="507">
        <f t="shared" si="115"/>
        <v>0</v>
      </c>
      <c r="W406" s="507">
        <f t="shared" si="115"/>
        <v>0</v>
      </c>
      <c r="X406" s="507">
        <f t="shared" si="115"/>
        <v>0</v>
      </c>
      <c r="Y406" s="507">
        <f t="shared" si="115"/>
        <v>0</v>
      </c>
      <c r="Z406" s="507">
        <f t="shared" si="115"/>
        <v>0</v>
      </c>
      <c r="AA406" s="507">
        <f t="shared" si="115"/>
        <v>0</v>
      </c>
      <c r="AB406" s="507">
        <f t="shared" si="115"/>
        <v>0</v>
      </c>
      <c r="AC406" s="507">
        <f t="shared" si="115"/>
        <v>0</v>
      </c>
      <c r="AD406" s="507">
        <f t="shared" si="115"/>
        <v>0</v>
      </c>
      <c r="AE406" s="507">
        <f t="shared" si="115"/>
        <v>0</v>
      </c>
      <c r="AF406" s="507">
        <f t="shared" si="115"/>
        <v>0</v>
      </c>
      <c r="AG406" s="507">
        <f t="shared" si="115"/>
        <v>0</v>
      </c>
      <c r="AH406" s="507">
        <f t="shared" si="115"/>
        <v>0</v>
      </c>
      <c r="AI406" s="507">
        <f t="shared" si="115"/>
        <v>0</v>
      </c>
      <c r="AJ406" s="507">
        <f t="shared" si="115"/>
        <v>0</v>
      </c>
      <c r="AK406" s="507">
        <f t="shared" si="115"/>
        <v>0</v>
      </c>
      <c r="AL406" s="507">
        <f t="shared" si="115"/>
        <v>0</v>
      </c>
      <c r="AM406" s="507">
        <f t="shared" si="115"/>
        <v>0</v>
      </c>
      <c r="AN406" s="507">
        <f t="shared" si="115"/>
        <v>0</v>
      </c>
      <c r="AO406" s="507">
        <f t="shared" si="115"/>
        <v>0</v>
      </c>
    </row>
    <row r="407" spans="2:43" x14ac:dyDescent="0.25">
      <c r="C407" s="82"/>
      <c r="J407" s="111"/>
      <c r="K407" s="111"/>
      <c r="L407" s="111"/>
      <c r="M407" s="111"/>
      <c r="N407" s="111"/>
      <c r="O407" s="111"/>
      <c r="P407" s="111"/>
      <c r="Q407" s="111"/>
      <c r="R407" s="111"/>
      <c r="S407" s="111"/>
      <c r="T407" s="111"/>
      <c r="U407" s="111"/>
      <c r="V407" s="111"/>
      <c r="W407" s="111"/>
      <c r="X407" s="111"/>
      <c r="Y407" s="111"/>
      <c r="Z407" s="111"/>
      <c r="AA407" s="111"/>
      <c r="AB407" s="111"/>
      <c r="AC407" s="111"/>
      <c r="AD407" s="111"/>
      <c r="AE407" s="111"/>
      <c r="AF407" s="111"/>
      <c r="AG407" s="111"/>
      <c r="AH407" s="111"/>
      <c r="AI407" s="111"/>
      <c r="AJ407" s="111"/>
      <c r="AK407" s="111"/>
      <c r="AL407" s="111"/>
      <c r="AM407" s="111"/>
      <c r="AN407" s="111"/>
      <c r="AO407" s="111"/>
    </row>
    <row r="408" spans="2:43" x14ac:dyDescent="0.25">
      <c r="B408" s="95" t="s">
        <v>1211</v>
      </c>
      <c r="C408" s="95"/>
      <c r="D408" s="95"/>
      <c r="E408" s="95"/>
      <c r="F408" s="95"/>
      <c r="G408" s="95"/>
      <c r="H408" s="95"/>
      <c r="I408" s="95"/>
      <c r="J408" s="160"/>
      <c r="K408" s="160"/>
      <c r="L408" s="160"/>
      <c r="M408" s="160"/>
      <c r="N408" s="160"/>
      <c r="O408" s="160"/>
      <c r="P408" s="160"/>
      <c r="Q408" s="160"/>
      <c r="R408" s="160"/>
      <c r="S408" s="160"/>
      <c r="T408" s="160"/>
      <c r="U408" s="160"/>
      <c r="V408" s="160"/>
      <c r="W408" s="160"/>
      <c r="X408" s="160"/>
      <c r="Y408" s="160"/>
      <c r="Z408" s="160"/>
      <c r="AA408" s="160"/>
      <c r="AB408" s="160"/>
      <c r="AC408" s="160"/>
      <c r="AD408" s="160"/>
      <c r="AE408" s="160"/>
      <c r="AF408" s="160"/>
      <c r="AG408" s="160"/>
      <c r="AH408" s="160"/>
      <c r="AI408" s="160"/>
      <c r="AJ408" s="160"/>
      <c r="AK408" s="160"/>
      <c r="AL408" s="160"/>
      <c r="AM408" s="160"/>
      <c r="AN408" s="160"/>
      <c r="AO408" s="160"/>
      <c r="AP408" s="72"/>
      <c r="AQ408" s="72"/>
    </row>
    <row r="409" spans="2:43" x14ac:dyDescent="0.25">
      <c r="C409" s="82"/>
      <c r="J409" s="111"/>
      <c r="K409" s="111"/>
      <c r="L409" s="111"/>
      <c r="M409" s="111"/>
      <c r="N409" s="441"/>
      <c r="O409" s="111"/>
      <c r="P409" s="111"/>
      <c r="Q409" s="111"/>
      <c r="R409" s="111"/>
      <c r="S409" s="111"/>
      <c r="T409" s="111"/>
      <c r="U409" s="111"/>
      <c r="V409" s="111"/>
      <c r="W409" s="111"/>
      <c r="X409" s="111"/>
      <c r="Y409" s="111"/>
      <c r="Z409" s="111"/>
      <c r="AA409" s="111"/>
      <c r="AB409" s="111"/>
      <c r="AC409" s="111"/>
      <c r="AD409" s="111"/>
      <c r="AE409" s="111"/>
      <c r="AF409" s="111"/>
      <c r="AG409" s="111"/>
      <c r="AH409" s="111"/>
      <c r="AI409" s="111"/>
      <c r="AJ409" s="111"/>
      <c r="AK409" s="111"/>
      <c r="AL409" s="111"/>
      <c r="AM409" s="111"/>
      <c r="AN409" s="111"/>
      <c r="AO409" s="111"/>
    </row>
    <row r="410" spans="2:43" x14ac:dyDescent="0.25">
      <c r="C410" s="7" t="str">
        <f ca="1">INDEX('Version control'!$H$35:$H$61,MATCH($A$1,'Version control'!$F$35:$F$61,0),1)&amp;"-O: Final adders"</f>
        <v>Section 519-O: Final adders</v>
      </c>
      <c r="D410" s="7"/>
      <c r="E410" s="7"/>
      <c r="F410" s="7"/>
      <c r="G410" s="7"/>
      <c r="H410" s="7"/>
      <c r="I410" s="7"/>
      <c r="J410" s="171"/>
      <c r="K410" s="171"/>
      <c r="L410" s="171"/>
      <c r="M410" s="171"/>
      <c r="N410" s="171"/>
      <c r="O410" s="171"/>
      <c r="P410" s="171"/>
      <c r="Q410" s="171"/>
      <c r="R410" s="171"/>
      <c r="S410" s="171"/>
      <c r="T410" s="171"/>
      <c r="U410" s="171"/>
      <c r="V410" s="171"/>
      <c r="W410" s="171"/>
      <c r="X410" s="171"/>
      <c r="Y410" s="171"/>
      <c r="Z410" s="171"/>
      <c r="AA410" s="171"/>
      <c r="AB410" s="171"/>
      <c r="AC410" s="171"/>
      <c r="AD410" s="171"/>
      <c r="AE410" s="171"/>
      <c r="AF410" s="171"/>
      <c r="AG410" s="171"/>
      <c r="AH410" s="171"/>
      <c r="AI410" s="171"/>
      <c r="AJ410" s="171"/>
      <c r="AK410" s="171"/>
      <c r="AL410" s="171"/>
      <c r="AM410" s="171"/>
      <c r="AN410" s="171"/>
      <c r="AO410" s="171"/>
      <c r="AP410" s="7"/>
      <c r="AQ410" s="7"/>
    </row>
    <row r="411" spans="2:43" x14ac:dyDescent="0.25">
      <c r="C411" s="82"/>
      <c r="E411" s="96"/>
      <c r="J411" s="111"/>
      <c r="K411" s="111"/>
      <c r="L411" s="111"/>
      <c r="M411" s="111"/>
      <c r="N411" s="111"/>
      <c r="O411" s="111"/>
      <c r="P411" s="111"/>
      <c r="Q411" s="111"/>
      <c r="R411" s="111"/>
      <c r="S411" s="111"/>
      <c r="T411" s="111"/>
      <c r="U411" s="111"/>
      <c r="V411" s="111"/>
      <c r="W411" s="111"/>
      <c r="X411" s="111"/>
      <c r="Y411" s="111"/>
      <c r="Z411" s="111"/>
      <c r="AA411" s="111"/>
      <c r="AB411" s="111"/>
      <c r="AC411" s="111"/>
      <c r="AD411" s="111"/>
      <c r="AE411" s="111"/>
      <c r="AF411" s="111"/>
      <c r="AG411" s="111"/>
      <c r="AH411" s="111"/>
      <c r="AI411" s="111"/>
      <c r="AJ411" s="111"/>
      <c r="AK411" s="111"/>
      <c r="AL411" s="111"/>
      <c r="AM411" s="111"/>
      <c r="AN411" s="111"/>
      <c r="AO411" s="111"/>
    </row>
    <row r="412" spans="2:43" x14ac:dyDescent="0.25">
      <c r="C412" s="82"/>
      <c r="E412" s="86" t="s">
        <v>1212</v>
      </c>
      <c r="J412" s="111"/>
      <c r="K412" s="111"/>
      <c r="L412" s="111"/>
      <c r="M412" s="111"/>
      <c r="N412" s="111"/>
      <c r="O412" s="111"/>
      <c r="P412" s="111"/>
      <c r="Q412" s="111"/>
      <c r="R412" s="111"/>
      <c r="S412" s="111"/>
      <c r="T412" s="111"/>
      <c r="U412" s="111"/>
      <c r="V412" s="111"/>
      <c r="W412" s="111"/>
      <c r="X412" s="111"/>
      <c r="Y412" s="111"/>
      <c r="Z412" s="111"/>
      <c r="AA412" s="111"/>
      <c r="AB412" s="111"/>
      <c r="AC412" s="111"/>
      <c r="AD412" s="111"/>
      <c r="AE412" s="111"/>
      <c r="AF412" s="111"/>
      <c r="AG412" s="111"/>
      <c r="AH412" s="111"/>
      <c r="AI412" s="111"/>
      <c r="AJ412" s="111"/>
      <c r="AK412" s="111"/>
      <c r="AL412" s="111"/>
      <c r="AM412" s="111"/>
      <c r="AN412" s="111"/>
      <c r="AO412" s="111"/>
    </row>
    <row r="413" spans="2:43" x14ac:dyDescent="0.25">
      <c r="C413" s="82"/>
      <c r="F413" s="91" t="s">
        <v>134</v>
      </c>
      <c r="G413" s="91" t="s">
        <v>183</v>
      </c>
      <c r="H413" s="91"/>
      <c r="I413" s="91"/>
      <c r="J413" s="353">
        <f>J404 + J$208</f>
        <v>0</v>
      </c>
      <c r="K413" s="353">
        <f t="shared" ref="K413:AO413" si="116">K404 + K$208</f>
        <v>0</v>
      </c>
      <c r="L413" s="353">
        <f t="shared" si="116"/>
        <v>0</v>
      </c>
      <c r="M413" s="353">
        <f t="shared" si="116"/>
        <v>0</v>
      </c>
      <c r="N413" s="353">
        <f t="shared" si="116"/>
        <v>0</v>
      </c>
      <c r="O413" s="353">
        <f t="shared" si="116"/>
        <v>0</v>
      </c>
      <c r="P413" s="353">
        <f t="shared" si="116"/>
        <v>0</v>
      </c>
      <c r="Q413" s="353">
        <f t="shared" si="116"/>
        <v>0</v>
      </c>
      <c r="R413" s="353">
        <f t="shared" si="116"/>
        <v>0</v>
      </c>
      <c r="S413" s="353">
        <f t="shared" si="116"/>
        <v>0</v>
      </c>
      <c r="T413" s="353">
        <f t="shared" si="116"/>
        <v>0</v>
      </c>
      <c r="U413" s="353">
        <f t="shared" si="116"/>
        <v>0</v>
      </c>
      <c r="V413" s="353">
        <f t="shared" si="116"/>
        <v>0</v>
      </c>
      <c r="W413" s="353">
        <f t="shared" si="116"/>
        <v>0</v>
      </c>
      <c r="X413" s="353">
        <f t="shared" si="116"/>
        <v>0</v>
      </c>
      <c r="Y413" s="353">
        <f t="shared" si="116"/>
        <v>0</v>
      </c>
      <c r="Z413" s="353">
        <f t="shared" si="116"/>
        <v>0</v>
      </c>
      <c r="AA413" s="353">
        <f t="shared" si="116"/>
        <v>0</v>
      </c>
      <c r="AB413" s="353">
        <f t="shared" si="116"/>
        <v>0</v>
      </c>
      <c r="AC413" s="353">
        <f t="shared" si="116"/>
        <v>0</v>
      </c>
      <c r="AD413" s="353">
        <f t="shared" si="116"/>
        <v>0</v>
      </c>
      <c r="AE413" s="353">
        <f t="shared" si="116"/>
        <v>0</v>
      </c>
      <c r="AF413" s="353">
        <f t="shared" si="116"/>
        <v>0</v>
      </c>
      <c r="AG413" s="353">
        <f t="shared" si="116"/>
        <v>0.48638640825841017</v>
      </c>
      <c r="AH413" s="353">
        <f t="shared" si="116"/>
        <v>0</v>
      </c>
      <c r="AI413" s="353">
        <f t="shared" si="116"/>
        <v>0</v>
      </c>
      <c r="AJ413" s="353">
        <f t="shared" si="116"/>
        <v>0</v>
      </c>
      <c r="AK413" s="353">
        <f t="shared" si="116"/>
        <v>0</v>
      </c>
      <c r="AL413" s="353">
        <f t="shared" si="116"/>
        <v>0</v>
      </c>
      <c r="AM413" s="353">
        <f t="shared" si="116"/>
        <v>0</v>
      </c>
      <c r="AN413" s="353">
        <f t="shared" si="116"/>
        <v>0</v>
      </c>
      <c r="AO413" s="353">
        <f t="shared" si="116"/>
        <v>0</v>
      </c>
    </row>
    <row r="414" spans="2:43" x14ac:dyDescent="0.25">
      <c r="C414" s="82"/>
      <c r="F414" s="293" t="s">
        <v>135</v>
      </c>
      <c r="G414" s="293" t="s">
        <v>183</v>
      </c>
      <c r="J414" s="354">
        <f t="shared" ref="J414:AO415" si="117">J405 + J$208</f>
        <v>0</v>
      </c>
      <c r="K414" s="354">
        <f t="shared" si="117"/>
        <v>0</v>
      </c>
      <c r="L414" s="354">
        <f t="shared" si="117"/>
        <v>0</v>
      </c>
      <c r="M414" s="354">
        <f t="shared" si="117"/>
        <v>0</v>
      </c>
      <c r="N414" s="354">
        <f t="shared" si="117"/>
        <v>0</v>
      </c>
      <c r="O414" s="354">
        <f t="shared" si="117"/>
        <v>0</v>
      </c>
      <c r="P414" s="354">
        <f t="shared" si="117"/>
        <v>0</v>
      </c>
      <c r="Q414" s="354">
        <f t="shared" si="117"/>
        <v>0</v>
      </c>
      <c r="R414" s="354">
        <f t="shared" si="117"/>
        <v>0</v>
      </c>
      <c r="S414" s="354">
        <f t="shared" si="117"/>
        <v>0</v>
      </c>
      <c r="T414" s="354">
        <f t="shared" si="117"/>
        <v>0</v>
      </c>
      <c r="U414" s="354">
        <f t="shared" si="117"/>
        <v>0</v>
      </c>
      <c r="V414" s="354">
        <f t="shared" si="117"/>
        <v>0</v>
      </c>
      <c r="W414" s="354">
        <f t="shared" si="117"/>
        <v>0</v>
      </c>
      <c r="X414" s="354">
        <f t="shared" si="117"/>
        <v>0</v>
      </c>
      <c r="Y414" s="354">
        <f t="shared" si="117"/>
        <v>0</v>
      </c>
      <c r="Z414" s="354">
        <f t="shared" si="117"/>
        <v>0</v>
      </c>
      <c r="AA414" s="354">
        <f t="shared" si="117"/>
        <v>0</v>
      </c>
      <c r="AB414" s="354">
        <f t="shared" si="117"/>
        <v>0</v>
      </c>
      <c r="AC414" s="354">
        <f t="shared" si="117"/>
        <v>0</v>
      </c>
      <c r="AD414" s="354">
        <f t="shared" si="117"/>
        <v>0</v>
      </c>
      <c r="AE414" s="354">
        <f t="shared" si="117"/>
        <v>0</v>
      </c>
      <c r="AF414" s="354">
        <f t="shared" si="117"/>
        <v>0</v>
      </c>
      <c r="AG414" s="354">
        <f t="shared" si="117"/>
        <v>0.48638640825841017</v>
      </c>
      <c r="AH414" s="354">
        <f t="shared" si="117"/>
        <v>0</v>
      </c>
      <c r="AI414" s="354">
        <f t="shared" si="117"/>
        <v>0</v>
      </c>
      <c r="AJ414" s="354">
        <f t="shared" si="117"/>
        <v>0</v>
      </c>
      <c r="AK414" s="354">
        <f t="shared" si="117"/>
        <v>0</v>
      </c>
      <c r="AL414" s="354">
        <f t="shared" si="117"/>
        <v>0</v>
      </c>
      <c r="AM414" s="354">
        <f t="shared" si="117"/>
        <v>0</v>
      </c>
      <c r="AN414" s="354">
        <f t="shared" si="117"/>
        <v>0</v>
      </c>
      <c r="AO414" s="354">
        <f t="shared" si="117"/>
        <v>0</v>
      </c>
    </row>
    <row r="415" spans="2:43" x14ac:dyDescent="0.25">
      <c r="C415" s="82"/>
      <c r="F415" s="293" t="s">
        <v>136</v>
      </c>
      <c r="G415" s="293" t="s">
        <v>183</v>
      </c>
      <c r="J415" s="355">
        <f t="shared" si="117"/>
        <v>0</v>
      </c>
      <c r="K415" s="355">
        <f t="shared" si="117"/>
        <v>0</v>
      </c>
      <c r="L415" s="355">
        <f t="shared" si="117"/>
        <v>0</v>
      </c>
      <c r="M415" s="355">
        <f t="shared" si="117"/>
        <v>0</v>
      </c>
      <c r="N415" s="355">
        <f t="shared" si="117"/>
        <v>0</v>
      </c>
      <c r="O415" s="355">
        <f t="shared" si="117"/>
        <v>0</v>
      </c>
      <c r="P415" s="355">
        <f t="shared" si="117"/>
        <v>0</v>
      </c>
      <c r="Q415" s="355">
        <f t="shared" si="117"/>
        <v>0</v>
      </c>
      <c r="R415" s="355">
        <f t="shared" si="117"/>
        <v>0</v>
      </c>
      <c r="S415" s="355">
        <f t="shared" si="117"/>
        <v>0</v>
      </c>
      <c r="T415" s="355">
        <f t="shared" si="117"/>
        <v>0</v>
      </c>
      <c r="U415" s="355">
        <f t="shared" si="117"/>
        <v>0</v>
      </c>
      <c r="V415" s="355">
        <f t="shared" si="117"/>
        <v>0</v>
      </c>
      <c r="W415" s="355">
        <f t="shared" si="117"/>
        <v>0</v>
      </c>
      <c r="X415" s="355">
        <f t="shared" si="117"/>
        <v>0</v>
      </c>
      <c r="Y415" s="355">
        <f t="shared" si="117"/>
        <v>0</v>
      </c>
      <c r="Z415" s="355">
        <f t="shared" si="117"/>
        <v>0</v>
      </c>
      <c r="AA415" s="355">
        <f t="shared" si="117"/>
        <v>0</v>
      </c>
      <c r="AB415" s="355">
        <f t="shared" si="117"/>
        <v>0</v>
      </c>
      <c r="AC415" s="355">
        <f t="shared" si="117"/>
        <v>0</v>
      </c>
      <c r="AD415" s="355">
        <f t="shared" si="117"/>
        <v>0</v>
      </c>
      <c r="AE415" s="355">
        <f t="shared" si="117"/>
        <v>0</v>
      </c>
      <c r="AF415" s="355">
        <f t="shared" si="117"/>
        <v>0</v>
      </c>
      <c r="AG415" s="355">
        <f t="shared" si="117"/>
        <v>0.48638640825841017</v>
      </c>
      <c r="AH415" s="355">
        <f t="shared" si="117"/>
        <v>0</v>
      </c>
      <c r="AI415" s="355">
        <f t="shared" si="117"/>
        <v>0</v>
      </c>
      <c r="AJ415" s="355">
        <f t="shared" si="117"/>
        <v>0</v>
      </c>
      <c r="AK415" s="355">
        <f t="shared" si="117"/>
        <v>0</v>
      </c>
      <c r="AL415" s="355">
        <f t="shared" si="117"/>
        <v>0</v>
      </c>
      <c r="AM415" s="355">
        <f t="shared" si="117"/>
        <v>0</v>
      </c>
      <c r="AN415" s="355">
        <f t="shared" si="117"/>
        <v>0</v>
      </c>
      <c r="AO415" s="355">
        <f t="shared" si="117"/>
        <v>0</v>
      </c>
    </row>
    <row r="416" spans="2:43" x14ac:dyDescent="0.25">
      <c r="C416" s="82"/>
      <c r="F416" s="293" t="s">
        <v>254</v>
      </c>
      <c r="G416" s="293" t="s">
        <v>252</v>
      </c>
      <c r="J416" s="233">
        <f t="shared" ref="J416:AO416" si="118">J225</f>
        <v>5.4930917604092055</v>
      </c>
      <c r="K416" s="233">
        <f t="shared" si="118"/>
        <v>0</v>
      </c>
      <c r="L416" s="233">
        <f t="shared" si="118"/>
        <v>0</v>
      </c>
      <c r="M416" s="233">
        <f t="shared" si="118"/>
        <v>3.223067199123796</v>
      </c>
      <c r="N416" s="233">
        <f t="shared" si="118"/>
        <v>10.587350562987183</v>
      </c>
      <c r="O416" s="233">
        <f t="shared" si="118"/>
        <v>23.99564693975481</v>
      </c>
      <c r="P416" s="233">
        <f t="shared" si="118"/>
        <v>65.28512662746806</v>
      </c>
      <c r="Q416" s="233">
        <f t="shared" si="118"/>
        <v>0</v>
      </c>
      <c r="R416" s="233">
        <f t="shared" si="118"/>
        <v>0</v>
      </c>
      <c r="S416" s="233">
        <f t="shared" si="118"/>
        <v>119.7771850499329</v>
      </c>
      <c r="T416" s="233">
        <f t="shared" si="118"/>
        <v>222.63805205601338</v>
      </c>
      <c r="U416" s="233">
        <f t="shared" si="118"/>
        <v>344.55016510039712</v>
      </c>
      <c r="V416" s="233">
        <f t="shared" si="118"/>
        <v>881.06973710324348</v>
      </c>
      <c r="W416" s="233">
        <f t="shared" si="118"/>
        <v>0</v>
      </c>
      <c r="X416" s="233">
        <f t="shared" si="118"/>
        <v>119.7771850499329</v>
      </c>
      <c r="Y416" s="233">
        <f t="shared" si="118"/>
        <v>222.63805205601338</v>
      </c>
      <c r="Z416" s="233">
        <f t="shared" si="118"/>
        <v>344.55016510039712</v>
      </c>
      <c r="AA416" s="233">
        <f t="shared" si="118"/>
        <v>881.06973710324348</v>
      </c>
      <c r="AB416" s="233">
        <f t="shared" si="118"/>
        <v>0</v>
      </c>
      <c r="AC416" s="233">
        <f t="shared" si="118"/>
        <v>734.34869522529414</v>
      </c>
      <c r="AD416" s="233">
        <f t="shared" si="118"/>
        <v>2142.5598486505887</v>
      </c>
      <c r="AE416" s="233">
        <f t="shared" si="118"/>
        <v>3932.6044921075709</v>
      </c>
      <c r="AF416" s="233">
        <f t="shared" si="118"/>
        <v>10331.444452113208</v>
      </c>
      <c r="AG416" s="233">
        <f t="shared" si="118"/>
        <v>0</v>
      </c>
      <c r="AH416" s="233">
        <f t="shared" si="118"/>
        <v>0</v>
      </c>
      <c r="AI416" s="233">
        <f t="shared" si="118"/>
        <v>0</v>
      </c>
      <c r="AJ416" s="233">
        <f t="shared" si="118"/>
        <v>0</v>
      </c>
      <c r="AK416" s="233">
        <f t="shared" si="118"/>
        <v>0</v>
      </c>
      <c r="AL416" s="233">
        <f t="shared" si="118"/>
        <v>0</v>
      </c>
      <c r="AM416" s="233">
        <f t="shared" si="118"/>
        <v>0</v>
      </c>
      <c r="AN416" s="233">
        <f t="shared" si="118"/>
        <v>0</v>
      </c>
      <c r="AO416" s="233">
        <f t="shared" si="118"/>
        <v>0</v>
      </c>
    </row>
    <row r="417" spans="2:43" x14ac:dyDescent="0.25">
      <c r="C417" s="82"/>
      <c r="E417" s="14"/>
      <c r="F417" s="293" t="s">
        <v>255</v>
      </c>
      <c r="G417" s="293" t="s">
        <v>251</v>
      </c>
      <c r="J417" s="79"/>
      <c r="K417" s="79"/>
      <c r="L417" s="79"/>
      <c r="M417" s="79"/>
      <c r="N417" s="79"/>
      <c r="O417" s="79"/>
      <c r="P417" s="79"/>
      <c r="Q417" s="79"/>
      <c r="R417" s="79"/>
      <c r="S417" s="79"/>
      <c r="T417" s="79"/>
      <c r="U417" s="79"/>
      <c r="V417" s="79"/>
      <c r="W417" s="79"/>
      <c r="X417" s="79"/>
      <c r="Y417" s="79"/>
      <c r="Z417" s="79"/>
      <c r="AA417" s="79"/>
      <c r="AB417" s="79"/>
      <c r="AC417" s="79"/>
      <c r="AD417" s="79"/>
      <c r="AE417" s="79"/>
      <c r="AF417" s="79"/>
      <c r="AG417" s="79"/>
      <c r="AH417" s="79"/>
      <c r="AI417" s="79"/>
      <c r="AJ417" s="79"/>
      <c r="AK417" s="79"/>
      <c r="AL417" s="79"/>
      <c r="AM417" s="79"/>
      <c r="AN417" s="79"/>
      <c r="AO417" s="79"/>
    </row>
    <row r="418" spans="2:43" x14ac:dyDescent="0.25">
      <c r="C418" s="82"/>
      <c r="F418" s="293" t="s">
        <v>256</v>
      </c>
      <c r="G418" s="293" t="s">
        <v>251</v>
      </c>
      <c r="J418" s="79"/>
      <c r="K418" s="79"/>
      <c r="L418" s="79"/>
      <c r="M418" s="79"/>
      <c r="N418" s="79"/>
      <c r="O418" s="79"/>
      <c r="P418" s="79"/>
      <c r="Q418" s="79"/>
      <c r="R418" s="79"/>
      <c r="S418" s="79"/>
      <c r="T418" s="79"/>
      <c r="U418" s="79"/>
      <c r="V418" s="79"/>
      <c r="W418" s="79"/>
      <c r="X418" s="79"/>
      <c r="Y418" s="79"/>
      <c r="Z418" s="79"/>
      <c r="AA418" s="79"/>
      <c r="AB418" s="79"/>
      <c r="AC418" s="79"/>
      <c r="AD418" s="79"/>
      <c r="AE418" s="79"/>
      <c r="AF418" s="79"/>
      <c r="AG418" s="79"/>
      <c r="AH418" s="79"/>
      <c r="AI418" s="79"/>
      <c r="AJ418" s="79"/>
      <c r="AK418" s="79"/>
      <c r="AL418" s="79"/>
      <c r="AM418" s="79"/>
      <c r="AN418" s="79"/>
      <c r="AO418" s="79"/>
    </row>
    <row r="419" spans="2:43" x14ac:dyDescent="0.25">
      <c r="C419" s="82"/>
      <c r="E419" s="14"/>
      <c r="F419" s="93" t="s">
        <v>257</v>
      </c>
      <c r="G419" s="93" t="s">
        <v>258</v>
      </c>
      <c r="H419" s="93"/>
      <c r="I419" s="93"/>
      <c r="J419" s="102"/>
      <c r="K419" s="102"/>
      <c r="L419" s="102"/>
      <c r="M419" s="102"/>
      <c r="N419" s="102"/>
      <c r="O419" s="102"/>
      <c r="P419" s="102"/>
      <c r="Q419" s="102"/>
      <c r="R419" s="102"/>
      <c r="S419" s="102"/>
      <c r="T419" s="102"/>
      <c r="U419" s="102"/>
      <c r="V419" s="102"/>
      <c r="W419" s="102"/>
      <c r="X419" s="102"/>
      <c r="Y419" s="102"/>
      <c r="Z419" s="102"/>
      <c r="AA419" s="102"/>
      <c r="AB419" s="102"/>
      <c r="AC419" s="102"/>
      <c r="AD419" s="102"/>
      <c r="AE419" s="102"/>
      <c r="AF419" s="102"/>
      <c r="AG419" s="102"/>
      <c r="AH419" s="102"/>
      <c r="AI419" s="102"/>
      <c r="AJ419" s="102"/>
      <c r="AK419" s="102"/>
      <c r="AL419" s="102"/>
      <c r="AM419" s="102"/>
      <c r="AN419" s="102"/>
      <c r="AO419" s="102"/>
    </row>
    <row r="420" spans="2:43" x14ac:dyDescent="0.25">
      <c r="C420" s="82"/>
    </row>
    <row r="421" spans="2:43" x14ac:dyDescent="0.25">
      <c r="B421" s="95" t="s">
        <v>109</v>
      </c>
      <c r="C421" s="95"/>
      <c r="D421" s="95"/>
      <c r="E421" s="95"/>
      <c r="F421" s="95"/>
      <c r="G421" s="95"/>
      <c r="H421" s="95"/>
      <c r="I421" s="95"/>
      <c r="J421" s="160"/>
      <c r="K421" s="160"/>
      <c r="L421" s="160"/>
      <c r="M421" s="160"/>
      <c r="N421" s="160"/>
      <c r="O421" s="160"/>
      <c r="P421" s="160"/>
      <c r="Q421" s="160"/>
      <c r="R421" s="160"/>
      <c r="S421" s="160"/>
      <c r="T421" s="160"/>
      <c r="U421" s="160"/>
      <c r="V421" s="160"/>
      <c r="W421" s="160"/>
      <c r="X421" s="160"/>
      <c r="Y421" s="160"/>
      <c r="Z421" s="160"/>
      <c r="AA421" s="160"/>
      <c r="AB421" s="160"/>
      <c r="AC421" s="160"/>
      <c r="AD421" s="160"/>
      <c r="AE421" s="160"/>
      <c r="AF421" s="160"/>
      <c r="AG421" s="160"/>
      <c r="AH421" s="160"/>
      <c r="AI421" s="160"/>
      <c r="AJ421" s="160"/>
      <c r="AK421" s="160"/>
      <c r="AL421" s="160"/>
      <c r="AM421" s="160"/>
      <c r="AN421" s="160"/>
      <c r="AO421" s="160"/>
      <c r="AP421" s="72"/>
      <c r="AQ421" s="72"/>
    </row>
    <row r="422" spans="2:43" x14ac:dyDescent="0.25">
      <c r="C422" s="82"/>
      <c r="J422" s="111"/>
      <c r="K422" s="111"/>
      <c r="L422" s="111"/>
      <c r="M422" s="111"/>
      <c r="N422" s="111"/>
      <c r="O422" s="111"/>
      <c r="P422" s="111"/>
      <c r="Q422" s="111"/>
      <c r="R422" s="111"/>
      <c r="S422" s="111"/>
      <c r="T422" s="111"/>
      <c r="U422" s="111"/>
      <c r="V422" s="111"/>
      <c r="W422" s="111"/>
      <c r="X422" s="111"/>
      <c r="Y422" s="111"/>
      <c r="Z422" s="111"/>
      <c r="AA422" s="111"/>
      <c r="AB422" s="111"/>
      <c r="AC422" s="111"/>
      <c r="AD422" s="111"/>
      <c r="AE422" s="111"/>
      <c r="AF422" s="111"/>
      <c r="AG422" s="111"/>
      <c r="AH422" s="111"/>
      <c r="AI422" s="111"/>
      <c r="AJ422" s="111"/>
      <c r="AK422" s="111"/>
      <c r="AL422" s="111"/>
      <c r="AM422" s="111"/>
      <c r="AN422" s="111"/>
      <c r="AO422" s="111"/>
    </row>
    <row r="423" spans="2:43" x14ac:dyDescent="0.25">
      <c r="C423" s="82"/>
      <c r="E423" s="14" t="s">
        <v>1213</v>
      </c>
      <c r="F423" s="14"/>
      <c r="G423" s="293" t="s">
        <v>1139</v>
      </c>
      <c r="H423" s="252">
        <f>SUM(J423:AO423)</f>
        <v>0</v>
      </c>
      <c r="J423" s="237">
        <f t="shared" ref="J423:AO423" si="119">SUMPRODUCT(J399:J401,J283:J285)*thousand/hundred</f>
        <v>0</v>
      </c>
      <c r="K423" s="237">
        <f t="shared" si="119"/>
        <v>0</v>
      </c>
      <c r="L423" s="237">
        <f t="shared" si="119"/>
        <v>0</v>
      </c>
      <c r="M423" s="237">
        <f t="shared" si="119"/>
        <v>0</v>
      </c>
      <c r="N423" s="237">
        <f t="shared" si="119"/>
        <v>0</v>
      </c>
      <c r="O423" s="237">
        <f t="shared" si="119"/>
        <v>0</v>
      </c>
      <c r="P423" s="237">
        <f t="shared" si="119"/>
        <v>0</v>
      </c>
      <c r="Q423" s="237">
        <f t="shared" si="119"/>
        <v>0</v>
      </c>
      <c r="R423" s="237">
        <f t="shared" si="119"/>
        <v>0</v>
      </c>
      <c r="S423" s="237">
        <f t="shared" si="119"/>
        <v>0</v>
      </c>
      <c r="T423" s="237">
        <f t="shared" si="119"/>
        <v>0</v>
      </c>
      <c r="U423" s="237">
        <f t="shared" si="119"/>
        <v>0</v>
      </c>
      <c r="V423" s="237">
        <f t="shared" si="119"/>
        <v>0</v>
      </c>
      <c r="W423" s="237">
        <f t="shared" si="119"/>
        <v>0</v>
      </c>
      <c r="X423" s="237">
        <f t="shared" si="119"/>
        <v>0</v>
      </c>
      <c r="Y423" s="237">
        <f t="shared" si="119"/>
        <v>0</v>
      </c>
      <c r="Z423" s="237">
        <f t="shared" si="119"/>
        <v>0</v>
      </c>
      <c r="AA423" s="237">
        <f t="shared" si="119"/>
        <v>0</v>
      </c>
      <c r="AB423" s="237">
        <f t="shared" si="119"/>
        <v>0</v>
      </c>
      <c r="AC423" s="237">
        <f t="shared" si="119"/>
        <v>0</v>
      </c>
      <c r="AD423" s="237">
        <f t="shared" si="119"/>
        <v>0</v>
      </c>
      <c r="AE423" s="237">
        <f t="shared" si="119"/>
        <v>0</v>
      </c>
      <c r="AF423" s="237">
        <f t="shared" si="119"/>
        <v>0</v>
      </c>
      <c r="AG423" s="237">
        <f t="shared" si="119"/>
        <v>0</v>
      </c>
      <c r="AH423" s="237">
        <f t="shared" si="119"/>
        <v>0</v>
      </c>
      <c r="AI423" s="237">
        <f t="shared" si="119"/>
        <v>0</v>
      </c>
      <c r="AJ423" s="237">
        <f t="shared" si="119"/>
        <v>0</v>
      </c>
      <c r="AK423" s="237">
        <f t="shared" si="119"/>
        <v>0</v>
      </c>
      <c r="AL423" s="237">
        <f t="shared" si="119"/>
        <v>0</v>
      </c>
      <c r="AM423" s="237">
        <f t="shared" si="119"/>
        <v>0</v>
      </c>
      <c r="AN423" s="237">
        <f t="shared" si="119"/>
        <v>0</v>
      </c>
      <c r="AO423" s="237">
        <f t="shared" si="119"/>
        <v>0</v>
      </c>
    </row>
    <row r="424" spans="2:43" x14ac:dyDescent="0.25">
      <c r="C424" s="82"/>
      <c r="E424" s="14"/>
      <c r="F424" s="14"/>
      <c r="J424" s="111"/>
      <c r="K424" s="111"/>
      <c r="L424" s="111"/>
      <c r="M424" s="111"/>
      <c r="N424" s="111"/>
      <c r="O424" s="111"/>
      <c r="P424" s="111"/>
      <c r="Q424" s="111"/>
      <c r="R424" s="111"/>
      <c r="S424" s="111"/>
      <c r="T424" s="111"/>
      <c r="U424" s="111"/>
      <c r="V424" s="111"/>
      <c r="W424" s="111"/>
      <c r="X424" s="111"/>
      <c r="Y424" s="111"/>
      <c r="Z424" s="111"/>
      <c r="AA424" s="111"/>
      <c r="AB424" s="111"/>
      <c r="AC424" s="111"/>
      <c r="AD424" s="111"/>
      <c r="AE424" s="111"/>
      <c r="AF424" s="111"/>
      <c r="AG424" s="111"/>
      <c r="AH424" s="111"/>
      <c r="AI424" s="111"/>
      <c r="AJ424" s="111"/>
      <c r="AK424" s="111"/>
      <c r="AL424" s="111"/>
      <c r="AM424" s="111"/>
      <c r="AN424" s="111"/>
      <c r="AO424" s="111"/>
    </row>
    <row r="425" spans="2:43" x14ac:dyDescent="0.25">
      <c r="C425" s="82"/>
      <c r="E425" s="14" t="s">
        <v>1214</v>
      </c>
      <c r="F425" s="14"/>
      <c r="G425" s="293" t="s">
        <v>1139</v>
      </c>
      <c r="H425" s="252">
        <f>SUM(J425:AO425)</f>
        <v>0</v>
      </c>
      <c r="J425" s="237">
        <f t="shared" ref="J425:AO425" si="120">J229</f>
        <v>0</v>
      </c>
      <c r="K425" s="237">
        <f t="shared" si="120"/>
        <v>0</v>
      </c>
      <c r="L425" s="237">
        <f t="shared" si="120"/>
        <v>0</v>
      </c>
      <c r="M425" s="237">
        <f t="shared" si="120"/>
        <v>0</v>
      </c>
      <c r="N425" s="237">
        <f t="shared" si="120"/>
        <v>0</v>
      </c>
      <c r="O425" s="237">
        <f t="shared" si="120"/>
        <v>0</v>
      </c>
      <c r="P425" s="237">
        <f t="shared" si="120"/>
        <v>0</v>
      </c>
      <c r="Q425" s="237">
        <f t="shared" si="120"/>
        <v>0</v>
      </c>
      <c r="R425" s="237">
        <f t="shared" si="120"/>
        <v>0</v>
      </c>
      <c r="S425" s="237">
        <f t="shared" si="120"/>
        <v>0</v>
      </c>
      <c r="T425" s="237">
        <f t="shared" si="120"/>
        <v>0</v>
      </c>
      <c r="U425" s="237">
        <f t="shared" si="120"/>
        <v>0</v>
      </c>
      <c r="V425" s="237">
        <f t="shared" si="120"/>
        <v>0</v>
      </c>
      <c r="W425" s="237">
        <f t="shared" si="120"/>
        <v>0</v>
      </c>
      <c r="X425" s="237">
        <f t="shared" si="120"/>
        <v>0</v>
      </c>
      <c r="Y425" s="237">
        <f t="shared" si="120"/>
        <v>0</v>
      </c>
      <c r="Z425" s="237">
        <f t="shared" si="120"/>
        <v>0</v>
      </c>
      <c r="AA425" s="237">
        <f t="shared" si="120"/>
        <v>0</v>
      </c>
      <c r="AB425" s="237">
        <f t="shared" si="120"/>
        <v>0</v>
      </c>
      <c r="AC425" s="237">
        <f t="shared" si="120"/>
        <v>0</v>
      </c>
      <c r="AD425" s="237">
        <f t="shared" si="120"/>
        <v>0</v>
      </c>
      <c r="AE425" s="237">
        <f t="shared" si="120"/>
        <v>0</v>
      </c>
      <c r="AF425" s="237">
        <f t="shared" si="120"/>
        <v>0</v>
      </c>
      <c r="AG425" s="237">
        <f t="shared" si="120"/>
        <v>0</v>
      </c>
      <c r="AH425" s="237">
        <f t="shared" si="120"/>
        <v>0</v>
      </c>
      <c r="AI425" s="237">
        <f t="shared" si="120"/>
        <v>0</v>
      </c>
      <c r="AJ425" s="237">
        <f t="shared" si="120"/>
        <v>0</v>
      </c>
      <c r="AK425" s="237">
        <f t="shared" si="120"/>
        <v>0</v>
      </c>
      <c r="AL425" s="237">
        <f t="shared" si="120"/>
        <v>0</v>
      </c>
      <c r="AM425" s="237">
        <f t="shared" si="120"/>
        <v>0</v>
      </c>
      <c r="AN425" s="237">
        <f t="shared" si="120"/>
        <v>0</v>
      </c>
      <c r="AO425" s="237">
        <f t="shared" si="120"/>
        <v>0</v>
      </c>
    </row>
    <row r="426" spans="2:43" x14ac:dyDescent="0.25">
      <c r="C426" s="82"/>
      <c r="E426" s="14"/>
      <c r="F426" s="14"/>
      <c r="J426" s="111"/>
      <c r="K426" s="111"/>
      <c r="L426" s="111"/>
      <c r="M426" s="111"/>
      <c r="N426" s="111"/>
      <c r="O426" s="111"/>
      <c r="P426" s="111"/>
      <c r="Q426" s="111"/>
      <c r="R426" s="111"/>
      <c r="S426" s="111"/>
      <c r="T426" s="111"/>
      <c r="U426" s="111"/>
      <c r="V426" s="111"/>
      <c r="W426" s="111"/>
      <c r="X426" s="111"/>
      <c r="Y426" s="111"/>
      <c r="Z426" s="111"/>
      <c r="AA426" s="111"/>
      <c r="AB426" s="111"/>
      <c r="AC426" s="111"/>
      <c r="AD426" s="111"/>
      <c r="AE426" s="111"/>
      <c r="AF426" s="111"/>
      <c r="AG426" s="111"/>
      <c r="AH426" s="111"/>
      <c r="AI426" s="111"/>
      <c r="AJ426" s="111"/>
      <c r="AK426" s="111"/>
      <c r="AL426" s="111"/>
      <c r="AM426" s="111"/>
      <c r="AN426" s="111"/>
      <c r="AO426" s="111"/>
    </row>
    <row r="427" spans="2:43" x14ac:dyDescent="0.25">
      <c r="C427" s="82"/>
      <c r="E427" s="14" t="s">
        <v>1215</v>
      </c>
      <c r="F427" s="14"/>
      <c r="G427" s="293" t="s">
        <v>1024</v>
      </c>
      <c r="H427" s="408">
        <f>COUNTIF(J427:AO427, FALSE)</f>
        <v>0</v>
      </c>
      <c r="J427" s="111" t="b">
        <f t="shared" ref="J427:AO427" si="121">ROUND(J423, check_decimals)=ROUND(J425, check_decimals)</f>
        <v>1</v>
      </c>
      <c r="K427" s="111" t="b">
        <f t="shared" si="121"/>
        <v>1</v>
      </c>
      <c r="L427" s="111" t="b">
        <f t="shared" si="121"/>
        <v>1</v>
      </c>
      <c r="M427" s="111" t="b">
        <f t="shared" si="121"/>
        <v>1</v>
      </c>
      <c r="N427" s="111" t="b">
        <f t="shared" si="121"/>
        <v>1</v>
      </c>
      <c r="O427" s="111" t="b">
        <f t="shared" si="121"/>
        <v>1</v>
      </c>
      <c r="P427" s="111" t="b">
        <f t="shared" si="121"/>
        <v>1</v>
      </c>
      <c r="Q427" s="111" t="b">
        <f t="shared" si="121"/>
        <v>1</v>
      </c>
      <c r="R427" s="111" t="b">
        <f t="shared" si="121"/>
        <v>1</v>
      </c>
      <c r="S427" s="111" t="b">
        <f t="shared" si="121"/>
        <v>1</v>
      </c>
      <c r="T427" s="111" t="b">
        <f t="shared" si="121"/>
        <v>1</v>
      </c>
      <c r="U427" s="111" t="b">
        <f t="shared" si="121"/>
        <v>1</v>
      </c>
      <c r="V427" s="111" t="b">
        <f t="shared" si="121"/>
        <v>1</v>
      </c>
      <c r="W427" s="111" t="b">
        <f t="shared" si="121"/>
        <v>1</v>
      </c>
      <c r="X427" s="111" t="b">
        <f t="shared" si="121"/>
        <v>1</v>
      </c>
      <c r="Y427" s="111" t="b">
        <f t="shared" si="121"/>
        <v>1</v>
      </c>
      <c r="Z427" s="111" t="b">
        <f t="shared" si="121"/>
        <v>1</v>
      </c>
      <c r="AA427" s="111" t="b">
        <f t="shared" si="121"/>
        <v>1</v>
      </c>
      <c r="AB427" s="111" t="b">
        <f t="shared" si="121"/>
        <v>1</v>
      </c>
      <c r="AC427" s="111" t="b">
        <f t="shared" si="121"/>
        <v>1</v>
      </c>
      <c r="AD427" s="499" t="b">
        <f t="shared" si="121"/>
        <v>1</v>
      </c>
      <c r="AE427" s="499" t="b">
        <f t="shared" si="121"/>
        <v>1</v>
      </c>
      <c r="AF427" s="499" t="b">
        <f t="shared" si="121"/>
        <v>1</v>
      </c>
      <c r="AG427" s="499" t="b">
        <f t="shared" si="121"/>
        <v>1</v>
      </c>
      <c r="AH427" s="499" t="b">
        <f t="shared" si="121"/>
        <v>1</v>
      </c>
      <c r="AI427" s="499" t="b">
        <f t="shared" si="121"/>
        <v>1</v>
      </c>
      <c r="AJ427" s="499" t="b">
        <f t="shared" si="121"/>
        <v>1</v>
      </c>
      <c r="AK427" s="499" t="b">
        <f t="shared" si="121"/>
        <v>1</v>
      </c>
      <c r="AL427" s="499" t="b">
        <f t="shared" si="121"/>
        <v>1</v>
      </c>
      <c r="AM427" s="499" t="b">
        <f t="shared" si="121"/>
        <v>1</v>
      </c>
      <c r="AN427" s="499" t="b">
        <f t="shared" si="121"/>
        <v>1</v>
      </c>
      <c r="AO427" s="499" t="b">
        <f t="shared" si="121"/>
        <v>1</v>
      </c>
    </row>
    <row r="428" spans="2:43" x14ac:dyDescent="0.25">
      <c r="C428" s="82"/>
      <c r="E428" s="14"/>
      <c r="F428" s="14"/>
      <c r="J428" s="111"/>
      <c r="K428" s="111"/>
      <c r="L428" s="111"/>
      <c r="M428" s="111"/>
      <c r="N428" s="111"/>
      <c r="O428" s="111"/>
      <c r="P428" s="111"/>
      <c r="Q428" s="111"/>
      <c r="R428" s="111"/>
      <c r="S428" s="111"/>
      <c r="T428" s="111"/>
      <c r="U428" s="111"/>
      <c r="V428" s="111"/>
      <c r="W428" s="111"/>
      <c r="X428" s="111"/>
      <c r="Y428" s="111"/>
      <c r="Z428" s="111"/>
      <c r="AA428" s="111"/>
      <c r="AB428" s="111"/>
      <c r="AC428" s="111"/>
      <c r="AD428" s="111"/>
      <c r="AE428" s="111"/>
      <c r="AF428" s="111"/>
      <c r="AG428" s="111"/>
      <c r="AH428" s="111"/>
      <c r="AI428" s="111"/>
      <c r="AJ428" s="111"/>
      <c r="AK428" s="111"/>
      <c r="AL428" s="111"/>
      <c r="AM428" s="111"/>
      <c r="AN428" s="111"/>
      <c r="AO428" s="111"/>
    </row>
    <row r="429" spans="2:43" x14ac:dyDescent="0.25">
      <c r="C429" s="82"/>
      <c r="E429" s="14" t="s">
        <v>1216</v>
      </c>
      <c r="G429" s="122" t="s">
        <v>588</v>
      </c>
      <c r="H429" s="408">
        <f>COUNTIF(J376:AO376,FALSE)</f>
        <v>0</v>
      </c>
      <c r="J429" s="111"/>
      <c r="K429" s="111"/>
      <c r="L429" s="111"/>
      <c r="M429" s="111"/>
      <c r="N429" s="111"/>
      <c r="O429" s="111"/>
      <c r="P429" s="111"/>
      <c r="Q429" s="111"/>
      <c r="R429" s="111"/>
      <c r="S429" s="111"/>
      <c r="T429" s="111"/>
      <c r="U429" s="111"/>
      <c r="V429" s="111"/>
      <c r="W429" s="111"/>
      <c r="X429" s="111"/>
      <c r="Y429" s="111"/>
      <c r="Z429" s="111"/>
      <c r="AA429" s="111"/>
      <c r="AB429" s="111"/>
      <c r="AC429" s="111"/>
      <c r="AD429" s="111"/>
      <c r="AE429" s="111"/>
      <c r="AF429" s="111"/>
      <c r="AG429" s="111"/>
      <c r="AH429" s="111"/>
      <c r="AI429" s="111"/>
      <c r="AJ429" s="111"/>
      <c r="AK429" s="111"/>
      <c r="AL429" s="111"/>
      <c r="AM429" s="111"/>
      <c r="AN429" s="111"/>
      <c r="AO429" s="111"/>
    </row>
    <row r="430" spans="2:43" x14ac:dyDescent="0.25">
      <c r="C430" s="82"/>
      <c r="E430" s="14"/>
      <c r="G430" s="122"/>
      <c r="J430" s="111"/>
      <c r="K430" s="111"/>
      <c r="L430" s="111"/>
      <c r="M430" s="111"/>
      <c r="N430" s="111"/>
      <c r="O430" s="111"/>
      <c r="P430" s="111"/>
      <c r="Q430" s="111"/>
      <c r="R430" s="111"/>
      <c r="S430" s="111"/>
      <c r="T430" s="111"/>
      <c r="U430" s="111"/>
      <c r="V430" s="111"/>
      <c r="W430" s="111"/>
      <c r="X430" s="111"/>
      <c r="Y430" s="111"/>
      <c r="Z430" s="111"/>
      <c r="AA430" s="111"/>
      <c r="AB430" s="111"/>
      <c r="AC430" s="111"/>
      <c r="AD430" s="111"/>
      <c r="AE430" s="111"/>
      <c r="AF430" s="111"/>
      <c r="AG430" s="111"/>
      <c r="AH430" s="111"/>
      <c r="AI430" s="111"/>
      <c r="AJ430" s="111"/>
      <c r="AK430" s="111"/>
      <c r="AL430" s="111"/>
      <c r="AM430" s="111"/>
      <c r="AN430" s="111"/>
      <c r="AO430" s="111"/>
    </row>
    <row r="431" spans="2:43" x14ac:dyDescent="0.25">
      <c r="C431" s="82"/>
      <c r="E431" s="293" t="s">
        <v>415</v>
      </c>
      <c r="G431" s="122" t="s">
        <v>588</v>
      </c>
      <c r="H431" s="408">
        <f t="array" ref="H431">SUM(IF(ISERROR(H35:AO420), 1))</f>
        <v>0</v>
      </c>
      <c r="J431" s="111"/>
      <c r="K431" s="111"/>
      <c r="L431" s="111"/>
      <c r="M431" s="111"/>
      <c r="N431" s="111"/>
      <c r="O431" s="111"/>
      <c r="P431" s="111"/>
      <c r="Q431" s="111"/>
      <c r="R431" s="111"/>
      <c r="S431" s="111"/>
      <c r="T431" s="111"/>
      <c r="U431" s="111"/>
      <c r="V431" s="111"/>
      <c r="W431" s="111"/>
      <c r="X431" s="111"/>
      <c r="Y431" s="111"/>
      <c r="Z431" s="111"/>
      <c r="AA431" s="111"/>
      <c r="AB431" s="111"/>
      <c r="AC431" s="111"/>
      <c r="AD431" s="111"/>
      <c r="AE431" s="111"/>
      <c r="AF431" s="111"/>
      <c r="AG431" s="111"/>
      <c r="AH431" s="111"/>
      <c r="AI431" s="111"/>
      <c r="AJ431" s="111"/>
      <c r="AK431" s="111"/>
      <c r="AL431" s="111"/>
      <c r="AM431" s="111"/>
      <c r="AN431" s="111"/>
      <c r="AO431" s="111"/>
    </row>
    <row r="432" spans="2:43" x14ac:dyDescent="0.25">
      <c r="C432" s="82"/>
      <c r="J432" s="111"/>
      <c r="K432" s="111"/>
      <c r="L432" s="111"/>
      <c r="M432" s="111"/>
      <c r="N432" s="111"/>
      <c r="O432" s="111"/>
      <c r="P432" s="111"/>
      <c r="Q432" s="111"/>
      <c r="R432" s="111"/>
      <c r="S432" s="111"/>
      <c r="T432" s="111"/>
      <c r="U432" s="111"/>
      <c r="V432" s="111"/>
      <c r="W432" s="111"/>
      <c r="X432" s="111"/>
      <c r="Y432" s="111"/>
      <c r="Z432" s="111"/>
      <c r="AA432" s="111"/>
      <c r="AB432" s="111"/>
      <c r="AC432" s="111"/>
      <c r="AD432" s="111"/>
      <c r="AE432" s="111"/>
      <c r="AF432" s="111"/>
      <c r="AG432" s="111"/>
      <c r="AH432" s="111"/>
      <c r="AI432" s="111"/>
      <c r="AJ432" s="111"/>
      <c r="AK432" s="111"/>
      <c r="AL432" s="111"/>
      <c r="AM432" s="111"/>
      <c r="AN432" s="111"/>
      <c r="AO432" s="111"/>
    </row>
    <row r="433" spans="2:43" x14ac:dyDescent="0.25">
      <c r="C433" s="82"/>
      <c r="E433" s="14" t="s">
        <v>1217</v>
      </c>
      <c r="G433" s="122" t="s">
        <v>588</v>
      </c>
      <c r="H433" s="310">
        <f>H427+H429+H431</f>
        <v>0</v>
      </c>
      <c r="J433" s="111"/>
      <c r="K433" s="111"/>
      <c r="L433" s="111"/>
      <c r="M433" s="111"/>
      <c r="N433" s="111"/>
      <c r="O433" s="111"/>
      <c r="P433" s="111"/>
      <c r="Q433" s="111"/>
      <c r="R433" s="111"/>
      <c r="S433" s="111"/>
      <c r="T433" s="111"/>
      <c r="U433" s="111"/>
      <c r="V433" s="111"/>
      <c r="W433" s="111"/>
      <c r="X433" s="111"/>
      <c r="Y433" s="111"/>
      <c r="Z433" s="111"/>
      <c r="AA433" s="111"/>
      <c r="AB433" s="111"/>
      <c r="AC433" s="111"/>
      <c r="AD433" s="111"/>
      <c r="AE433" s="111"/>
      <c r="AF433" s="111"/>
      <c r="AG433" s="111"/>
      <c r="AH433" s="111"/>
      <c r="AI433" s="111"/>
      <c r="AJ433" s="111"/>
      <c r="AK433" s="111"/>
      <c r="AL433" s="111"/>
      <c r="AM433" s="111"/>
      <c r="AN433" s="111"/>
      <c r="AO433" s="111"/>
    </row>
    <row r="434" spans="2:43" x14ac:dyDescent="0.25">
      <c r="C434" s="82"/>
      <c r="J434" s="111"/>
      <c r="K434" s="111"/>
      <c r="L434" s="111"/>
      <c r="M434" s="111"/>
      <c r="N434" s="111"/>
      <c r="O434" s="111"/>
      <c r="P434" s="111"/>
      <c r="Q434" s="111"/>
      <c r="R434" s="111"/>
      <c r="S434" s="111"/>
      <c r="T434" s="111"/>
      <c r="U434" s="111"/>
      <c r="V434" s="111"/>
      <c r="W434" s="111"/>
      <c r="X434" s="111"/>
      <c r="Y434" s="111"/>
      <c r="Z434" s="111"/>
      <c r="AA434" s="111"/>
      <c r="AB434" s="111"/>
      <c r="AC434" s="111"/>
      <c r="AD434" s="111"/>
      <c r="AE434" s="111"/>
      <c r="AF434" s="111"/>
      <c r="AG434" s="111"/>
      <c r="AH434" s="111"/>
      <c r="AI434" s="111"/>
      <c r="AJ434" s="111"/>
      <c r="AK434" s="111"/>
      <c r="AL434" s="111"/>
      <c r="AM434" s="111"/>
      <c r="AN434" s="111"/>
      <c r="AO434" s="111"/>
    </row>
    <row r="435" spans="2:43" x14ac:dyDescent="0.25">
      <c r="B435" s="95" t="s">
        <v>110</v>
      </c>
      <c r="C435" s="95"/>
      <c r="D435" s="95"/>
      <c r="E435" s="95"/>
      <c r="F435" s="95"/>
      <c r="G435" s="95"/>
      <c r="H435" s="95"/>
      <c r="I435" s="95"/>
      <c r="J435" s="95"/>
      <c r="K435" s="95"/>
      <c r="L435" s="95"/>
      <c r="M435" s="95"/>
      <c r="N435" s="95"/>
      <c r="O435" s="95"/>
      <c r="P435" s="95"/>
      <c r="Q435" s="95"/>
      <c r="R435" s="95"/>
      <c r="S435" s="95"/>
      <c r="T435" s="95"/>
      <c r="U435" s="95"/>
      <c r="V435" s="95"/>
      <c r="W435" s="95"/>
      <c r="X435" s="95"/>
      <c r="Y435" s="95"/>
      <c r="Z435" s="95"/>
      <c r="AA435" s="95"/>
      <c r="AB435" s="95"/>
      <c r="AC435" s="95"/>
      <c r="AD435" s="95"/>
      <c r="AE435" s="95"/>
      <c r="AF435" s="95"/>
      <c r="AG435" s="95"/>
      <c r="AH435" s="95"/>
      <c r="AI435" s="95"/>
      <c r="AJ435" s="95"/>
      <c r="AK435" s="95"/>
      <c r="AL435" s="95"/>
      <c r="AM435" s="95"/>
      <c r="AN435" s="95"/>
      <c r="AO435" s="95"/>
      <c r="AP435" s="72"/>
      <c r="AQ435" s="72"/>
    </row>
  </sheetData>
  <sheetProtection sheet="1" objects="1" formatCells="0" formatColumns="0" formatRows="0" sort="0" autoFilter="0"/>
  <conditionalFormatting sqref="A4:I4 AP4:XFD4">
    <cfRule type="expression" dxfId="36" priority="18">
      <formula>LEFT($A$4,1) &lt;&gt; "0"</formula>
    </cfRule>
  </conditionalFormatting>
  <conditionalFormatting sqref="R4:AF4">
    <cfRule type="expression" dxfId="35" priority="17">
      <formula>LEFT($A$4,1) &lt;&gt; "0"</formula>
    </cfRule>
  </conditionalFormatting>
  <conditionalFormatting sqref="L4:Q4">
    <cfRule type="expression" dxfId="34" priority="16">
      <formula>LEFT($A$4,1) &lt;&gt; "0"</formula>
    </cfRule>
  </conditionalFormatting>
  <conditionalFormatting sqref="J4:K4">
    <cfRule type="expression" dxfId="33" priority="15">
      <formula>LEFT($A$4,1) &lt;&gt; "0"</formula>
    </cfRule>
  </conditionalFormatting>
  <conditionalFormatting sqref="AG4">
    <cfRule type="expression" dxfId="32" priority="14">
      <formula>LEFT($A$4,1) &lt;&gt; "0"</formula>
    </cfRule>
  </conditionalFormatting>
  <conditionalFormatting sqref="AH4:AI4">
    <cfRule type="expression" dxfId="31" priority="13">
      <formula>LEFT($A$4,1) &lt;&gt; "0"</formula>
    </cfRule>
  </conditionalFormatting>
  <conditionalFormatting sqref="AJ4:AK4">
    <cfRule type="expression" dxfId="30" priority="12">
      <formula>LEFT($A$4,1) &lt;&gt; "0"</formula>
    </cfRule>
  </conditionalFormatting>
  <conditionalFormatting sqref="AL4:AM4">
    <cfRule type="expression" dxfId="29" priority="11">
      <formula>LEFT($A$4,1) &lt;&gt; "0"</formula>
    </cfRule>
  </conditionalFormatting>
  <conditionalFormatting sqref="AN4:AO4">
    <cfRule type="expression" dxfId="28" priority="10">
      <formula>LEFT($A$4,1) &lt;&gt; "0"</formula>
    </cfRule>
  </conditionalFormatting>
  <conditionalFormatting sqref="H427">
    <cfRule type="cellIs" dxfId="27" priority="5" operator="greaterThan">
      <formula>0</formula>
    </cfRule>
  </conditionalFormatting>
  <conditionalFormatting sqref="H429">
    <cfRule type="cellIs" dxfId="26" priority="4" operator="greaterThan">
      <formula>0</formula>
    </cfRule>
  </conditionalFormatting>
  <conditionalFormatting sqref="H431">
    <cfRule type="cellIs" dxfId="25" priority="3" operator="greaterThan">
      <formula>0</formula>
    </cfRule>
  </conditionalFormatting>
  <conditionalFormatting sqref="H433">
    <cfRule type="cellIs" dxfId="24" priority="1" operator="greaterThan">
      <formula>0</formula>
    </cfRule>
  </conditionalFormatting>
  <hyperlinks>
    <hyperlink ref="B5:F5" location="'Model map'!A1" display="Click here to return to model map" xr:uid="{40C8CFF5-82E3-4EE8-96A9-D53588102C87}"/>
  </hyperlinks>
  <pageMargins left="0.7" right="0.7" top="0.75" bottom="0.75" header="0.3" footer="0.3"/>
  <pageSetup paperSize="9" scale="12" fitToHeight="0" orientation="portrait" r:id="rId1"/>
  <headerFooter>
    <oddHeader>&amp;L&amp;A&amp;C&amp;R&amp;P of &amp;N</oddHeader>
    <oddFooter>&amp;F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73FB52-77C4-4712-84E8-C01F657B642F}">
  <sheetPr codeName="Sheet58">
    <tabColor theme="4" tint="0.59999389629810485"/>
    <pageSetUpPr fitToPage="1"/>
  </sheetPr>
  <dimension ref="A1:LX180"/>
  <sheetViews>
    <sheetView showGridLines="0" zoomScale="80" zoomScaleNormal="80" workbookViewId="0">
      <pane xSplit="9" ySplit="5" topLeftCell="J6" activePane="bottomRight" state="frozen"/>
      <selection pane="topRight"/>
      <selection pane="bottomLeft"/>
      <selection pane="bottomRight"/>
    </sheetView>
  </sheetViews>
  <sheetFormatPr defaultColWidth="0" defaultRowHeight="15" x14ac:dyDescent="0.25"/>
  <cols>
    <col min="1" max="3" width="2.5703125" style="293" customWidth="1"/>
    <col min="4" max="5" width="2.5703125" style="98" customWidth="1"/>
    <col min="6" max="6" width="59.5703125" style="293" customWidth="1"/>
    <col min="7" max="8" width="20.5703125" style="293" customWidth="1"/>
    <col min="9" max="9" width="2.42578125" style="293" customWidth="1"/>
    <col min="10" max="41" width="17" style="293" customWidth="1"/>
    <col min="42" max="42" width="2.42578125" style="293" customWidth="1"/>
    <col min="43" max="43" width="50.5703125" style="293" customWidth="1"/>
    <col min="44" max="44" width="2.42578125" style="293" customWidth="1"/>
    <col min="45" max="45" width="24.5703125" style="293" hidden="1" customWidth="1"/>
    <col min="46" max="46" width="3.5703125" style="293" hidden="1" customWidth="1"/>
    <col min="47" max="47" width="15.42578125" style="293" hidden="1" customWidth="1"/>
    <col min="48" max="336" width="24.5703125" style="293" hidden="1" customWidth="1"/>
    <col min="337" max="16384" width="8.5703125" style="293" hidden="1"/>
  </cols>
  <sheetData>
    <row r="1" spans="1:43" s="10" customFormat="1" x14ac:dyDescent="0.25">
      <c r="A1" s="10" t="str">
        <f ca="1">MID(CELL("filename",A1),FIND("]",CELL("filename",A1))+1,255)</f>
        <v>Rounding</v>
      </c>
    </row>
    <row r="2" spans="1:43" s="10" customFormat="1" x14ac:dyDescent="0.25">
      <c r="A2" s="10" t="str">
        <f>Cover!D21&amp;" - "&amp;Cover!D23</f>
        <v>Southern Electric Power Distribution plc - Final</v>
      </c>
    </row>
    <row r="3" spans="1:43" s="46" customFormat="1" x14ac:dyDescent="0.25">
      <c r="A3" s="46" t="str">
        <f>Cover!D2&amp;" - "&amp;Cover!D8&amp;" v"&amp;Cover!D10&amp;" - "&amp;Cover!D19</f>
        <v>ARP model - Release for charge setting v7 - 2023/24</v>
      </c>
    </row>
    <row r="4" spans="1:43" x14ac:dyDescent="0.25">
      <c r="A4" s="366" t="str">
        <f>H178 &amp; IF(H178 = 1, " issue", " issues") &amp;" identified in checks on this sheet"</f>
        <v>0 issues identified in checks on this sheet</v>
      </c>
      <c r="B4" s="108"/>
      <c r="C4" s="108"/>
      <c r="D4" s="108"/>
      <c r="E4" s="108"/>
      <c r="F4" s="108"/>
      <c r="G4" s="108"/>
      <c r="H4" s="111"/>
      <c r="I4" s="111"/>
    </row>
    <row r="5" spans="1:43" ht="60" x14ac:dyDescent="0.25">
      <c r="B5" s="367" t="s">
        <v>451</v>
      </c>
      <c r="C5" s="368"/>
      <c r="D5" s="368"/>
      <c r="E5" s="368"/>
      <c r="F5" s="368"/>
      <c r="G5" s="1" t="s">
        <v>91</v>
      </c>
      <c r="H5" s="2" t="s">
        <v>92</v>
      </c>
      <c r="J5" s="383" t="s">
        <v>1002</v>
      </c>
      <c r="K5" s="383" t="s">
        <v>927</v>
      </c>
      <c r="L5" s="383" t="s">
        <v>1003</v>
      </c>
      <c r="M5" s="383" t="s">
        <v>1004</v>
      </c>
      <c r="N5" s="383" t="s">
        <v>1005</v>
      </c>
      <c r="O5" s="383" t="s">
        <v>1006</v>
      </c>
      <c r="P5" s="383" t="s">
        <v>1007</v>
      </c>
      <c r="Q5" s="383" t="s">
        <v>929</v>
      </c>
      <c r="R5" s="383" t="s">
        <v>1008</v>
      </c>
      <c r="S5" s="383" t="s">
        <v>1009</v>
      </c>
      <c r="T5" s="383" t="s">
        <v>1010</v>
      </c>
      <c r="U5" s="383" t="s">
        <v>1011</v>
      </c>
      <c r="V5" s="383" t="s">
        <v>1012</v>
      </c>
      <c r="W5" s="383" t="s">
        <v>1013</v>
      </c>
      <c r="X5" s="383" t="s">
        <v>1014</v>
      </c>
      <c r="Y5" s="383" t="s">
        <v>1015</v>
      </c>
      <c r="Z5" s="383" t="s">
        <v>1016</v>
      </c>
      <c r="AA5" s="383" t="s">
        <v>1017</v>
      </c>
      <c r="AB5" s="383" t="s">
        <v>1018</v>
      </c>
      <c r="AC5" s="383" t="s">
        <v>1019</v>
      </c>
      <c r="AD5" s="383" t="s">
        <v>1020</v>
      </c>
      <c r="AE5" s="383" t="s">
        <v>1021</v>
      </c>
      <c r="AF5" s="383" t="s">
        <v>1022</v>
      </c>
      <c r="AG5" s="383" t="s">
        <v>933</v>
      </c>
      <c r="AH5" s="383" t="s">
        <v>934</v>
      </c>
      <c r="AI5" s="383" t="s">
        <v>935</v>
      </c>
      <c r="AJ5" s="383" t="s">
        <v>936</v>
      </c>
      <c r="AK5" s="383" t="s">
        <v>937</v>
      </c>
      <c r="AL5" s="383" t="s">
        <v>938</v>
      </c>
      <c r="AM5" s="383" t="s">
        <v>939</v>
      </c>
      <c r="AN5" s="383" t="s">
        <v>940</v>
      </c>
      <c r="AO5" s="383" t="s">
        <v>941</v>
      </c>
      <c r="AQ5" s="1" t="s">
        <v>93</v>
      </c>
    </row>
    <row r="7" spans="1:43" x14ac:dyDescent="0.25">
      <c r="B7" s="95" t="s">
        <v>90</v>
      </c>
      <c r="C7" s="95"/>
      <c r="D7" s="95"/>
      <c r="E7" s="95"/>
      <c r="F7" s="95"/>
      <c r="G7" s="95"/>
      <c r="H7" s="95"/>
      <c r="I7" s="95"/>
      <c r="J7" s="95"/>
      <c r="K7" s="95"/>
      <c r="L7" s="95"/>
      <c r="M7" s="95"/>
      <c r="N7" s="95"/>
      <c r="O7" s="95"/>
      <c r="P7" s="95"/>
      <c r="Q7" s="95"/>
      <c r="R7" s="95"/>
      <c r="S7" s="95"/>
      <c r="T7" s="95"/>
      <c r="U7" s="95"/>
      <c r="V7" s="95"/>
      <c r="W7" s="95"/>
      <c r="X7" s="95"/>
      <c r="Y7" s="95"/>
      <c r="Z7" s="95"/>
      <c r="AA7" s="95"/>
      <c r="AB7" s="95"/>
      <c r="AC7" s="95"/>
      <c r="AD7" s="95"/>
      <c r="AE7" s="95"/>
      <c r="AF7" s="95"/>
      <c r="AG7" s="95"/>
      <c r="AH7" s="95"/>
      <c r="AI7" s="95"/>
      <c r="AJ7" s="95"/>
      <c r="AK7" s="95"/>
      <c r="AL7" s="95"/>
      <c r="AM7" s="95"/>
      <c r="AN7" s="95"/>
      <c r="AO7" s="95"/>
      <c r="AP7" s="95"/>
      <c r="AQ7" s="95"/>
    </row>
    <row r="9" spans="1:43" x14ac:dyDescent="0.25">
      <c r="C9" s="82" t="s">
        <v>745</v>
      </c>
      <c r="E9" s="293"/>
    </row>
    <row r="10" spans="1:43" x14ac:dyDescent="0.25">
      <c r="C10" s="82" t="s">
        <v>767</v>
      </c>
      <c r="E10" s="293"/>
    </row>
    <row r="12" spans="1:43" x14ac:dyDescent="0.25">
      <c r="B12" s="95" t="s">
        <v>269</v>
      </c>
      <c r="C12" s="95"/>
      <c r="D12" s="95"/>
      <c r="E12" s="95"/>
      <c r="F12" s="95"/>
      <c r="G12" s="95"/>
      <c r="H12" s="95"/>
      <c r="I12" s="95"/>
      <c r="J12" s="95"/>
      <c r="K12" s="95"/>
      <c r="L12" s="95"/>
      <c r="M12" s="95"/>
      <c r="N12" s="95"/>
      <c r="O12" s="95"/>
      <c r="P12" s="95"/>
      <c r="Q12" s="95"/>
      <c r="R12" s="95"/>
      <c r="S12" s="95"/>
      <c r="T12" s="95"/>
      <c r="U12" s="95"/>
      <c r="V12" s="95"/>
      <c r="W12" s="95"/>
      <c r="X12" s="95"/>
      <c r="Y12" s="95"/>
      <c r="Z12" s="95"/>
      <c r="AA12" s="95"/>
      <c r="AB12" s="95"/>
      <c r="AC12" s="95"/>
      <c r="AD12" s="95"/>
      <c r="AE12" s="95"/>
      <c r="AF12" s="95"/>
      <c r="AG12" s="95"/>
      <c r="AH12" s="95"/>
      <c r="AI12" s="95"/>
      <c r="AJ12" s="95"/>
      <c r="AK12" s="95"/>
      <c r="AL12" s="95"/>
      <c r="AM12" s="95"/>
      <c r="AN12" s="95"/>
      <c r="AO12" s="95"/>
      <c r="AP12" s="95"/>
      <c r="AQ12" s="95"/>
    </row>
    <row r="14" spans="1:43" x14ac:dyDescent="0.25">
      <c r="C14" s="82" t="s">
        <v>768</v>
      </c>
    </row>
    <row r="16" spans="1:43" x14ac:dyDescent="0.25">
      <c r="C16" s="7" t="str">
        <f ca="1">INDEX('Version control'!$H$35:$H$61,MATCH($A$1,'Version control'!$F$35:$F$61,0),1)&amp;"-A: Pre-match, pre-rounding tariff forecast"</f>
        <v>Section 520-A: Pre-match, pre-rounding tariff forecast</v>
      </c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</row>
    <row r="18" spans="3:43" x14ac:dyDescent="0.25">
      <c r="E18" s="96" t="s">
        <v>769</v>
      </c>
      <c r="F18" s="96"/>
    </row>
    <row r="19" spans="3:43" x14ac:dyDescent="0.25">
      <c r="E19" s="82" t="s">
        <v>806</v>
      </c>
      <c r="F19" s="98"/>
    </row>
    <row r="20" spans="3:43" x14ac:dyDescent="0.25">
      <c r="C20" s="86"/>
      <c r="F20" s="91" t="s">
        <v>134</v>
      </c>
      <c r="G20" s="91" t="s">
        <v>183</v>
      </c>
      <c r="H20" s="358"/>
      <c r="I20" s="347"/>
      <c r="J20" s="358">
        <f>'Revenue matching'!J40</f>
        <v>8.5989408053984455</v>
      </c>
      <c r="K20" s="358">
        <f>'Revenue matching'!K40</f>
        <v>8.5989408053984455</v>
      </c>
      <c r="L20" s="358">
        <f>'Revenue matching'!L40</f>
        <v>7.5789555486440312</v>
      </c>
      <c r="M20" s="358">
        <f>'Revenue matching'!M40</f>
        <v>7.5789555486440312</v>
      </c>
      <c r="N20" s="358">
        <f>'Revenue matching'!N40</f>
        <v>7.5789555486440312</v>
      </c>
      <c r="O20" s="358">
        <f>'Revenue matching'!O40</f>
        <v>7.5789555486440312</v>
      </c>
      <c r="P20" s="358">
        <f>'Revenue matching'!P40</f>
        <v>7.5789555486440312</v>
      </c>
      <c r="Q20" s="358">
        <f>'Revenue matching'!Q40</f>
        <v>7.5789555486440312</v>
      </c>
      <c r="R20" s="358">
        <f>'Revenue matching'!R40</f>
        <v>5.9204564495108425</v>
      </c>
      <c r="S20" s="358">
        <f>'Revenue matching'!S40</f>
        <v>5.9204564495108425</v>
      </c>
      <c r="T20" s="358">
        <f>'Revenue matching'!T40</f>
        <v>5.9204564495108425</v>
      </c>
      <c r="U20" s="358">
        <f>'Revenue matching'!U40</f>
        <v>5.9204564495108425</v>
      </c>
      <c r="V20" s="358">
        <f>'Revenue matching'!V40</f>
        <v>5.9204564495108425</v>
      </c>
      <c r="W20" s="358">
        <f>'Revenue matching'!W40</f>
        <v>3.9038218301509833</v>
      </c>
      <c r="X20" s="358">
        <f>'Revenue matching'!X40</f>
        <v>3.9038218301509833</v>
      </c>
      <c r="Y20" s="358">
        <f>'Revenue matching'!Y40</f>
        <v>3.9038218301509833</v>
      </c>
      <c r="Z20" s="358">
        <f>'Revenue matching'!Z40</f>
        <v>3.9038218301509833</v>
      </c>
      <c r="AA20" s="358">
        <f>'Revenue matching'!AA40</f>
        <v>3.9038218301509833</v>
      </c>
      <c r="AB20" s="358">
        <f>'Revenue matching'!AB40</f>
        <v>3.1819974844838343</v>
      </c>
      <c r="AC20" s="358">
        <f>'Revenue matching'!AC40</f>
        <v>3.1819974844838343</v>
      </c>
      <c r="AD20" s="358">
        <f>'Revenue matching'!AD40</f>
        <v>3.1819974844838343</v>
      </c>
      <c r="AE20" s="358">
        <f>'Revenue matching'!AE40</f>
        <v>3.1819974844838343</v>
      </c>
      <c r="AF20" s="358">
        <f>'Revenue matching'!AF40</f>
        <v>3.1819974844838343</v>
      </c>
      <c r="AG20" s="358">
        <f>'Revenue matching'!AG40</f>
        <v>19.148182617811354</v>
      </c>
      <c r="AH20" s="358">
        <f>'Revenue matching'!AH40</f>
        <v>-5.8360481944946567</v>
      </c>
      <c r="AI20" s="358">
        <f>'Revenue matching'!AI40</f>
        <v>-5.2137444437929998</v>
      </c>
      <c r="AJ20" s="358">
        <f>'Revenue matching'!AJ40</f>
        <v>-5.8360481944946567</v>
      </c>
      <c r="AK20" s="358">
        <f>'Revenue matching'!AK40</f>
        <v>-5.8360481944946567</v>
      </c>
      <c r="AL20" s="358">
        <f>'Revenue matching'!AL40</f>
        <v>-5.2137444437929998</v>
      </c>
      <c r="AM20" s="358">
        <f>'Revenue matching'!AM40</f>
        <v>-5.2137444437929998</v>
      </c>
      <c r="AN20" s="358">
        <f>'Revenue matching'!AN40</f>
        <v>-4.0256541373289458</v>
      </c>
      <c r="AO20" s="358">
        <f>'Revenue matching'!AO40</f>
        <v>-4.0256541373289458</v>
      </c>
      <c r="AP20" s="349"/>
      <c r="AQ20" s="349"/>
    </row>
    <row r="21" spans="3:43" x14ac:dyDescent="0.25">
      <c r="C21" s="86"/>
      <c r="F21" s="293" t="s">
        <v>135</v>
      </c>
      <c r="G21" s="293" t="s">
        <v>183</v>
      </c>
      <c r="H21" s="416"/>
      <c r="I21" s="349"/>
      <c r="J21" s="416">
        <f>'Revenue matching'!J41</f>
        <v>1.1153673022347455</v>
      </c>
      <c r="K21" s="416">
        <f>'Revenue matching'!K41</f>
        <v>1.1153673022347455</v>
      </c>
      <c r="L21" s="416">
        <f>'Revenue matching'!L41</f>
        <v>0.98306516992664039</v>
      </c>
      <c r="M21" s="416">
        <f>'Revenue matching'!M41</f>
        <v>0.98306516992664039</v>
      </c>
      <c r="N21" s="416">
        <f>'Revenue matching'!N41</f>
        <v>0.98306516992664039</v>
      </c>
      <c r="O21" s="416">
        <f>'Revenue matching'!O41</f>
        <v>0.98306516992664039</v>
      </c>
      <c r="P21" s="416">
        <f>'Revenue matching'!P41</f>
        <v>0.98306516992664039</v>
      </c>
      <c r="Q21" s="416">
        <f>'Revenue matching'!Q41</f>
        <v>0.98306516992664039</v>
      </c>
      <c r="R21" s="416">
        <f>'Revenue matching'!R41</f>
        <v>0.66178237649677973</v>
      </c>
      <c r="S21" s="416">
        <f>'Revenue matching'!S41</f>
        <v>0.66178237649677973</v>
      </c>
      <c r="T21" s="416">
        <f>'Revenue matching'!T41</f>
        <v>0.66178237649677973</v>
      </c>
      <c r="U21" s="416">
        <f>'Revenue matching'!U41</f>
        <v>0.66178237649677973</v>
      </c>
      <c r="V21" s="416">
        <f>'Revenue matching'!V41</f>
        <v>0.66178237649677973</v>
      </c>
      <c r="W21" s="416">
        <f>'Revenue matching'!W41</f>
        <v>0.2984634805719768</v>
      </c>
      <c r="X21" s="416">
        <f>'Revenue matching'!X41</f>
        <v>0.2984634805719768</v>
      </c>
      <c r="Y21" s="416">
        <f>'Revenue matching'!Y41</f>
        <v>0.2984634805719768</v>
      </c>
      <c r="Z21" s="416">
        <f>'Revenue matching'!Z41</f>
        <v>0.2984634805719768</v>
      </c>
      <c r="AA21" s="416">
        <f>'Revenue matching'!AA41</f>
        <v>0.2984634805719768</v>
      </c>
      <c r="AB21" s="416">
        <f>'Revenue matching'!AB41</f>
        <v>0.21573751303447605</v>
      </c>
      <c r="AC21" s="416">
        <f>'Revenue matching'!AC41</f>
        <v>0.21573751303447605</v>
      </c>
      <c r="AD21" s="416">
        <f>'Revenue matching'!AD41</f>
        <v>0.21573751303447605</v>
      </c>
      <c r="AE21" s="416">
        <f>'Revenue matching'!AE41</f>
        <v>0.21573751303447605</v>
      </c>
      <c r="AF21" s="416">
        <f>'Revenue matching'!AF41</f>
        <v>0.21573751303447605</v>
      </c>
      <c r="AG21" s="416">
        <f>'Revenue matching'!AG41</f>
        <v>3.0935343821070407</v>
      </c>
      <c r="AH21" s="416">
        <f>'Revenue matching'!AH41</f>
        <v>-0.75699292246771566</v>
      </c>
      <c r="AI21" s="416">
        <f>'Revenue matching'!AI41</f>
        <v>-0.61914773795816491</v>
      </c>
      <c r="AJ21" s="416">
        <f>'Revenue matching'!AJ41</f>
        <v>-0.75699292246771566</v>
      </c>
      <c r="AK21" s="416">
        <f>'Revenue matching'!AK41</f>
        <v>-0.75699292246771566</v>
      </c>
      <c r="AL21" s="416">
        <f>'Revenue matching'!AL41</f>
        <v>-0.61914773795816491</v>
      </c>
      <c r="AM21" s="416">
        <f>'Revenue matching'!AM41</f>
        <v>-0.61914773795816491</v>
      </c>
      <c r="AN21" s="416">
        <f>'Revenue matching'!AN41</f>
        <v>-0.30677292562270519</v>
      </c>
      <c r="AO21" s="416">
        <f>'Revenue matching'!AO41</f>
        <v>-0.30677292562270519</v>
      </c>
      <c r="AP21" s="349"/>
      <c r="AQ21" s="349"/>
    </row>
    <row r="22" spans="3:43" x14ac:dyDescent="0.25">
      <c r="C22" s="86"/>
      <c r="F22" s="293" t="s">
        <v>136</v>
      </c>
      <c r="G22" s="293" t="s">
        <v>183</v>
      </c>
      <c r="H22" s="416"/>
      <c r="I22" s="349"/>
      <c r="J22" s="416">
        <f>'Revenue matching'!J42</f>
        <v>5.4036633774757072E-2</v>
      </c>
      <c r="K22" s="416">
        <f>'Revenue matching'!K42</f>
        <v>5.4036633774757072E-2</v>
      </c>
      <c r="L22" s="416">
        <f>'Revenue matching'!L42</f>
        <v>4.7626940880919788E-2</v>
      </c>
      <c r="M22" s="416">
        <f>'Revenue matching'!M42</f>
        <v>4.7626940880919788E-2</v>
      </c>
      <c r="N22" s="416">
        <f>'Revenue matching'!N42</f>
        <v>4.7626940880919788E-2</v>
      </c>
      <c r="O22" s="416">
        <f>'Revenue matching'!O42</f>
        <v>4.7626940880919788E-2</v>
      </c>
      <c r="P22" s="416">
        <f>'Revenue matching'!P42</f>
        <v>4.7626940880919788E-2</v>
      </c>
      <c r="Q22" s="416">
        <f>'Revenue matching'!Q42</f>
        <v>4.7626940880919788E-2</v>
      </c>
      <c r="R22" s="416">
        <f>'Revenue matching'!R42</f>
        <v>3.1035197909388225E-2</v>
      </c>
      <c r="S22" s="416">
        <f>'Revenue matching'!S42</f>
        <v>3.1035197909388225E-2</v>
      </c>
      <c r="T22" s="416">
        <f>'Revenue matching'!T42</f>
        <v>3.1035197909388225E-2</v>
      </c>
      <c r="U22" s="416">
        <f>'Revenue matching'!U42</f>
        <v>3.1035197909388225E-2</v>
      </c>
      <c r="V22" s="416">
        <f>'Revenue matching'!V42</f>
        <v>3.1035197909388225E-2</v>
      </c>
      <c r="W22" s="416">
        <f>'Revenue matching'!W42</f>
        <v>1.2449628384906991E-2</v>
      </c>
      <c r="X22" s="416">
        <f>'Revenue matching'!X42</f>
        <v>1.2449628384906991E-2</v>
      </c>
      <c r="Y22" s="416">
        <f>'Revenue matching'!Y42</f>
        <v>1.2449628384906991E-2</v>
      </c>
      <c r="Z22" s="416">
        <f>'Revenue matching'!Z42</f>
        <v>1.2449628384906991E-2</v>
      </c>
      <c r="AA22" s="416">
        <f>'Revenue matching'!AA42</f>
        <v>1.2449628384906991E-2</v>
      </c>
      <c r="AB22" s="416">
        <f>'Revenue matching'!AB42</f>
        <v>8.8557083461529313E-3</v>
      </c>
      <c r="AC22" s="416">
        <f>'Revenue matching'!AC42</f>
        <v>8.8557083461529313E-3</v>
      </c>
      <c r="AD22" s="416">
        <f>'Revenue matching'!AD42</f>
        <v>8.8557083461529313E-3</v>
      </c>
      <c r="AE22" s="416">
        <f>'Revenue matching'!AE42</f>
        <v>8.8557083461529313E-3</v>
      </c>
      <c r="AF22" s="416">
        <f>'Revenue matching'!AF42</f>
        <v>8.8557083461529313E-3</v>
      </c>
      <c r="AG22" s="416">
        <f>'Revenue matching'!AG42</f>
        <v>2.2516877263377024</v>
      </c>
      <c r="AH22" s="416">
        <f>'Revenue matching'!AH42</f>
        <v>-3.6674330724518492E-2</v>
      </c>
      <c r="AI22" s="416">
        <f>'Revenue matching'!AI42</f>
        <v>-2.9443749546248729E-2</v>
      </c>
      <c r="AJ22" s="416">
        <f>'Revenue matching'!AJ42</f>
        <v>-3.6674330724518492E-2</v>
      </c>
      <c r="AK22" s="416">
        <f>'Revenue matching'!AK42</f>
        <v>-3.6674330724518492E-2</v>
      </c>
      <c r="AL22" s="416">
        <f>'Revenue matching'!AL42</f>
        <v>-2.9443749546248729E-2</v>
      </c>
      <c r="AM22" s="416">
        <f>'Revenue matching'!AM42</f>
        <v>-2.9443749546248729E-2</v>
      </c>
      <c r="AN22" s="416">
        <f>'Revenue matching'!AN42</f>
        <v>-1.2791007958297398E-2</v>
      </c>
      <c r="AO22" s="416">
        <f>'Revenue matching'!AO42</f>
        <v>-1.2791007958297398E-2</v>
      </c>
      <c r="AP22" s="349"/>
      <c r="AQ22" s="349"/>
    </row>
    <row r="23" spans="3:43" x14ac:dyDescent="0.25">
      <c r="C23" s="86"/>
      <c r="F23" s="293" t="s">
        <v>254</v>
      </c>
      <c r="G23" s="293" t="s">
        <v>252</v>
      </c>
      <c r="H23" s="380"/>
      <c r="J23" s="273">
        <f>'Revenue matching'!J43</f>
        <v>4.9279307983675391</v>
      </c>
      <c r="K23" s="273">
        <f>'Revenue matching'!K43</f>
        <v>0</v>
      </c>
      <c r="L23" s="273">
        <f>'Revenue matching'!L43</f>
        <v>7.9896450085368196</v>
      </c>
      <c r="M23" s="273">
        <f>'Revenue matching'!M43</f>
        <v>7.9896450085368196</v>
      </c>
      <c r="N23" s="273">
        <f>'Revenue matching'!N43</f>
        <v>7.9896450085368196</v>
      </c>
      <c r="O23" s="273">
        <f>'Revenue matching'!O43</f>
        <v>7.9896450085368196</v>
      </c>
      <c r="P23" s="273">
        <f>'Revenue matching'!P43</f>
        <v>7.9896450085368196</v>
      </c>
      <c r="Q23" s="273">
        <f>'Revenue matching'!Q43</f>
        <v>0</v>
      </c>
      <c r="R23" s="273">
        <f>'Revenue matching'!R43</f>
        <v>17.100837763983357</v>
      </c>
      <c r="S23" s="273">
        <f>'Revenue matching'!S43</f>
        <v>17.100837763983357</v>
      </c>
      <c r="T23" s="273">
        <f>'Revenue matching'!T43</f>
        <v>17.100837763983357</v>
      </c>
      <c r="U23" s="273">
        <f>'Revenue matching'!U43</f>
        <v>17.100837763983357</v>
      </c>
      <c r="V23" s="273">
        <f>'Revenue matching'!V43</f>
        <v>17.100837763983357</v>
      </c>
      <c r="W23" s="273">
        <f>'Revenue matching'!W43</f>
        <v>40.100013861515436</v>
      </c>
      <c r="X23" s="273">
        <f>'Revenue matching'!X43</f>
        <v>40.100013861515436</v>
      </c>
      <c r="Y23" s="273">
        <f>'Revenue matching'!Y43</f>
        <v>40.100013861515436</v>
      </c>
      <c r="Z23" s="273">
        <f>'Revenue matching'!Z43</f>
        <v>40.100013861515436</v>
      </c>
      <c r="AA23" s="273">
        <f>'Revenue matching'!AA43</f>
        <v>40.100013861515436</v>
      </c>
      <c r="AB23" s="273">
        <f>'Revenue matching'!AB43</f>
        <v>174.18069137616291</v>
      </c>
      <c r="AC23" s="273">
        <f>'Revenue matching'!AC43</f>
        <v>174.18069137616291</v>
      </c>
      <c r="AD23" s="273">
        <f>'Revenue matching'!AD43</f>
        <v>174.18069137616291</v>
      </c>
      <c r="AE23" s="273">
        <f>'Revenue matching'!AE43</f>
        <v>174.18069137616291</v>
      </c>
      <c r="AF23" s="273">
        <f>'Revenue matching'!AF43</f>
        <v>174.18069137616291</v>
      </c>
      <c r="AG23" s="273">
        <f>'Revenue matching'!AG43</f>
        <v>0</v>
      </c>
      <c r="AH23" s="273">
        <f>'Revenue matching'!AH43</f>
        <v>0</v>
      </c>
      <c r="AI23" s="273">
        <f>'Revenue matching'!AI43</f>
        <v>0</v>
      </c>
      <c r="AJ23" s="273">
        <f>'Revenue matching'!AJ43</f>
        <v>0</v>
      </c>
      <c r="AK23" s="273">
        <f>'Revenue matching'!AK43</f>
        <v>0</v>
      </c>
      <c r="AL23" s="273">
        <f>'Revenue matching'!AL43</f>
        <v>0</v>
      </c>
      <c r="AM23" s="273">
        <f>'Revenue matching'!AM43</f>
        <v>0</v>
      </c>
      <c r="AN23" s="273">
        <f>'Revenue matching'!AN43</f>
        <v>348.54955153486407</v>
      </c>
      <c r="AO23" s="273">
        <f>'Revenue matching'!AO43</f>
        <v>348.54955153486407</v>
      </c>
    </row>
    <row r="24" spans="3:43" x14ac:dyDescent="0.25">
      <c r="C24" s="86"/>
      <c r="F24" s="293" t="s">
        <v>255</v>
      </c>
      <c r="G24" s="293" t="s">
        <v>251</v>
      </c>
      <c r="H24" s="380"/>
      <c r="J24" s="273">
        <f>'Revenue matching'!J44</f>
        <v>0</v>
      </c>
      <c r="K24" s="273">
        <f>'Revenue matching'!K44</f>
        <v>0</v>
      </c>
      <c r="L24" s="273">
        <f>'Revenue matching'!L44</f>
        <v>0</v>
      </c>
      <c r="M24" s="273">
        <f>'Revenue matching'!M44</f>
        <v>0</v>
      </c>
      <c r="N24" s="273">
        <f>'Revenue matching'!N44</f>
        <v>0</v>
      </c>
      <c r="O24" s="273">
        <f>'Revenue matching'!O44</f>
        <v>0</v>
      </c>
      <c r="P24" s="273">
        <f>'Revenue matching'!P44</f>
        <v>0</v>
      </c>
      <c r="Q24" s="273">
        <f>'Revenue matching'!Q44</f>
        <v>0</v>
      </c>
      <c r="R24" s="273">
        <f>'Revenue matching'!R44</f>
        <v>3.6596972672004675</v>
      </c>
      <c r="S24" s="273">
        <f>'Revenue matching'!S44</f>
        <v>3.6596972672004675</v>
      </c>
      <c r="T24" s="273">
        <f>'Revenue matching'!T44</f>
        <v>3.6596972672004675</v>
      </c>
      <c r="U24" s="273">
        <f>'Revenue matching'!U44</f>
        <v>3.6596972672004675</v>
      </c>
      <c r="V24" s="273">
        <f>'Revenue matching'!V44</f>
        <v>3.6596972672004675</v>
      </c>
      <c r="W24" s="273">
        <f>'Revenue matching'!W44</f>
        <v>4.9214500674876485</v>
      </c>
      <c r="X24" s="273">
        <f>'Revenue matching'!X44</f>
        <v>4.9214500674876485</v>
      </c>
      <c r="Y24" s="273">
        <f>'Revenue matching'!Y44</f>
        <v>4.9214500674876485</v>
      </c>
      <c r="Z24" s="273">
        <f>'Revenue matching'!Z44</f>
        <v>4.9214500674876485</v>
      </c>
      <c r="AA24" s="273">
        <f>'Revenue matching'!AA44</f>
        <v>4.9214500674876485</v>
      </c>
      <c r="AB24" s="273">
        <f>'Revenue matching'!AB44</f>
        <v>5.8732158802325856</v>
      </c>
      <c r="AC24" s="273">
        <f>'Revenue matching'!AC44</f>
        <v>5.8732158802325856</v>
      </c>
      <c r="AD24" s="273">
        <f>'Revenue matching'!AD44</f>
        <v>5.8732158802325856</v>
      </c>
      <c r="AE24" s="273">
        <f>'Revenue matching'!AE44</f>
        <v>5.8732158802325856</v>
      </c>
      <c r="AF24" s="273">
        <f>'Revenue matching'!AF44</f>
        <v>5.8732158802325856</v>
      </c>
      <c r="AG24" s="273">
        <f>'Revenue matching'!AG44</f>
        <v>0</v>
      </c>
      <c r="AH24" s="273">
        <f>'Revenue matching'!AH44</f>
        <v>0</v>
      </c>
      <c r="AI24" s="273">
        <f>'Revenue matching'!AI44</f>
        <v>0</v>
      </c>
      <c r="AJ24" s="273">
        <f>'Revenue matching'!AJ44</f>
        <v>0</v>
      </c>
      <c r="AK24" s="273">
        <f>'Revenue matching'!AK44</f>
        <v>0</v>
      </c>
      <c r="AL24" s="273">
        <f>'Revenue matching'!AL44</f>
        <v>0</v>
      </c>
      <c r="AM24" s="273">
        <f>'Revenue matching'!AM44</f>
        <v>0</v>
      </c>
      <c r="AN24" s="273">
        <f>'Revenue matching'!AN44</f>
        <v>0</v>
      </c>
      <c r="AO24" s="273">
        <f>'Revenue matching'!AO44</f>
        <v>0</v>
      </c>
    </row>
    <row r="25" spans="3:43" x14ac:dyDescent="0.25">
      <c r="C25" s="86"/>
      <c r="F25" s="293" t="s">
        <v>256</v>
      </c>
      <c r="G25" s="293" t="s">
        <v>251</v>
      </c>
      <c r="H25" s="380"/>
      <c r="J25" s="273">
        <f>'Revenue matching'!J45</f>
        <v>0</v>
      </c>
      <c r="K25" s="273">
        <f>'Revenue matching'!K45</f>
        <v>0</v>
      </c>
      <c r="L25" s="273">
        <f>'Revenue matching'!L45</f>
        <v>0</v>
      </c>
      <c r="M25" s="273">
        <f>'Revenue matching'!M45</f>
        <v>0</v>
      </c>
      <c r="N25" s="273">
        <f>'Revenue matching'!N45</f>
        <v>0</v>
      </c>
      <c r="O25" s="273">
        <f>'Revenue matching'!O45</f>
        <v>0</v>
      </c>
      <c r="P25" s="273">
        <f>'Revenue matching'!P45</f>
        <v>0</v>
      </c>
      <c r="Q25" s="273">
        <f>'Revenue matching'!Q45</f>
        <v>0</v>
      </c>
      <c r="R25" s="273">
        <f>'Revenue matching'!R45</f>
        <v>6.8377600807265617</v>
      </c>
      <c r="S25" s="273">
        <f>'Revenue matching'!S45</f>
        <v>6.8377600807265617</v>
      </c>
      <c r="T25" s="273">
        <f>'Revenue matching'!T45</f>
        <v>6.8377600807265617</v>
      </c>
      <c r="U25" s="273">
        <f>'Revenue matching'!U45</f>
        <v>6.8377600807265617</v>
      </c>
      <c r="V25" s="273">
        <f>'Revenue matching'!V45</f>
        <v>6.8377600807265617</v>
      </c>
      <c r="W25" s="273">
        <f>'Revenue matching'!W45</f>
        <v>6.4250662718968972</v>
      </c>
      <c r="X25" s="273">
        <f>'Revenue matching'!X45</f>
        <v>6.4250662718968972</v>
      </c>
      <c r="Y25" s="273">
        <f>'Revenue matching'!Y45</f>
        <v>6.4250662718968972</v>
      </c>
      <c r="Z25" s="273">
        <f>'Revenue matching'!Z45</f>
        <v>6.4250662718968972</v>
      </c>
      <c r="AA25" s="273">
        <f>'Revenue matching'!AA45</f>
        <v>6.4250662718968972</v>
      </c>
      <c r="AB25" s="273">
        <f>'Revenue matching'!AB45</f>
        <v>7.0962072937622995</v>
      </c>
      <c r="AC25" s="273">
        <f>'Revenue matching'!AC45</f>
        <v>7.0962072937622995</v>
      </c>
      <c r="AD25" s="273">
        <f>'Revenue matching'!AD45</f>
        <v>7.0962072937622995</v>
      </c>
      <c r="AE25" s="273">
        <f>'Revenue matching'!AE45</f>
        <v>7.0962072937622995</v>
      </c>
      <c r="AF25" s="273">
        <f>'Revenue matching'!AF45</f>
        <v>7.0962072937622995</v>
      </c>
      <c r="AG25" s="273">
        <f>'Revenue matching'!AG45</f>
        <v>0</v>
      </c>
      <c r="AH25" s="273">
        <f>'Revenue matching'!AH45</f>
        <v>0</v>
      </c>
      <c r="AI25" s="273">
        <f>'Revenue matching'!AI45</f>
        <v>0</v>
      </c>
      <c r="AJ25" s="273">
        <f>'Revenue matching'!AJ45</f>
        <v>0</v>
      </c>
      <c r="AK25" s="273">
        <f>'Revenue matching'!AK45</f>
        <v>0</v>
      </c>
      <c r="AL25" s="273">
        <f>'Revenue matching'!AL45</f>
        <v>0</v>
      </c>
      <c r="AM25" s="273">
        <f>'Revenue matching'!AM45</f>
        <v>0</v>
      </c>
      <c r="AN25" s="273">
        <f>'Revenue matching'!AN45</f>
        <v>0</v>
      </c>
      <c r="AO25" s="273">
        <f>'Revenue matching'!AO45</f>
        <v>0</v>
      </c>
    </row>
    <row r="26" spans="3:43" x14ac:dyDescent="0.25">
      <c r="C26" s="86"/>
      <c r="F26" s="93" t="s">
        <v>257</v>
      </c>
      <c r="G26" s="93" t="s">
        <v>258</v>
      </c>
      <c r="H26" s="361"/>
      <c r="I26" s="351"/>
      <c r="J26" s="361">
        <f>'Revenue matching'!J46</f>
        <v>0</v>
      </c>
      <c r="K26" s="361">
        <f>'Revenue matching'!K46</f>
        <v>0</v>
      </c>
      <c r="L26" s="361">
        <f>'Revenue matching'!L46</f>
        <v>0</v>
      </c>
      <c r="M26" s="361">
        <f>'Revenue matching'!M46</f>
        <v>0</v>
      </c>
      <c r="N26" s="361">
        <f>'Revenue matching'!N46</f>
        <v>0</v>
      </c>
      <c r="O26" s="361">
        <f>'Revenue matching'!O46</f>
        <v>0</v>
      </c>
      <c r="P26" s="361">
        <f>'Revenue matching'!P46</f>
        <v>0</v>
      </c>
      <c r="Q26" s="361">
        <f>'Revenue matching'!Q46</f>
        <v>0</v>
      </c>
      <c r="R26" s="361">
        <f>'Revenue matching'!R46</f>
        <v>0.22036731235800763</v>
      </c>
      <c r="S26" s="361">
        <f>'Revenue matching'!S46</f>
        <v>0.22036731235800763</v>
      </c>
      <c r="T26" s="361">
        <f>'Revenue matching'!T46</f>
        <v>0.22036731235800763</v>
      </c>
      <c r="U26" s="361">
        <f>'Revenue matching'!U46</f>
        <v>0.22036731235800763</v>
      </c>
      <c r="V26" s="361">
        <f>'Revenue matching'!V46</f>
        <v>0.22036731235800763</v>
      </c>
      <c r="W26" s="361">
        <f>'Revenue matching'!W46</f>
        <v>0.12269322893536748</v>
      </c>
      <c r="X26" s="361">
        <f>'Revenue matching'!X46</f>
        <v>0.12269322893536748</v>
      </c>
      <c r="Y26" s="361">
        <f>'Revenue matching'!Y46</f>
        <v>0.12269322893536748</v>
      </c>
      <c r="Z26" s="361">
        <f>'Revenue matching'!Z46</f>
        <v>0.12269322893536748</v>
      </c>
      <c r="AA26" s="361">
        <f>'Revenue matching'!AA46</f>
        <v>0.12269322893536748</v>
      </c>
      <c r="AB26" s="361">
        <f>'Revenue matching'!AB46</f>
        <v>9.3090604229866633E-2</v>
      </c>
      <c r="AC26" s="361">
        <f>'Revenue matching'!AC46</f>
        <v>9.3090604229866633E-2</v>
      </c>
      <c r="AD26" s="361">
        <f>'Revenue matching'!AD46</f>
        <v>9.3090604229866633E-2</v>
      </c>
      <c r="AE26" s="361">
        <f>'Revenue matching'!AE46</f>
        <v>9.3090604229866633E-2</v>
      </c>
      <c r="AF26" s="361">
        <f>'Revenue matching'!AF46</f>
        <v>9.3090604229866633E-2</v>
      </c>
      <c r="AG26" s="361">
        <f>'Revenue matching'!AG46</f>
        <v>0</v>
      </c>
      <c r="AH26" s="361">
        <f>'Revenue matching'!AH46</f>
        <v>0</v>
      </c>
      <c r="AI26" s="361">
        <f>'Revenue matching'!AI46</f>
        <v>0</v>
      </c>
      <c r="AJ26" s="361">
        <f>'Revenue matching'!AJ46</f>
        <v>0.22775582195180466</v>
      </c>
      <c r="AK26" s="361">
        <f>'Revenue matching'!AK46</f>
        <v>0</v>
      </c>
      <c r="AL26" s="361">
        <f>'Revenue matching'!AL46</f>
        <v>0.19093175752897684</v>
      </c>
      <c r="AM26" s="361">
        <f>'Revenue matching'!AM46</f>
        <v>0</v>
      </c>
      <c r="AN26" s="361">
        <f>'Revenue matching'!AN46</f>
        <v>0.16596197763913481</v>
      </c>
      <c r="AO26" s="361">
        <f>'Revenue matching'!AO46</f>
        <v>0</v>
      </c>
      <c r="AP26" s="349"/>
      <c r="AQ26" s="349"/>
    </row>
    <row r="27" spans="3:43" x14ac:dyDescent="0.25">
      <c r="C27" s="86"/>
      <c r="E27" s="293"/>
      <c r="J27" s="252"/>
      <c r="K27" s="252"/>
      <c r="L27" s="252"/>
      <c r="M27" s="252"/>
      <c r="N27" s="252"/>
      <c r="O27" s="252"/>
      <c r="P27" s="252"/>
      <c r="Q27" s="252"/>
      <c r="R27" s="252"/>
      <c r="S27" s="252"/>
      <c r="T27" s="252"/>
      <c r="U27" s="252"/>
      <c r="V27" s="252"/>
      <c r="W27" s="252"/>
      <c r="X27" s="252"/>
      <c r="Y27" s="252"/>
      <c r="Z27" s="252"/>
      <c r="AA27" s="252"/>
      <c r="AB27" s="252"/>
      <c r="AC27" s="252"/>
      <c r="AD27" s="252"/>
      <c r="AE27" s="252"/>
      <c r="AF27" s="252"/>
      <c r="AG27" s="252"/>
      <c r="AH27" s="252"/>
      <c r="AI27" s="252"/>
      <c r="AJ27" s="252"/>
      <c r="AK27" s="252"/>
      <c r="AL27" s="252"/>
      <c r="AM27" s="252"/>
      <c r="AN27" s="252"/>
      <c r="AO27" s="252"/>
    </row>
    <row r="28" spans="3:43" x14ac:dyDescent="0.25">
      <c r="C28" s="7" t="str">
        <f ca="1">INDEX('Version control'!$H$35:$H$61,MATCH($A$1,'Version control'!$F$35:$F$61,0),1)&amp;"-B: Adders for revenue-matching"</f>
        <v>Section 520-B: Adders for revenue-matching</v>
      </c>
      <c r="D28" s="7"/>
      <c r="E28" s="7"/>
      <c r="F28" s="7"/>
      <c r="G28" s="7"/>
      <c r="H28" s="7"/>
      <c r="I28" s="7"/>
      <c r="J28" s="242"/>
      <c r="K28" s="242"/>
      <c r="L28" s="242"/>
      <c r="M28" s="242"/>
      <c r="N28" s="242"/>
      <c r="O28" s="242"/>
      <c r="P28" s="242"/>
      <c r="Q28" s="242"/>
      <c r="R28" s="242"/>
      <c r="S28" s="242"/>
      <c r="T28" s="242"/>
      <c r="U28" s="242"/>
      <c r="V28" s="242"/>
      <c r="W28" s="242"/>
      <c r="X28" s="242"/>
      <c r="Y28" s="242"/>
      <c r="Z28" s="242"/>
      <c r="AA28" s="242"/>
      <c r="AB28" s="242"/>
      <c r="AC28" s="242"/>
      <c r="AD28" s="242"/>
      <c r="AE28" s="242"/>
      <c r="AF28" s="242"/>
      <c r="AG28" s="242"/>
      <c r="AH28" s="242"/>
      <c r="AI28" s="242"/>
      <c r="AJ28" s="242"/>
      <c r="AK28" s="242"/>
      <c r="AL28" s="242"/>
      <c r="AM28" s="242"/>
      <c r="AN28" s="242"/>
      <c r="AO28" s="242"/>
      <c r="AP28" s="7"/>
      <c r="AQ28" s="7"/>
    </row>
    <row r="29" spans="3:43" x14ac:dyDescent="0.25">
      <c r="J29" s="252"/>
      <c r="K29" s="252"/>
      <c r="L29" s="252"/>
      <c r="M29" s="252"/>
      <c r="N29" s="252"/>
      <c r="O29" s="252"/>
      <c r="P29" s="252"/>
      <c r="Q29" s="252"/>
      <c r="R29" s="252"/>
      <c r="S29" s="252"/>
      <c r="T29" s="252"/>
      <c r="U29" s="252"/>
      <c r="V29" s="252"/>
      <c r="W29" s="252"/>
      <c r="X29" s="252"/>
      <c r="Y29" s="252"/>
      <c r="Z29" s="252"/>
      <c r="AA29" s="252"/>
      <c r="AB29" s="252"/>
      <c r="AC29" s="252"/>
      <c r="AD29" s="252"/>
      <c r="AE29" s="252"/>
      <c r="AF29" s="252"/>
      <c r="AG29" s="252"/>
      <c r="AH29" s="252"/>
      <c r="AI29" s="252"/>
      <c r="AJ29" s="252"/>
      <c r="AK29" s="252"/>
      <c r="AL29" s="252"/>
      <c r="AM29" s="252"/>
      <c r="AN29" s="252"/>
      <c r="AO29" s="252"/>
    </row>
    <row r="30" spans="3:43" x14ac:dyDescent="0.25">
      <c r="E30" s="86" t="s">
        <v>1225</v>
      </c>
      <c r="J30" s="252"/>
      <c r="K30" s="252"/>
      <c r="L30" s="252"/>
      <c r="M30" s="252"/>
      <c r="N30" s="252"/>
      <c r="O30" s="252"/>
      <c r="P30" s="252"/>
      <c r="Q30" s="252"/>
      <c r="R30" s="252"/>
      <c r="S30" s="252"/>
      <c r="T30" s="252"/>
      <c r="U30" s="252"/>
      <c r="V30" s="252"/>
      <c r="W30" s="252"/>
      <c r="X30" s="252"/>
      <c r="Y30" s="252"/>
      <c r="Z30" s="252"/>
      <c r="AA30" s="252"/>
      <c r="AB30" s="252"/>
      <c r="AC30" s="252"/>
      <c r="AD30" s="252"/>
      <c r="AE30" s="252"/>
      <c r="AF30" s="252"/>
      <c r="AG30" s="252"/>
      <c r="AH30" s="252"/>
      <c r="AI30" s="252"/>
      <c r="AJ30" s="252"/>
      <c r="AK30" s="252"/>
      <c r="AL30" s="252"/>
      <c r="AM30" s="252"/>
      <c r="AN30" s="252"/>
      <c r="AO30" s="252"/>
    </row>
    <row r="31" spans="3:43" x14ac:dyDescent="0.25">
      <c r="E31" s="82" t="s">
        <v>1255</v>
      </c>
      <c r="J31" s="252"/>
      <c r="K31" s="252"/>
      <c r="L31" s="252"/>
      <c r="M31" s="252"/>
      <c r="N31" s="252"/>
      <c r="O31" s="252"/>
      <c r="P31" s="252"/>
      <c r="Q31" s="252"/>
      <c r="R31" s="252"/>
      <c r="S31" s="252"/>
      <c r="T31" s="252"/>
      <c r="U31" s="252"/>
      <c r="V31" s="252"/>
      <c r="W31" s="252"/>
      <c r="X31" s="252"/>
      <c r="Y31" s="252"/>
      <c r="Z31" s="252"/>
      <c r="AA31" s="252"/>
      <c r="AB31" s="252"/>
      <c r="AC31" s="252"/>
      <c r="AD31" s="252"/>
      <c r="AE31" s="252"/>
      <c r="AF31" s="252"/>
      <c r="AG31" s="252"/>
      <c r="AH31" s="252"/>
      <c r="AI31" s="252"/>
      <c r="AJ31" s="252"/>
      <c r="AK31" s="252"/>
      <c r="AL31" s="252"/>
      <c r="AM31" s="252"/>
      <c r="AN31" s="252"/>
      <c r="AO31" s="252"/>
    </row>
    <row r="32" spans="3:43" x14ac:dyDescent="0.25">
      <c r="E32" s="86"/>
      <c r="F32" s="91" t="s">
        <v>134</v>
      </c>
      <c r="G32" s="91" t="s">
        <v>183</v>
      </c>
      <c r="H32" s="358"/>
      <c r="I32" s="347"/>
      <c r="J32" s="348">
        <f>'Revenue matching'!J413</f>
        <v>0</v>
      </c>
      <c r="K32" s="348">
        <f>'Revenue matching'!K413</f>
        <v>0</v>
      </c>
      <c r="L32" s="348">
        <f>'Revenue matching'!L413</f>
        <v>0</v>
      </c>
      <c r="M32" s="348">
        <f>'Revenue matching'!M413</f>
        <v>0</v>
      </c>
      <c r="N32" s="348">
        <f>'Revenue matching'!N413</f>
        <v>0</v>
      </c>
      <c r="O32" s="348">
        <f>'Revenue matching'!O413</f>
        <v>0</v>
      </c>
      <c r="P32" s="348">
        <f>'Revenue matching'!P413</f>
        <v>0</v>
      </c>
      <c r="Q32" s="348">
        <f>'Revenue matching'!Q413</f>
        <v>0</v>
      </c>
      <c r="R32" s="348">
        <f>'Revenue matching'!R413</f>
        <v>0</v>
      </c>
      <c r="S32" s="348">
        <f>'Revenue matching'!S413</f>
        <v>0</v>
      </c>
      <c r="T32" s="348">
        <f>'Revenue matching'!T413</f>
        <v>0</v>
      </c>
      <c r="U32" s="348">
        <f>'Revenue matching'!U413</f>
        <v>0</v>
      </c>
      <c r="V32" s="348">
        <f>'Revenue matching'!V413</f>
        <v>0</v>
      </c>
      <c r="W32" s="348">
        <f>'Revenue matching'!W413</f>
        <v>0</v>
      </c>
      <c r="X32" s="348">
        <f>'Revenue matching'!X413</f>
        <v>0</v>
      </c>
      <c r="Y32" s="348">
        <f>'Revenue matching'!Y413</f>
        <v>0</v>
      </c>
      <c r="Z32" s="348">
        <f>'Revenue matching'!Z413</f>
        <v>0</v>
      </c>
      <c r="AA32" s="348">
        <f>'Revenue matching'!AA413</f>
        <v>0</v>
      </c>
      <c r="AB32" s="348">
        <f>'Revenue matching'!AB413</f>
        <v>0</v>
      </c>
      <c r="AC32" s="348">
        <f>'Revenue matching'!AC413</f>
        <v>0</v>
      </c>
      <c r="AD32" s="348">
        <f>'Revenue matching'!AD413</f>
        <v>0</v>
      </c>
      <c r="AE32" s="348">
        <f>'Revenue matching'!AE413</f>
        <v>0</v>
      </c>
      <c r="AF32" s="348">
        <f>'Revenue matching'!AF413</f>
        <v>0</v>
      </c>
      <c r="AG32" s="348">
        <f>'Revenue matching'!AG413</f>
        <v>0.48638640825841017</v>
      </c>
      <c r="AH32" s="348">
        <f>'Revenue matching'!AH413</f>
        <v>0</v>
      </c>
      <c r="AI32" s="348">
        <f>'Revenue matching'!AI413</f>
        <v>0</v>
      </c>
      <c r="AJ32" s="348">
        <f>'Revenue matching'!AJ413</f>
        <v>0</v>
      </c>
      <c r="AK32" s="348">
        <f>'Revenue matching'!AK413</f>
        <v>0</v>
      </c>
      <c r="AL32" s="348">
        <f>'Revenue matching'!AL413</f>
        <v>0</v>
      </c>
      <c r="AM32" s="348">
        <f>'Revenue matching'!AM413</f>
        <v>0</v>
      </c>
      <c r="AN32" s="348">
        <f>'Revenue matching'!AN413</f>
        <v>0</v>
      </c>
      <c r="AO32" s="348">
        <f>'Revenue matching'!AO413</f>
        <v>0</v>
      </c>
      <c r="AP32" s="349"/>
      <c r="AQ32" s="349"/>
    </row>
    <row r="33" spans="3:43" x14ac:dyDescent="0.25">
      <c r="E33" s="86"/>
      <c r="F33" s="293" t="s">
        <v>135</v>
      </c>
      <c r="G33" s="293" t="s">
        <v>183</v>
      </c>
      <c r="H33" s="416"/>
      <c r="I33" s="349"/>
      <c r="J33" s="350">
        <f>'Revenue matching'!J414</f>
        <v>0</v>
      </c>
      <c r="K33" s="350">
        <f>'Revenue matching'!K414</f>
        <v>0</v>
      </c>
      <c r="L33" s="350">
        <f>'Revenue matching'!L414</f>
        <v>0</v>
      </c>
      <c r="M33" s="350">
        <f>'Revenue matching'!M414</f>
        <v>0</v>
      </c>
      <c r="N33" s="350">
        <f>'Revenue matching'!N414</f>
        <v>0</v>
      </c>
      <c r="O33" s="350">
        <f>'Revenue matching'!O414</f>
        <v>0</v>
      </c>
      <c r="P33" s="350">
        <f>'Revenue matching'!P414</f>
        <v>0</v>
      </c>
      <c r="Q33" s="350">
        <f>'Revenue matching'!Q414</f>
        <v>0</v>
      </c>
      <c r="R33" s="350">
        <f>'Revenue matching'!R414</f>
        <v>0</v>
      </c>
      <c r="S33" s="350">
        <f>'Revenue matching'!S414</f>
        <v>0</v>
      </c>
      <c r="T33" s="350">
        <f>'Revenue matching'!T414</f>
        <v>0</v>
      </c>
      <c r="U33" s="350">
        <f>'Revenue matching'!U414</f>
        <v>0</v>
      </c>
      <c r="V33" s="350">
        <f>'Revenue matching'!V414</f>
        <v>0</v>
      </c>
      <c r="W33" s="350">
        <f>'Revenue matching'!W414</f>
        <v>0</v>
      </c>
      <c r="X33" s="350">
        <f>'Revenue matching'!X414</f>
        <v>0</v>
      </c>
      <c r="Y33" s="350">
        <f>'Revenue matching'!Y414</f>
        <v>0</v>
      </c>
      <c r="Z33" s="350">
        <f>'Revenue matching'!Z414</f>
        <v>0</v>
      </c>
      <c r="AA33" s="350">
        <f>'Revenue matching'!AA414</f>
        <v>0</v>
      </c>
      <c r="AB33" s="350">
        <f>'Revenue matching'!AB414</f>
        <v>0</v>
      </c>
      <c r="AC33" s="350">
        <f>'Revenue matching'!AC414</f>
        <v>0</v>
      </c>
      <c r="AD33" s="350">
        <f>'Revenue matching'!AD414</f>
        <v>0</v>
      </c>
      <c r="AE33" s="350">
        <f>'Revenue matching'!AE414</f>
        <v>0</v>
      </c>
      <c r="AF33" s="350">
        <f>'Revenue matching'!AF414</f>
        <v>0</v>
      </c>
      <c r="AG33" s="350">
        <f>'Revenue matching'!AG414</f>
        <v>0.48638640825841017</v>
      </c>
      <c r="AH33" s="350">
        <f>'Revenue matching'!AH414</f>
        <v>0</v>
      </c>
      <c r="AI33" s="350">
        <f>'Revenue matching'!AI414</f>
        <v>0</v>
      </c>
      <c r="AJ33" s="350">
        <f>'Revenue matching'!AJ414</f>
        <v>0</v>
      </c>
      <c r="AK33" s="350">
        <f>'Revenue matching'!AK414</f>
        <v>0</v>
      </c>
      <c r="AL33" s="350">
        <f>'Revenue matching'!AL414</f>
        <v>0</v>
      </c>
      <c r="AM33" s="350">
        <f>'Revenue matching'!AM414</f>
        <v>0</v>
      </c>
      <c r="AN33" s="350">
        <f>'Revenue matching'!AN414</f>
        <v>0</v>
      </c>
      <c r="AO33" s="350">
        <f>'Revenue matching'!AO414</f>
        <v>0</v>
      </c>
      <c r="AP33" s="349"/>
      <c r="AQ33" s="349"/>
    </row>
    <row r="34" spans="3:43" x14ac:dyDescent="0.25">
      <c r="E34" s="86"/>
      <c r="F34" s="293" t="s">
        <v>136</v>
      </c>
      <c r="G34" s="293" t="s">
        <v>183</v>
      </c>
      <c r="H34" s="416"/>
      <c r="I34" s="349"/>
      <c r="J34" s="350">
        <f>'Revenue matching'!J415</f>
        <v>0</v>
      </c>
      <c r="K34" s="350">
        <f>'Revenue matching'!K415</f>
        <v>0</v>
      </c>
      <c r="L34" s="350">
        <f>'Revenue matching'!L415</f>
        <v>0</v>
      </c>
      <c r="M34" s="350">
        <f>'Revenue matching'!M415</f>
        <v>0</v>
      </c>
      <c r="N34" s="350">
        <f>'Revenue matching'!N415</f>
        <v>0</v>
      </c>
      <c r="O34" s="350">
        <f>'Revenue matching'!O415</f>
        <v>0</v>
      </c>
      <c r="P34" s="350">
        <f>'Revenue matching'!P415</f>
        <v>0</v>
      </c>
      <c r="Q34" s="350">
        <f>'Revenue matching'!Q415</f>
        <v>0</v>
      </c>
      <c r="R34" s="350">
        <f>'Revenue matching'!R415</f>
        <v>0</v>
      </c>
      <c r="S34" s="350">
        <f>'Revenue matching'!S415</f>
        <v>0</v>
      </c>
      <c r="T34" s="350">
        <f>'Revenue matching'!T415</f>
        <v>0</v>
      </c>
      <c r="U34" s="350">
        <f>'Revenue matching'!U415</f>
        <v>0</v>
      </c>
      <c r="V34" s="350">
        <f>'Revenue matching'!V415</f>
        <v>0</v>
      </c>
      <c r="W34" s="350">
        <f>'Revenue matching'!W415</f>
        <v>0</v>
      </c>
      <c r="X34" s="350">
        <f>'Revenue matching'!X415</f>
        <v>0</v>
      </c>
      <c r="Y34" s="350">
        <f>'Revenue matching'!Y415</f>
        <v>0</v>
      </c>
      <c r="Z34" s="350">
        <f>'Revenue matching'!Z415</f>
        <v>0</v>
      </c>
      <c r="AA34" s="350">
        <f>'Revenue matching'!AA415</f>
        <v>0</v>
      </c>
      <c r="AB34" s="350">
        <f>'Revenue matching'!AB415</f>
        <v>0</v>
      </c>
      <c r="AC34" s="350">
        <f>'Revenue matching'!AC415</f>
        <v>0</v>
      </c>
      <c r="AD34" s="350">
        <f>'Revenue matching'!AD415</f>
        <v>0</v>
      </c>
      <c r="AE34" s="350">
        <f>'Revenue matching'!AE415</f>
        <v>0</v>
      </c>
      <c r="AF34" s="350">
        <f>'Revenue matching'!AF415</f>
        <v>0</v>
      </c>
      <c r="AG34" s="350">
        <f>'Revenue matching'!AG415</f>
        <v>0.48638640825841017</v>
      </c>
      <c r="AH34" s="350">
        <f>'Revenue matching'!AH415</f>
        <v>0</v>
      </c>
      <c r="AI34" s="350">
        <f>'Revenue matching'!AI415</f>
        <v>0</v>
      </c>
      <c r="AJ34" s="350">
        <f>'Revenue matching'!AJ415</f>
        <v>0</v>
      </c>
      <c r="AK34" s="350">
        <f>'Revenue matching'!AK415</f>
        <v>0</v>
      </c>
      <c r="AL34" s="350">
        <f>'Revenue matching'!AL415</f>
        <v>0</v>
      </c>
      <c r="AM34" s="350">
        <f>'Revenue matching'!AM415</f>
        <v>0</v>
      </c>
      <c r="AN34" s="350">
        <f>'Revenue matching'!AN415</f>
        <v>0</v>
      </c>
      <c r="AO34" s="350">
        <f>'Revenue matching'!AO415</f>
        <v>0</v>
      </c>
      <c r="AP34" s="349"/>
      <c r="AQ34" s="349"/>
    </row>
    <row r="35" spans="3:43" x14ac:dyDescent="0.25">
      <c r="E35" s="86"/>
      <c r="F35" s="293" t="s">
        <v>254</v>
      </c>
      <c r="G35" s="293" t="s">
        <v>252</v>
      </c>
      <c r="H35" s="380"/>
      <c r="J35" s="350">
        <f>'Revenue matching'!J416</f>
        <v>5.4930917604092055</v>
      </c>
      <c r="K35" s="350">
        <f>'Revenue matching'!K416</f>
        <v>0</v>
      </c>
      <c r="L35" s="350">
        <f>'Revenue matching'!L416</f>
        <v>0</v>
      </c>
      <c r="M35" s="350">
        <f>'Revenue matching'!M416</f>
        <v>3.223067199123796</v>
      </c>
      <c r="N35" s="350">
        <f>'Revenue matching'!N416</f>
        <v>10.587350562987183</v>
      </c>
      <c r="O35" s="350">
        <f>'Revenue matching'!O416</f>
        <v>23.99564693975481</v>
      </c>
      <c r="P35" s="350">
        <f>'Revenue matching'!P416</f>
        <v>65.28512662746806</v>
      </c>
      <c r="Q35" s="350">
        <f>'Revenue matching'!Q416</f>
        <v>0</v>
      </c>
      <c r="R35" s="350">
        <f>'Revenue matching'!R416</f>
        <v>0</v>
      </c>
      <c r="S35" s="350">
        <f>'Revenue matching'!S416</f>
        <v>119.7771850499329</v>
      </c>
      <c r="T35" s="350">
        <f>'Revenue matching'!T416</f>
        <v>222.63805205601338</v>
      </c>
      <c r="U35" s="350">
        <f>'Revenue matching'!U416</f>
        <v>344.55016510039712</v>
      </c>
      <c r="V35" s="350">
        <f>'Revenue matching'!V416</f>
        <v>881.06973710324348</v>
      </c>
      <c r="W35" s="350">
        <f>'Revenue matching'!W416</f>
        <v>0</v>
      </c>
      <c r="X35" s="350">
        <f>'Revenue matching'!X416</f>
        <v>119.7771850499329</v>
      </c>
      <c r="Y35" s="350">
        <f>'Revenue matching'!Y416</f>
        <v>222.63805205601338</v>
      </c>
      <c r="Z35" s="350">
        <f>'Revenue matching'!Z416</f>
        <v>344.55016510039712</v>
      </c>
      <c r="AA35" s="350">
        <f>'Revenue matching'!AA416</f>
        <v>881.06973710324348</v>
      </c>
      <c r="AB35" s="350">
        <f>'Revenue matching'!AB416</f>
        <v>0</v>
      </c>
      <c r="AC35" s="350">
        <f>'Revenue matching'!AC416</f>
        <v>734.34869522529414</v>
      </c>
      <c r="AD35" s="350">
        <f>'Revenue matching'!AD416</f>
        <v>2142.5598486505887</v>
      </c>
      <c r="AE35" s="350">
        <f>'Revenue matching'!AE416</f>
        <v>3932.6044921075709</v>
      </c>
      <c r="AF35" s="350">
        <f>'Revenue matching'!AF416</f>
        <v>10331.444452113208</v>
      </c>
      <c r="AG35" s="350">
        <f>'Revenue matching'!AG416</f>
        <v>0</v>
      </c>
      <c r="AH35" s="350">
        <f>'Revenue matching'!AH416</f>
        <v>0</v>
      </c>
      <c r="AI35" s="350">
        <f>'Revenue matching'!AI416</f>
        <v>0</v>
      </c>
      <c r="AJ35" s="350">
        <f>'Revenue matching'!AJ416</f>
        <v>0</v>
      </c>
      <c r="AK35" s="350">
        <f>'Revenue matching'!AK416</f>
        <v>0</v>
      </c>
      <c r="AL35" s="350">
        <f>'Revenue matching'!AL416</f>
        <v>0</v>
      </c>
      <c r="AM35" s="350">
        <f>'Revenue matching'!AM416</f>
        <v>0</v>
      </c>
      <c r="AN35" s="350">
        <f>'Revenue matching'!AN416</f>
        <v>0</v>
      </c>
      <c r="AO35" s="350">
        <f>'Revenue matching'!AO416</f>
        <v>0</v>
      </c>
    </row>
    <row r="36" spans="3:43" x14ac:dyDescent="0.25">
      <c r="E36" s="86"/>
      <c r="F36" s="293" t="s">
        <v>255</v>
      </c>
      <c r="G36" s="293" t="s">
        <v>251</v>
      </c>
      <c r="H36" s="380"/>
      <c r="J36" s="279"/>
      <c r="K36" s="279"/>
      <c r="L36" s="279"/>
      <c r="M36" s="279"/>
      <c r="N36" s="279"/>
      <c r="O36" s="279"/>
      <c r="P36" s="279"/>
      <c r="Q36" s="279"/>
      <c r="R36" s="279"/>
      <c r="S36" s="279"/>
      <c r="T36" s="279"/>
      <c r="U36" s="279"/>
      <c r="V36" s="279"/>
      <c r="W36" s="279"/>
      <c r="X36" s="279"/>
      <c r="Y36" s="279"/>
      <c r="Z36" s="279"/>
      <c r="AA36" s="279"/>
      <c r="AB36" s="279"/>
      <c r="AC36" s="279"/>
      <c r="AD36" s="279"/>
      <c r="AE36" s="279"/>
      <c r="AF36" s="279"/>
      <c r="AG36" s="279"/>
      <c r="AH36" s="279"/>
      <c r="AI36" s="279"/>
      <c r="AJ36" s="279"/>
      <c r="AK36" s="279"/>
      <c r="AL36" s="279"/>
      <c r="AM36" s="279"/>
      <c r="AN36" s="279"/>
      <c r="AO36" s="279"/>
    </row>
    <row r="37" spans="3:43" x14ac:dyDescent="0.25">
      <c r="E37" s="86"/>
      <c r="F37" s="293" t="s">
        <v>256</v>
      </c>
      <c r="G37" s="293" t="s">
        <v>251</v>
      </c>
      <c r="H37" s="380"/>
      <c r="J37" s="279"/>
      <c r="K37" s="279"/>
      <c r="L37" s="279"/>
      <c r="M37" s="279"/>
      <c r="N37" s="279"/>
      <c r="O37" s="279"/>
      <c r="P37" s="279"/>
      <c r="Q37" s="279"/>
      <c r="R37" s="279"/>
      <c r="S37" s="279"/>
      <c r="T37" s="279"/>
      <c r="U37" s="279"/>
      <c r="V37" s="279"/>
      <c r="W37" s="279"/>
      <c r="X37" s="279"/>
      <c r="Y37" s="279"/>
      <c r="Z37" s="279"/>
      <c r="AA37" s="279"/>
      <c r="AB37" s="279"/>
      <c r="AC37" s="279"/>
      <c r="AD37" s="279"/>
      <c r="AE37" s="279"/>
      <c r="AF37" s="279"/>
      <c r="AG37" s="279"/>
      <c r="AH37" s="279"/>
      <c r="AI37" s="279"/>
      <c r="AJ37" s="279"/>
      <c r="AK37" s="279"/>
      <c r="AL37" s="279"/>
      <c r="AM37" s="279"/>
      <c r="AN37" s="279"/>
      <c r="AO37" s="279"/>
    </row>
    <row r="38" spans="3:43" x14ac:dyDescent="0.25">
      <c r="E38" s="86"/>
      <c r="F38" s="93" t="s">
        <v>257</v>
      </c>
      <c r="G38" s="93" t="s">
        <v>258</v>
      </c>
      <c r="H38" s="361"/>
      <c r="I38" s="351"/>
      <c r="J38" s="356"/>
      <c r="K38" s="356"/>
      <c r="L38" s="356"/>
      <c r="M38" s="356"/>
      <c r="N38" s="356"/>
      <c r="O38" s="356"/>
      <c r="P38" s="356"/>
      <c r="Q38" s="356"/>
      <c r="R38" s="356"/>
      <c r="S38" s="356"/>
      <c r="T38" s="356"/>
      <c r="U38" s="356"/>
      <c r="V38" s="356"/>
      <c r="W38" s="356"/>
      <c r="X38" s="356"/>
      <c r="Y38" s="356"/>
      <c r="Z38" s="356"/>
      <c r="AA38" s="356"/>
      <c r="AB38" s="356"/>
      <c r="AC38" s="356"/>
      <c r="AD38" s="356"/>
      <c r="AE38" s="356"/>
      <c r="AF38" s="356"/>
      <c r="AG38" s="356"/>
      <c r="AH38" s="356"/>
      <c r="AI38" s="356"/>
      <c r="AJ38" s="356"/>
      <c r="AK38" s="356"/>
      <c r="AL38" s="356"/>
      <c r="AM38" s="356"/>
      <c r="AN38" s="356"/>
      <c r="AO38" s="356"/>
      <c r="AP38" s="349"/>
      <c r="AQ38" s="349"/>
    </row>
    <row r="39" spans="3:43" x14ac:dyDescent="0.25">
      <c r="D39" s="86"/>
      <c r="E39" s="293"/>
    </row>
    <row r="40" spans="3:43" x14ac:dyDescent="0.25">
      <c r="C40" s="7" t="str">
        <f ca="1">INDEX('Version control'!$H$35:$H$61,MATCH($A$1,'Version control'!$F$35:$F$61,0),1)&amp;"-C: Adder to fixed charge for allocated pass-through costs"</f>
        <v>Section 520-C: Adder to fixed charge for allocated pass-through costs</v>
      </c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  <c r="AA40" s="7"/>
      <c r="AB40" s="7"/>
      <c r="AC40" s="7"/>
      <c r="AD40" s="7"/>
      <c r="AE40" s="7"/>
      <c r="AF40" s="7"/>
      <c r="AG40" s="7"/>
      <c r="AH40" s="7"/>
      <c r="AI40" s="7"/>
      <c r="AJ40" s="7"/>
      <c r="AK40" s="7"/>
      <c r="AL40" s="7"/>
      <c r="AM40" s="7"/>
      <c r="AN40" s="7"/>
      <c r="AO40" s="7"/>
    </row>
    <row r="42" spans="3:43" x14ac:dyDescent="0.25">
      <c r="E42" s="86" t="s">
        <v>972</v>
      </c>
    </row>
    <row r="43" spans="3:43" x14ac:dyDescent="0.25">
      <c r="E43" s="82" t="s">
        <v>981</v>
      </c>
    </row>
    <row r="44" spans="3:43" x14ac:dyDescent="0.25">
      <c r="E44" s="86"/>
      <c r="F44" s="91" t="s">
        <v>134</v>
      </c>
      <c r="G44" s="91" t="s">
        <v>183</v>
      </c>
      <c r="H44" s="358"/>
      <c r="I44" s="347"/>
      <c r="J44" s="238"/>
      <c r="K44" s="238"/>
      <c r="L44" s="238"/>
      <c r="M44" s="238"/>
      <c r="N44" s="238"/>
      <c r="O44" s="238"/>
      <c r="P44" s="238"/>
      <c r="Q44" s="238"/>
      <c r="R44" s="238"/>
      <c r="S44" s="238"/>
      <c r="T44" s="238"/>
      <c r="U44" s="238"/>
      <c r="V44" s="238"/>
      <c r="W44" s="238"/>
      <c r="X44" s="238"/>
      <c r="Y44" s="238"/>
      <c r="Z44" s="238"/>
      <c r="AA44" s="238"/>
      <c r="AB44" s="238"/>
      <c r="AC44" s="238"/>
      <c r="AD44" s="238"/>
      <c r="AE44" s="238"/>
      <c r="AF44" s="238"/>
      <c r="AG44" s="238"/>
      <c r="AH44" s="238"/>
      <c r="AI44" s="238"/>
      <c r="AJ44" s="238"/>
      <c r="AK44" s="238"/>
      <c r="AL44" s="238"/>
      <c r="AM44" s="238"/>
      <c r="AN44" s="238"/>
      <c r="AO44" s="238"/>
    </row>
    <row r="45" spans="3:43" x14ac:dyDescent="0.25">
      <c r="E45" s="86"/>
      <c r="F45" s="293" t="s">
        <v>135</v>
      </c>
      <c r="G45" s="293" t="s">
        <v>183</v>
      </c>
      <c r="H45" s="416"/>
      <c r="I45" s="349"/>
      <c r="J45" s="279"/>
      <c r="K45" s="279"/>
      <c r="L45" s="279"/>
      <c r="M45" s="279"/>
      <c r="N45" s="279"/>
      <c r="O45" s="279"/>
      <c r="P45" s="279"/>
      <c r="Q45" s="279"/>
      <c r="R45" s="279"/>
      <c r="S45" s="279"/>
      <c r="T45" s="279"/>
      <c r="U45" s="279"/>
      <c r="V45" s="279"/>
      <c r="W45" s="279"/>
      <c r="X45" s="279"/>
      <c r="Y45" s="279"/>
      <c r="Z45" s="279"/>
      <c r="AA45" s="279"/>
      <c r="AB45" s="279"/>
      <c r="AC45" s="279"/>
      <c r="AD45" s="279"/>
      <c r="AE45" s="279"/>
      <c r="AF45" s="279"/>
      <c r="AG45" s="279"/>
      <c r="AH45" s="279"/>
      <c r="AI45" s="279"/>
      <c r="AJ45" s="279"/>
      <c r="AK45" s="279"/>
      <c r="AL45" s="279"/>
      <c r="AM45" s="279"/>
      <c r="AN45" s="279"/>
      <c r="AO45" s="279"/>
    </row>
    <row r="46" spans="3:43" x14ac:dyDescent="0.25">
      <c r="E46" s="86"/>
      <c r="F46" s="293" t="s">
        <v>136</v>
      </c>
      <c r="G46" s="293" t="s">
        <v>183</v>
      </c>
      <c r="H46" s="416"/>
      <c r="I46" s="349"/>
      <c r="J46" s="279"/>
      <c r="K46" s="279"/>
      <c r="L46" s="279"/>
      <c r="M46" s="279"/>
      <c r="N46" s="279"/>
      <c r="O46" s="279"/>
      <c r="P46" s="279"/>
      <c r="Q46" s="279"/>
      <c r="R46" s="279"/>
      <c r="S46" s="279"/>
      <c r="T46" s="279"/>
      <c r="U46" s="279"/>
      <c r="V46" s="279"/>
      <c r="W46" s="279"/>
      <c r="X46" s="279"/>
      <c r="Y46" s="279"/>
      <c r="Z46" s="279"/>
      <c r="AA46" s="279"/>
      <c r="AB46" s="279"/>
      <c r="AC46" s="279"/>
      <c r="AD46" s="279"/>
      <c r="AE46" s="279"/>
      <c r="AF46" s="279"/>
      <c r="AG46" s="279"/>
      <c r="AH46" s="279"/>
      <c r="AI46" s="279"/>
      <c r="AJ46" s="279"/>
      <c r="AK46" s="279"/>
      <c r="AL46" s="279"/>
      <c r="AM46" s="279"/>
      <c r="AN46" s="279"/>
      <c r="AO46" s="279"/>
    </row>
    <row r="47" spans="3:43" x14ac:dyDescent="0.25">
      <c r="E47" s="86"/>
      <c r="F47" s="293" t="s">
        <v>254</v>
      </c>
      <c r="G47" s="293" t="s">
        <v>252</v>
      </c>
      <c r="H47" s="380"/>
      <c r="J47" s="256">
        <f>'Revenue matching'!J48</f>
        <v>0.26473327004897218</v>
      </c>
      <c r="K47" s="256">
        <f>'Revenue matching'!K48</f>
        <v>0</v>
      </c>
      <c r="L47" s="256">
        <f>'Revenue matching'!L48</f>
        <v>0.16438117795441043</v>
      </c>
      <c r="M47" s="256">
        <f>'Revenue matching'!M48</f>
        <v>0.16438117795441043</v>
      </c>
      <c r="N47" s="256">
        <f>'Revenue matching'!N48</f>
        <v>0.16438117795441043</v>
      </c>
      <c r="O47" s="256">
        <f>'Revenue matching'!O48</f>
        <v>0.16438117795441043</v>
      </c>
      <c r="P47" s="256">
        <f>'Revenue matching'!P48</f>
        <v>0.16438117795441043</v>
      </c>
      <c r="Q47" s="256">
        <f>'Revenue matching'!Q48</f>
        <v>0</v>
      </c>
      <c r="R47" s="256">
        <f>'Revenue matching'!R48</f>
        <v>0.16438117795441043</v>
      </c>
      <c r="S47" s="256">
        <f>'Revenue matching'!S48</f>
        <v>0.16438117795441043</v>
      </c>
      <c r="T47" s="256">
        <f>'Revenue matching'!T48</f>
        <v>0.16438117795441043</v>
      </c>
      <c r="U47" s="256">
        <f>'Revenue matching'!U48</f>
        <v>0.16438117795441043</v>
      </c>
      <c r="V47" s="256">
        <f>'Revenue matching'!V48</f>
        <v>0.16438117795441043</v>
      </c>
      <c r="W47" s="256">
        <f>'Revenue matching'!W48</f>
        <v>0.16438117795441043</v>
      </c>
      <c r="X47" s="256">
        <f>'Revenue matching'!X48</f>
        <v>0.16438117795441043</v>
      </c>
      <c r="Y47" s="256">
        <f>'Revenue matching'!Y48</f>
        <v>0.16438117795441043</v>
      </c>
      <c r="Z47" s="256">
        <f>'Revenue matching'!Z48</f>
        <v>0.16438117795441043</v>
      </c>
      <c r="AA47" s="256">
        <f>'Revenue matching'!AA48</f>
        <v>0.16438117795441043</v>
      </c>
      <c r="AB47" s="256">
        <f>'Revenue matching'!AB48</f>
        <v>0.16438117795441043</v>
      </c>
      <c r="AC47" s="256">
        <f>'Revenue matching'!AC48</f>
        <v>0.16438117795441043</v>
      </c>
      <c r="AD47" s="256">
        <f>'Revenue matching'!AD48</f>
        <v>0.16438117795441043</v>
      </c>
      <c r="AE47" s="256">
        <f>'Revenue matching'!AE48</f>
        <v>0.16438117795441043</v>
      </c>
      <c r="AF47" s="256">
        <f>'Revenue matching'!AF48</f>
        <v>0.16438117795441043</v>
      </c>
      <c r="AG47" s="256">
        <f>'Revenue matching'!AG48</f>
        <v>0</v>
      </c>
      <c r="AH47" s="256">
        <f>'Revenue matching'!AH48</f>
        <v>0</v>
      </c>
      <c r="AI47" s="256">
        <f>'Revenue matching'!AI48</f>
        <v>0</v>
      </c>
      <c r="AJ47" s="256">
        <f>'Revenue matching'!AJ48</f>
        <v>0</v>
      </c>
      <c r="AK47" s="256">
        <f>'Revenue matching'!AK48</f>
        <v>0</v>
      </c>
      <c r="AL47" s="256">
        <f>'Revenue matching'!AL48</f>
        <v>0</v>
      </c>
      <c r="AM47" s="256">
        <f>'Revenue matching'!AM48</f>
        <v>0</v>
      </c>
      <c r="AN47" s="256">
        <f>'Revenue matching'!AN48</f>
        <v>0</v>
      </c>
      <c r="AO47" s="256">
        <f>'Revenue matching'!AO48</f>
        <v>0</v>
      </c>
    </row>
    <row r="48" spans="3:43" x14ac:dyDescent="0.25">
      <c r="E48" s="86"/>
      <c r="F48" s="293" t="s">
        <v>255</v>
      </c>
      <c r="G48" s="293" t="s">
        <v>251</v>
      </c>
      <c r="H48" s="380"/>
      <c r="J48" s="279"/>
      <c r="K48" s="279"/>
      <c r="L48" s="279"/>
      <c r="M48" s="279"/>
      <c r="N48" s="279"/>
      <c r="O48" s="279"/>
      <c r="P48" s="279"/>
      <c r="Q48" s="279"/>
      <c r="R48" s="279"/>
      <c r="S48" s="279"/>
      <c r="T48" s="279"/>
      <c r="U48" s="279"/>
      <c r="V48" s="279"/>
      <c r="W48" s="279"/>
      <c r="X48" s="279"/>
      <c r="Y48" s="279"/>
      <c r="Z48" s="279"/>
      <c r="AA48" s="279"/>
      <c r="AB48" s="279"/>
      <c r="AC48" s="279"/>
      <c r="AD48" s="279"/>
      <c r="AE48" s="279"/>
      <c r="AF48" s="279"/>
      <c r="AG48" s="279"/>
      <c r="AH48" s="279"/>
      <c r="AI48" s="279"/>
      <c r="AJ48" s="279"/>
      <c r="AK48" s="279"/>
      <c r="AL48" s="279"/>
      <c r="AM48" s="279"/>
      <c r="AN48" s="279"/>
      <c r="AO48" s="279"/>
    </row>
    <row r="49" spans="3:43" x14ac:dyDescent="0.25">
      <c r="E49" s="86"/>
      <c r="F49" s="293" t="s">
        <v>256</v>
      </c>
      <c r="G49" s="293" t="s">
        <v>251</v>
      </c>
      <c r="H49" s="380"/>
      <c r="J49" s="279"/>
      <c r="K49" s="279"/>
      <c r="L49" s="279"/>
      <c r="M49" s="279"/>
      <c r="N49" s="279"/>
      <c r="O49" s="279"/>
      <c r="P49" s="279"/>
      <c r="Q49" s="279"/>
      <c r="R49" s="279"/>
      <c r="S49" s="279"/>
      <c r="T49" s="279"/>
      <c r="U49" s="279"/>
      <c r="V49" s="279"/>
      <c r="W49" s="279"/>
      <c r="X49" s="279"/>
      <c r="Y49" s="279"/>
      <c r="Z49" s="279"/>
      <c r="AA49" s="279"/>
      <c r="AB49" s="279"/>
      <c r="AC49" s="279"/>
      <c r="AD49" s="279"/>
      <c r="AE49" s="279"/>
      <c r="AF49" s="279"/>
      <c r="AG49" s="279"/>
      <c r="AH49" s="279"/>
      <c r="AI49" s="279"/>
      <c r="AJ49" s="279"/>
      <c r="AK49" s="279"/>
      <c r="AL49" s="279"/>
      <c r="AM49" s="279"/>
      <c r="AN49" s="279"/>
      <c r="AO49" s="279"/>
    </row>
    <row r="50" spans="3:43" x14ac:dyDescent="0.25">
      <c r="E50" s="86"/>
      <c r="F50" s="93" t="s">
        <v>257</v>
      </c>
      <c r="G50" s="93" t="s">
        <v>258</v>
      </c>
      <c r="H50" s="361"/>
      <c r="I50" s="351"/>
      <c r="J50" s="356"/>
      <c r="K50" s="356"/>
      <c r="L50" s="356"/>
      <c r="M50" s="356"/>
      <c r="N50" s="356"/>
      <c r="O50" s="356"/>
      <c r="P50" s="356"/>
      <c r="Q50" s="356"/>
      <c r="R50" s="356"/>
      <c r="S50" s="356"/>
      <c r="T50" s="356"/>
      <c r="U50" s="356"/>
      <c r="V50" s="356"/>
      <c r="W50" s="356"/>
      <c r="X50" s="356"/>
      <c r="Y50" s="356"/>
      <c r="Z50" s="356"/>
      <c r="AA50" s="356"/>
      <c r="AB50" s="356"/>
      <c r="AC50" s="356"/>
      <c r="AD50" s="356"/>
      <c r="AE50" s="356"/>
      <c r="AF50" s="356"/>
      <c r="AG50" s="356"/>
      <c r="AH50" s="356"/>
      <c r="AI50" s="356"/>
      <c r="AJ50" s="356"/>
      <c r="AK50" s="356"/>
      <c r="AL50" s="356"/>
      <c r="AM50" s="356"/>
      <c r="AN50" s="356"/>
      <c r="AO50" s="356"/>
    </row>
    <row r="51" spans="3:43" x14ac:dyDescent="0.25">
      <c r="D51" s="86"/>
      <c r="E51" s="293"/>
    </row>
    <row r="52" spans="3:43" x14ac:dyDescent="0.25">
      <c r="C52" s="7" t="str">
        <f ca="1">INDEX('Version control'!$H$35:$H$61,MATCH($A$1,'Version control'!$F$35:$F$61,0),1)&amp;"-D: LDNO discounts"</f>
        <v>Section 520-D: LDNO discounts</v>
      </c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  <c r="AA52" s="7"/>
      <c r="AB52" s="7"/>
      <c r="AC52" s="7"/>
      <c r="AD52" s="7"/>
      <c r="AE52" s="7"/>
      <c r="AF52" s="7"/>
      <c r="AG52" s="7"/>
      <c r="AH52" s="7"/>
      <c r="AI52" s="7"/>
      <c r="AJ52" s="7"/>
      <c r="AK52" s="7"/>
      <c r="AL52" s="7"/>
      <c r="AM52" s="7"/>
      <c r="AN52" s="7"/>
      <c r="AO52" s="7"/>
      <c r="AP52" s="7"/>
      <c r="AQ52" s="7"/>
    </row>
    <row r="54" spans="3:43" x14ac:dyDescent="0.25">
      <c r="E54" s="380"/>
      <c r="F54" s="512" t="s">
        <v>1029</v>
      </c>
      <c r="G54" s="512" t="s">
        <v>426</v>
      </c>
      <c r="J54" s="380">
        <f>'Fixed inputs'!J170</f>
        <v>1</v>
      </c>
      <c r="K54" s="380">
        <f>'Fixed inputs'!K170</f>
        <v>2</v>
      </c>
      <c r="L54" s="380">
        <f>'Fixed inputs'!L170</f>
        <v>3</v>
      </c>
      <c r="M54" s="380">
        <f>'Fixed inputs'!M170</f>
        <v>3</v>
      </c>
      <c r="N54" s="380">
        <f>'Fixed inputs'!N170</f>
        <v>3</v>
      </c>
      <c r="O54" s="380">
        <f>'Fixed inputs'!O170</f>
        <v>3</v>
      </c>
      <c r="P54" s="380">
        <f>'Fixed inputs'!P170</f>
        <v>3</v>
      </c>
      <c r="Q54" s="380">
        <f>'Fixed inputs'!Q170</f>
        <v>4</v>
      </c>
      <c r="R54" s="380">
        <f>'Fixed inputs'!R170</f>
        <v>5</v>
      </c>
      <c r="S54" s="380">
        <f>'Fixed inputs'!S170</f>
        <v>5</v>
      </c>
      <c r="T54" s="380">
        <f>'Fixed inputs'!T170</f>
        <v>5</v>
      </c>
      <c r="U54" s="380">
        <f>'Fixed inputs'!U170</f>
        <v>5</v>
      </c>
      <c r="V54" s="380">
        <f>'Fixed inputs'!V170</f>
        <v>5</v>
      </c>
      <c r="W54" s="380">
        <f>'Fixed inputs'!W170</f>
        <v>6</v>
      </c>
      <c r="X54" s="380">
        <f>'Fixed inputs'!X170</f>
        <v>6</v>
      </c>
      <c r="Y54" s="380">
        <f>'Fixed inputs'!Y170</f>
        <v>6</v>
      </c>
      <c r="Z54" s="380">
        <f>'Fixed inputs'!Z170</f>
        <v>6</v>
      </c>
      <c r="AA54" s="380">
        <f>'Fixed inputs'!AA170</f>
        <v>6</v>
      </c>
      <c r="AB54" s="380">
        <f>'Fixed inputs'!AB170</f>
        <v>7</v>
      </c>
      <c r="AC54" s="380">
        <f>'Fixed inputs'!AC170</f>
        <v>7</v>
      </c>
      <c r="AD54" s="380">
        <f>'Fixed inputs'!AD170</f>
        <v>7</v>
      </c>
      <c r="AE54" s="380">
        <f>'Fixed inputs'!AE170</f>
        <v>7</v>
      </c>
      <c r="AF54" s="380">
        <f>'Fixed inputs'!AF170</f>
        <v>7</v>
      </c>
      <c r="AG54" s="380">
        <f>'Fixed inputs'!AG170</f>
        <v>8</v>
      </c>
      <c r="AH54" s="380">
        <f>'Fixed inputs'!AH170</f>
        <v>9</v>
      </c>
      <c r="AI54" s="380">
        <f>'Fixed inputs'!AI170</f>
        <v>10</v>
      </c>
      <c r="AJ54" s="380">
        <f>'Fixed inputs'!AJ170</f>
        <v>11</v>
      </c>
      <c r="AK54" s="380">
        <f>'Fixed inputs'!AK170</f>
        <v>12</v>
      </c>
      <c r="AL54" s="380">
        <f>'Fixed inputs'!AL170</f>
        <v>13</v>
      </c>
      <c r="AM54" s="380">
        <f>'Fixed inputs'!AM170</f>
        <v>14</v>
      </c>
      <c r="AN54" s="380">
        <f>'Fixed inputs'!AN170</f>
        <v>15</v>
      </c>
      <c r="AO54" s="380">
        <f>'Fixed inputs'!AO170</f>
        <v>16</v>
      </c>
    </row>
    <row r="56" spans="3:43" ht="60" x14ac:dyDescent="0.25">
      <c r="E56" s="86" t="s">
        <v>413</v>
      </c>
      <c r="I56" s="293" t="s">
        <v>359</v>
      </c>
      <c r="J56" s="486" t="s">
        <v>926</v>
      </c>
      <c r="K56" s="486" t="s">
        <v>927</v>
      </c>
      <c r="L56" s="486" t="s">
        <v>928</v>
      </c>
      <c r="M56" s="486" t="s">
        <v>929</v>
      </c>
      <c r="N56" s="486" t="s">
        <v>930</v>
      </c>
      <c r="O56" s="486" t="s">
        <v>931</v>
      </c>
      <c r="P56" s="486" t="s">
        <v>932</v>
      </c>
      <c r="Q56" s="486" t="s">
        <v>933</v>
      </c>
      <c r="R56" s="486" t="s">
        <v>934</v>
      </c>
      <c r="S56" s="486" t="s">
        <v>935</v>
      </c>
      <c r="T56" s="486" t="s">
        <v>936</v>
      </c>
      <c r="U56" s="486" t="s">
        <v>937</v>
      </c>
      <c r="V56" s="486" t="s">
        <v>938</v>
      </c>
      <c r="W56" s="486" t="s">
        <v>939</v>
      </c>
      <c r="X56" s="486" t="s">
        <v>940</v>
      </c>
      <c r="Y56" s="486" t="s">
        <v>941</v>
      </c>
    </row>
    <row r="57" spans="3:43" x14ac:dyDescent="0.25">
      <c r="E57" s="86"/>
      <c r="F57" s="91" t="s">
        <v>134</v>
      </c>
      <c r="G57" s="91" t="s">
        <v>94</v>
      </c>
      <c r="H57" s="141"/>
      <c r="I57" s="91"/>
      <c r="J57" s="479">
        <f>'Volume adjustments'!J315</f>
        <v>0.35419813587175775</v>
      </c>
      <c r="K57" s="479">
        <f>'Volume adjustments'!K315</f>
        <v>0.35419813587175775</v>
      </c>
      <c r="L57" s="479">
        <f>'Volume adjustments'!L315</f>
        <v>0.35419813587175775</v>
      </c>
      <c r="M57" s="479">
        <f>'Volume adjustments'!M315</f>
        <v>0.35419813587175775</v>
      </c>
      <c r="N57" s="479">
        <f>'Volume adjustments'!N315</f>
        <v>0.35419813587175775</v>
      </c>
      <c r="O57" s="479">
        <f>'Volume adjustments'!O315</f>
        <v>0</v>
      </c>
      <c r="P57" s="479">
        <f>'Volume adjustments'!P315</f>
        <v>0</v>
      </c>
      <c r="Q57" s="479">
        <f>'Volume adjustments'!Q315</f>
        <v>0.35419813587175775</v>
      </c>
      <c r="R57" s="479">
        <f>'Volume adjustments'!R315</f>
        <v>0</v>
      </c>
      <c r="S57" s="479">
        <f>'Volume adjustments'!S315</f>
        <v>0</v>
      </c>
      <c r="T57" s="479">
        <f>'Volume adjustments'!T315</f>
        <v>0</v>
      </c>
      <c r="U57" s="479">
        <f>'Volume adjustments'!U315</f>
        <v>0</v>
      </c>
      <c r="V57" s="479">
        <f>'Volume adjustments'!V315</f>
        <v>0</v>
      </c>
      <c r="W57" s="479">
        <f>'Volume adjustments'!W315</f>
        <v>0</v>
      </c>
      <c r="X57" s="479">
        <f>'Volume adjustments'!X315</f>
        <v>0</v>
      </c>
      <c r="Y57" s="479">
        <f>'Volume adjustments'!Y315</f>
        <v>0</v>
      </c>
    </row>
    <row r="58" spans="3:43" x14ac:dyDescent="0.25">
      <c r="E58" s="86"/>
      <c r="F58" s="293" t="s">
        <v>135</v>
      </c>
      <c r="G58" s="293" t="s">
        <v>94</v>
      </c>
      <c r="H58" s="380"/>
      <c r="J58" s="480">
        <f>'Volume adjustments'!J316</f>
        <v>0.35419813587175775</v>
      </c>
      <c r="K58" s="480">
        <f>'Volume adjustments'!K316</f>
        <v>0.35419813587175775</v>
      </c>
      <c r="L58" s="480">
        <f>'Volume adjustments'!L316</f>
        <v>0.35419813587175775</v>
      </c>
      <c r="M58" s="480">
        <f>'Volume adjustments'!M316</f>
        <v>0.35419813587175775</v>
      </c>
      <c r="N58" s="480">
        <f>'Volume adjustments'!N316</f>
        <v>0.35419813587175775</v>
      </c>
      <c r="O58" s="480">
        <f>'Volume adjustments'!O316</f>
        <v>0</v>
      </c>
      <c r="P58" s="480">
        <f>'Volume adjustments'!P316</f>
        <v>0</v>
      </c>
      <c r="Q58" s="480">
        <f>'Volume adjustments'!Q316</f>
        <v>0.35419813587175775</v>
      </c>
      <c r="R58" s="480">
        <f>'Volume adjustments'!R316</f>
        <v>0</v>
      </c>
      <c r="S58" s="480">
        <f>'Volume adjustments'!S316</f>
        <v>0</v>
      </c>
      <c r="T58" s="480">
        <f>'Volume adjustments'!T316</f>
        <v>0</v>
      </c>
      <c r="U58" s="480">
        <f>'Volume adjustments'!U316</f>
        <v>0</v>
      </c>
      <c r="V58" s="480">
        <f>'Volume adjustments'!V316</f>
        <v>0</v>
      </c>
      <c r="W58" s="480">
        <f>'Volume adjustments'!W316</f>
        <v>0</v>
      </c>
      <c r="X58" s="480">
        <f>'Volume adjustments'!X316</f>
        <v>0</v>
      </c>
      <c r="Y58" s="480">
        <f>'Volume adjustments'!Y316</f>
        <v>0</v>
      </c>
    </row>
    <row r="59" spans="3:43" x14ac:dyDescent="0.25">
      <c r="E59" s="86"/>
      <c r="F59" s="293" t="s">
        <v>136</v>
      </c>
      <c r="G59" s="293" t="s">
        <v>94</v>
      </c>
      <c r="H59" s="380"/>
      <c r="J59" s="480">
        <f>'Volume adjustments'!J317</f>
        <v>0.35419813587175775</v>
      </c>
      <c r="K59" s="480">
        <f>'Volume adjustments'!K317</f>
        <v>0.35419813587175775</v>
      </c>
      <c r="L59" s="480">
        <f>'Volume adjustments'!L317</f>
        <v>0.35419813587175775</v>
      </c>
      <c r="M59" s="480">
        <f>'Volume adjustments'!M317</f>
        <v>0.35419813587175775</v>
      </c>
      <c r="N59" s="480">
        <f>'Volume adjustments'!N317</f>
        <v>0.35419813587175775</v>
      </c>
      <c r="O59" s="480">
        <f>'Volume adjustments'!O317</f>
        <v>0</v>
      </c>
      <c r="P59" s="480">
        <f>'Volume adjustments'!P317</f>
        <v>0</v>
      </c>
      <c r="Q59" s="480">
        <f>'Volume adjustments'!Q317</f>
        <v>0.35419813587175775</v>
      </c>
      <c r="R59" s="480">
        <f>'Volume adjustments'!R317</f>
        <v>0</v>
      </c>
      <c r="S59" s="480">
        <f>'Volume adjustments'!S317</f>
        <v>0</v>
      </c>
      <c r="T59" s="480">
        <f>'Volume adjustments'!T317</f>
        <v>0</v>
      </c>
      <c r="U59" s="480">
        <f>'Volume adjustments'!U317</f>
        <v>0</v>
      </c>
      <c r="V59" s="480">
        <f>'Volume adjustments'!V317</f>
        <v>0</v>
      </c>
      <c r="W59" s="480">
        <f>'Volume adjustments'!W317</f>
        <v>0</v>
      </c>
      <c r="X59" s="480">
        <f>'Volume adjustments'!X317</f>
        <v>0</v>
      </c>
      <c r="Y59" s="480">
        <f>'Volume adjustments'!Y317</f>
        <v>0</v>
      </c>
    </row>
    <row r="60" spans="3:43" x14ac:dyDescent="0.25">
      <c r="E60" s="86"/>
      <c r="F60" s="293" t="s">
        <v>254</v>
      </c>
      <c r="G60" s="293" t="s">
        <v>94</v>
      </c>
      <c r="H60" s="380"/>
      <c r="J60" s="480">
        <f>'Volume adjustments'!J318</f>
        <v>0.35419813587175775</v>
      </c>
      <c r="K60" s="480">
        <f>'Volume adjustments'!K318</f>
        <v>0.35419813587175775</v>
      </c>
      <c r="L60" s="480">
        <f>'Volume adjustments'!L318</f>
        <v>0.35419813587175775</v>
      </c>
      <c r="M60" s="480">
        <f>'Volume adjustments'!M318</f>
        <v>0.35419813587175775</v>
      </c>
      <c r="N60" s="480">
        <f>'Volume adjustments'!N318</f>
        <v>0.35419813587175775</v>
      </c>
      <c r="O60" s="480">
        <f>'Volume adjustments'!O318</f>
        <v>0</v>
      </c>
      <c r="P60" s="480">
        <f>'Volume adjustments'!P318</f>
        <v>0</v>
      </c>
      <c r="Q60" s="480">
        <f>'Volume adjustments'!Q318</f>
        <v>0.35419813587175775</v>
      </c>
      <c r="R60" s="480">
        <f>'Volume adjustments'!R318</f>
        <v>1</v>
      </c>
      <c r="S60" s="480">
        <f>'Volume adjustments'!S318</f>
        <v>1</v>
      </c>
      <c r="T60" s="480">
        <f>'Volume adjustments'!T318</f>
        <v>1</v>
      </c>
      <c r="U60" s="480">
        <f>'Volume adjustments'!U318</f>
        <v>1</v>
      </c>
      <c r="V60" s="480">
        <f>'Volume adjustments'!V318</f>
        <v>1</v>
      </c>
      <c r="W60" s="480">
        <f>'Volume adjustments'!W318</f>
        <v>1</v>
      </c>
      <c r="X60" s="480">
        <f>'Volume adjustments'!X318</f>
        <v>1</v>
      </c>
      <c r="Y60" s="480">
        <f>'Volume adjustments'!Y318</f>
        <v>1</v>
      </c>
    </row>
    <row r="61" spans="3:43" x14ac:dyDescent="0.25">
      <c r="E61" s="86"/>
      <c r="F61" s="293" t="s">
        <v>255</v>
      </c>
      <c r="G61" s="293" t="s">
        <v>94</v>
      </c>
      <c r="H61" s="380"/>
      <c r="J61" s="480">
        <f>'Volume adjustments'!J319</f>
        <v>0.35419813587175775</v>
      </c>
      <c r="K61" s="480">
        <f>'Volume adjustments'!K319</f>
        <v>0.35419813587175775</v>
      </c>
      <c r="L61" s="480">
        <f>'Volume adjustments'!L319</f>
        <v>0.35419813587175775</v>
      </c>
      <c r="M61" s="480">
        <f>'Volume adjustments'!M319</f>
        <v>0.35419813587175775</v>
      </c>
      <c r="N61" s="480">
        <f>'Volume adjustments'!N319</f>
        <v>0.35419813587175775</v>
      </c>
      <c r="O61" s="480">
        <f>'Volume adjustments'!O319</f>
        <v>0</v>
      </c>
      <c r="P61" s="480">
        <f>'Volume adjustments'!P319</f>
        <v>0</v>
      </c>
      <c r="Q61" s="480">
        <f>'Volume adjustments'!Q319</f>
        <v>0.35419813587175775</v>
      </c>
      <c r="R61" s="480">
        <f>'Volume adjustments'!R319</f>
        <v>0</v>
      </c>
      <c r="S61" s="480">
        <f>'Volume adjustments'!S319</f>
        <v>0</v>
      </c>
      <c r="T61" s="480">
        <f>'Volume adjustments'!T319</f>
        <v>0</v>
      </c>
      <c r="U61" s="480">
        <f>'Volume adjustments'!U319</f>
        <v>0</v>
      </c>
      <c r="V61" s="480">
        <f>'Volume adjustments'!V319</f>
        <v>0</v>
      </c>
      <c r="W61" s="480">
        <f>'Volume adjustments'!W319</f>
        <v>0</v>
      </c>
      <c r="X61" s="480">
        <f>'Volume adjustments'!X319</f>
        <v>0</v>
      </c>
      <c r="Y61" s="480">
        <f>'Volume adjustments'!Y319</f>
        <v>0</v>
      </c>
    </row>
    <row r="62" spans="3:43" x14ac:dyDescent="0.25">
      <c r="E62" s="86"/>
      <c r="F62" s="293" t="s">
        <v>256</v>
      </c>
      <c r="G62" s="293" t="s">
        <v>94</v>
      </c>
      <c r="H62" s="380"/>
      <c r="J62" s="480">
        <f>'Volume adjustments'!J320</f>
        <v>0.35419813587175775</v>
      </c>
      <c r="K62" s="480">
        <f>'Volume adjustments'!K320</f>
        <v>0.35419813587175775</v>
      </c>
      <c r="L62" s="480">
        <f>'Volume adjustments'!L320</f>
        <v>0.35419813587175775</v>
      </c>
      <c r="M62" s="480">
        <f>'Volume adjustments'!M320</f>
        <v>0.35419813587175775</v>
      </c>
      <c r="N62" s="480">
        <f>'Volume adjustments'!N320</f>
        <v>0.35419813587175775</v>
      </c>
      <c r="O62" s="480">
        <f>'Volume adjustments'!O320</f>
        <v>0</v>
      </c>
      <c r="P62" s="480">
        <f>'Volume adjustments'!P320</f>
        <v>0</v>
      </c>
      <c r="Q62" s="480">
        <f>'Volume adjustments'!Q320</f>
        <v>0.35419813587175775</v>
      </c>
      <c r="R62" s="480">
        <f>'Volume adjustments'!R320</f>
        <v>0</v>
      </c>
      <c r="S62" s="480">
        <f>'Volume adjustments'!S320</f>
        <v>0</v>
      </c>
      <c r="T62" s="480">
        <f>'Volume adjustments'!T320</f>
        <v>0</v>
      </c>
      <c r="U62" s="480">
        <f>'Volume adjustments'!U320</f>
        <v>0</v>
      </c>
      <c r="V62" s="480">
        <f>'Volume adjustments'!V320</f>
        <v>0</v>
      </c>
      <c r="W62" s="480">
        <f>'Volume adjustments'!W320</f>
        <v>0</v>
      </c>
      <c r="X62" s="480">
        <f>'Volume adjustments'!X320</f>
        <v>0</v>
      </c>
      <c r="Y62" s="480">
        <f>'Volume adjustments'!Y320</f>
        <v>0</v>
      </c>
    </row>
    <row r="63" spans="3:43" x14ac:dyDescent="0.25">
      <c r="E63" s="86"/>
      <c r="F63" s="93" t="s">
        <v>257</v>
      </c>
      <c r="G63" s="93" t="s">
        <v>94</v>
      </c>
      <c r="H63" s="115"/>
      <c r="I63" s="93"/>
      <c r="J63" s="481">
        <f>'Volume adjustments'!J321</f>
        <v>0.35419813587175775</v>
      </c>
      <c r="K63" s="481">
        <f>'Volume adjustments'!K321</f>
        <v>0.35419813587175775</v>
      </c>
      <c r="L63" s="481">
        <f>'Volume adjustments'!L321</f>
        <v>0.35419813587175775</v>
      </c>
      <c r="M63" s="481">
        <f>'Volume adjustments'!M321</f>
        <v>0.35419813587175775</v>
      </c>
      <c r="N63" s="481">
        <f>'Volume adjustments'!N321</f>
        <v>0.35419813587175775</v>
      </c>
      <c r="O63" s="481">
        <f>'Volume adjustments'!O321</f>
        <v>0</v>
      </c>
      <c r="P63" s="481">
        <f>'Volume adjustments'!P321</f>
        <v>0</v>
      </c>
      <c r="Q63" s="481">
        <f>'Volume adjustments'!Q321</f>
        <v>0.35419813587175775</v>
      </c>
      <c r="R63" s="481">
        <f>'Volume adjustments'!R321</f>
        <v>0</v>
      </c>
      <c r="S63" s="481">
        <f>'Volume adjustments'!S321</f>
        <v>0</v>
      </c>
      <c r="T63" s="481">
        <f>'Volume adjustments'!T321</f>
        <v>0</v>
      </c>
      <c r="U63" s="481">
        <f>'Volume adjustments'!U321</f>
        <v>0</v>
      </c>
      <c r="V63" s="481">
        <f>'Volume adjustments'!V321</f>
        <v>0</v>
      </c>
      <c r="W63" s="481">
        <f>'Volume adjustments'!W321</f>
        <v>0</v>
      </c>
      <c r="X63" s="481">
        <f>'Volume adjustments'!X321</f>
        <v>0</v>
      </c>
      <c r="Y63" s="481">
        <f>'Volume adjustments'!Y321</f>
        <v>0</v>
      </c>
    </row>
    <row r="64" spans="3:43" x14ac:dyDescent="0.25">
      <c r="E64" s="293"/>
    </row>
    <row r="65" spans="4:43" ht="60" x14ac:dyDescent="0.25">
      <c r="E65" s="86" t="s">
        <v>414</v>
      </c>
      <c r="I65" s="293" t="s">
        <v>359</v>
      </c>
      <c r="J65" s="486" t="s">
        <v>926</v>
      </c>
      <c r="K65" s="486" t="s">
        <v>927</v>
      </c>
      <c r="L65" s="486" t="s">
        <v>928</v>
      </c>
      <c r="M65" s="486" t="s">
        <v>929</v>
      </c>
      <c r="N65" s="486" t="s">
        <v>930</v>
      </c>
      <c r="O65" s="486" t="s">
        <v>931</v>
      </c>
      <c r="P65" s="486" t="s">
        <v>932</v>
      </c>
      <c r="Q65" s="486" t="s">
        <v>933</v>
      </c>
      <c r="R65" s="486" t="s">
        <v>934</v>
      </c>
      <c r="S65" s="486" t="s">
        <v>935</v>
      </c>
      <c r="T65" s="486" t="s">
        <v>936</v>
      </c>
      <c r="U65" s="486" t="s">
        <v>937</v>
      </c>
      <c r="V65" s="486" t="s">
        <v>938</v>
      </c>
      <c r="W65" s="486" t="s">
        <v>939</v>
      </c>
      <c r="X65" s="486" t="s">
        <v>940</v>
      </c>
      <c r="Y65" s="486" t="s">
        <v>941</v>
      </c>
    </row>
    <row r="66" spans="4:43" x14ac:dyDescent="0.25">
      <c r="E66" s="86"/>
      <c r="F66" s="91" t="s">
        <v>134</v>
      </c>
      <c r="G66" s="91" t="s">
        <v>94</v>
      </c>
      <c r="H66" s="141"/>
      <c r="I66" s="91"/>
      <c r="J66" s="479">
        <f>'Volume adjustments'!J324</f>
        <v>0.53678178408311983</v>
      </c>
      <c r="K66" s="479">
        <f>'Volume adjustments'!K324</f>
        <v>0.53678178408311983</v>
      </c>
      <c r="L66" s="479">
        <f>'Volume adjustments'!L324</f>
        <v>0.53678178408311983</v>
      </c>
      <c r="M66" s="479">
        <f>'Volume adjustments'!M324</f>
        <v>0.53678178408311983</v>
      </c>
      <c r="N66" s="479">
        <f>'Volume adjustments'!N324</f>
        <v>0.53678178408311983</v>
      </c>
      <c r="O66" s="479">
        <f>'Volume adjustments'!O324</f>
        <v>0.26008027391458188</v>
      </c>
      <c r="P66" s="479">
        <f>'Volume adjustments'!P324</f>
        <v>0.15233473843264977</v>
      </c>
      <c r="Q66" s="479">
        <f>'Volume adjustments'!Q324</f>
        <v>0.53678178408311983</v>
      </c>
      <c r="R66" s="479">
        <f>'Volume adjustments'!R324</f>
        <v>0</v>
      </c>
      <c r="S66" s="479">
        <f>'Volume adjustments'!S324</f>
        <v>0</v>
      </c>
      <c r="T66" s="479">
        <f>'Volume adjustments'!T324</f>
        <v>0</v>
      </c>
      <c r="U66" s="479">
        <f>'Volume adjustments'!U324</f>
        <v>0</v>
      </c>
      <c r="V66" s="479">
        <f>'Volume adjustments'!V324</f>
        <v>0</v>
      </c>
      <c r="W66" s="479">
        <f>'Volume adjustments'!W324</f>
        <v>0</v>
      </c>
      <c r="X66" s="479">
        <f>'Volume adjustments'!X324</f>
        <v>0</v>
      </c>
      <c r="Y66" s="479">
        <f>'Volume adjustments'!Y324</f>
        <v>0</v>
      </c>
    </row>
    <row r="67" spans="4:43" x14ac:dyDescent="0.25">
      <c r="E67" s="86"/>
      <c r="F67" s="293" t="s">
        <v>135</v>
      </c>
      <c r="G67" s="293" t="s">
        <v>94</v>
      </c>
      <c r="H67" s="380"/>
      <c r="J67" s="480">
        <f>'Volume adjustments'!J325</f>
        <v>0.53678178408311983</v>
      </c>
      <c r="K67" s="480">
        <f>'Volume adjustments'!K325</f>
        <v>0.53678178408311983</v>
      </c>
      <c r="L67" s="480">
        <f>'Volume adjustments'!L325</f>
        <v>0.53678178408311983</v>
      </c>
      <c r="M67" s="480">
        <f>'Volume adjustments'!M325</f>
        <v>0.53678178408311983</v>
      </c>
      <c r="N67" s="480">
        <f>'Volume adjustments'!N325</f>
        <v>0.53678178408311983</v>
      </c>
      <c r="O67" s="480">
        <f>'Volume adjustments'!O325</f>
        <v>0.26008027391458188</v>
      </c>
      <c r="P67" s="480">
        <f>'Volume adjustments'!P325</f>
        <v>0.15233473843264977</v>
      </c>
      <c r="Q67" s="480">
        <f>'Volume adjustments'!Q325</f>
        <v>0.53678178408311983</v>
      </c>
      <c r="R67" s="480">
        <f>'Volume adjustments'!R325</f>
        <v>0</v>
      </c>
      <c r="S67" s="480">
        <f>'Volume adjustments'!S325</f>
        <v>0</v>
      </c>
      <c r="T67" s="480">
        <f>'Volume adjustments'!T325</f>
        <v>0</v>
      </c>
      <c r="U67" s="480">
        <f>'Volume adjustments'!U325</f>
        <v>0</v>
      </c>
      <c r="V67" s="480">
        <f>'Volume adjustments'!V325</f>
        <v>0</v>
      </c>
      <c r="W67" s="480">
        <f>'Volume adjustments'!W325</f>
        <v>0</v>
      </c>
      <c r="X67" s="480">
        <f>'Volume adjustments'!X325</f>
        <v>0</v>
      </c>
      <c r="Y67" s="480">
        <f>'Volume adjustments'!Y325</f>
        <v>0</v>
      </c>
    </row>
    <row r="68" spans="4:43" x14ac:dyDescent="0.25">
      <c r="E68" s="86"/>
      <c r="F68" s="293" t="s">
        <v>136</v>
      </c>
      <c r="G68" s="293" t="s">
        <v>94</v>
      </c>
      <c r="H68" s="380"/>
      <c r="J68" s="480">
        <f>'Volume adjustments'!J326</f>
        <v>0.53678178408311983</v>
      </c>
      <c r="K68" s="480">
        <f>'Volume adjustments'!K326</f>
        <v>0.53678178408311983</v>
      </c>
      <c r="L68" s="480">
        <f>'Volume adjustments'!L326</f>
        <v>0.53678178408311983</v>
      </c>
      <c r="M68" s="480">
        <f>'Volume adjustments'!M326</f>
        <v>0.53678178408311983</v>
      </c>
      <c r="N68" s="480">
        <f>'Volume adjustments'!N326</f>
        <v>0.53678178408311983</v>
      </c>
      <c r="O68" s="480">
        <f>'Volume adjustments'!O326</f>
        <v>0.26008027391458188</v>
      </c>
      <c r="P68" s="480">
        <f>'Volume adjustments'!P326</f>
        <v>0.15233473843264977</v>
      </c>
      <c r="Q68" s="480">
        <f>'Volume adjustments'!Q326</f>
        <v>0.53678178408311983</v>
      </c>
      <c r="R68" s="480">
        <f>'Volume adjustments'!R326</f>
        <v>0</v>
      </c>
      <c r="S68" s="480">
        <f>'Volume adjustments'!S326</f>
        <v>0</v>
      </c>
      <c r="T68" s="480">
        <f>'Volume adjustments'!T326</f>
        <v>0</v>
      </c>
      <c r="U68" s="480">
        <f>'Volume adjustments'!U326</f>
        <v>0</v>
      </c>
      <c r="V68" s="480">
        <f>'Volume adjustments'!V326</f>
        <v>0</v>
      </c>
      <c r="W68" s="480">
        <f>'Volume adjustments'!W326</f>
        <v>0</v>
      </c>
      <c r="X68" s="480">
        <f>'Volume adjustments'!X326</f>
        <v>0</v>
      </c>
      <c r="Y68" s="480">
        <f>'Volume adjustments'!Y326</f>
        <v>0</v>
      </c>
    </row>
    <row r="69" spans="4:43" x14ac:dyDescent="0.25">
      <c r="E69" s="86"/>
      <c r="F69" s="293" t="s">
        <v>254</v>
      </c>
      <c r="G69" s="293" t="s">
        <v>94</v>
      </c>
      <c r="H69" s="380"/>
      <c r="J69" s="480">
        <f>'Volume adjustments'!J327</f>
        <v>0.53678178408311983</v>
      </c>
      <c r="K69" s="480">
        <f>'Volume adjustments'!K327</f>
        <v>0.53678178408311983</v>
      </c>
      <c r="L69" s="480">
        <f>'Volume adjustments'!L327</f>
        <v>0.53678178408311983</v>
      </c>
      <c r="M69" s="480">
        <f>'Volume adjustments'!M327</f>
        <v>0.53678178408311983</v>
      </c>
      <c r="N69" s="480">
        <f>'Volume adjustments'!N327</f>
        <v>0.53678178408311983</v>
      </c>
      <c r="O69" s="480">
        <f>'Volume adjustments'!O327</f>
        <v>0.26008027391458188</v>
      </c>
      <c r="P69" s="480">
        <f>'Volume adjustments'!P327</f>
        <v>0.15233473843264977</v>
      </c>
      <c r="Q69" s="480">
        <f>'Volume adjustments'!Q327</f>
        <v>0.53678178408311983</v>
      </c>
      <c r="R69" s="480">
        <f>'Volume adjustments'!R327</f>
        <v>1</v>
      </c>
      <c r="S69" s="480">
        <f>'Volume adjustments'!S327</f>
        <v>1</v>
      </c>
      <c r="T69" s="480">
        <f>'Volume adjustments'!T327</f>
        <v>1</v>
      </c>
      <c r="U69" s="480">
        <f>'Volume adjustments'!U327</f>
        <v>1</v>
      </c>
      <c r="V69" s="480">
        <f>'Volume adjustments'!V327</f>
        <v>1</v>
      </c>
      <c r="W69" s="480">
        <f>'Volume adjustments'!W327</f>
        <v>1</v>
      </c>
      <c r="X69" s="480">
        <f>'Volume adjustments'!X327</f>
        <v>1</v>
      </c>
      <c r="Y69" s="480">
        <f>'Volume adjustments'!Y327</f>
        <v>1</v>
      </c>
    </row>
    <row r="70" spans="4:43" x14ac:dyDescent="0.25">
      <c r="E70" s="86"/>
      <c r="F70" s="293" t="s">
        <v>255</v>
      </c>
      <c r="G70" s="293" t="s">
        <v>94</v>
      </c>
      <c r="H70" s="380"/>
      <c r="J70" s="480">
        <f>'Volume adjustments'!J328</f>
        <v>0.53678178408311983</v>
      </c>
      <c r="K70" s="480">
        <f>'Volume adjustments'!K328</f>
        <v>0.53678178408311983</v>
      </c>
      <c r="L70" s="480">
        <f>'Volume adjustments'!L328</f>
        <v>0.53678178408311983</v>
      </c>
      <c r="M70" s="480">
        <f>'Volume adjustments'!M328</f>
        <v>0.53678178408311983</v>
      </c>
      <c r="N70" s="480">
        <f>'Volume adjustments'!N328</f>
        <v>0.53678178408311983</v>
      </c>
      <c r="O70" s="480">
        <f>'Volume adjustments'!O328</f>
        <v>0.26008027391458188</v>
      </c>
      <c r="P70" s="480">
        <f>'Volume adjustments'!P328</f>
        <v>0.15233473843264977</v>
      </c>
      <c r="Q70" s="480">
        <f>'Volume adjustments'!Q328</f>
        <v>0.53678178408311983</v>
      </c>
      <c r="R70" s="480">
        <f>'Volume adjustments'!R328</f>
        <v>0</v>
      </c>
      <c r="S70" s="480">
        <f>'Volume adjustments'!S328</f>
        <v>0</v>
      </c>
      <c r="T70" s="480">
        <f>'Volume adjustments'!T328</f>
        <v>0</v>
      </c>
      <c r="U70" s="480">
        <f>'Volume adjustments'!U328</f>
        <v>0</v>
      </c>
      <c r="V70" s="480">
        <f>'Volume adjustments'!V328</f>
        <v>0</v>
      </c>
      <c r="W70" s="480">
        <f>'Volume adjustments'!W328</f>
        <v>0</v>
      </c>
      <c r="X70" s="480">
        <f>'Volume adjustments'!X328</f>
        <v>0</v>
      </c>
      <c r="Y70" s="480">
        <f>'Volume adjustments'!Y328</f>
        <v>0</v>
      </c>
    </row>
    <row r="71" spans="4:43" x14ac:dyDescent="0.25">
      <c r="E71" s="86"/>
      <c r="F71" s="293" t="s">
        <v>256</v>
      </c>
      <c r="G71" s="293" t="s">
        <v>94</v>
      </c>
      <c r="H71" s="380"/>
      <c r="J71" s="480">
        <f>'Volume adjustments'!J329</f>
        <v>0.53678178408311983</v>
      </c>
      <c r="K71" s="480">
        <f>'Volume adjustments'!K329</f>
        <v>0.53678178408311983</v>
      </c>
      <c r="L71" s="480">
        <f>'Volume adjustments'!L329</f>
        <v>0.53678178408311983</v>
      </c>
      <c r="M71" s="480">
        <f>'Volume adjustments'!M329</f>
        <v>0.53678178408311983</v>
      </c>
      <c r="N71" s="480">
        <f>'Volume adjustments'!N329</f>
        <v>0.53678178408311983</v>
      </c>
      <c r="O71" s="480">
        <f>'Volume adjustments'!O329</f>
        <v>0.26008027391458188</v>
      </c>
      <c r="P71" s="480">
        <f>'Volume adjustments'!P329</f>
        <v>0.15233473843264977</v>
      </c>
      <c r="Q71" s="480">
        <f>'Volume adjustments'!Q329</f>
        <v>0.53678178408311983</v>
      </c>
      <c r="R71" s="480">
        <f>'Volume adjustments'!R329</f>
        <v>0</v>
      </c>
      <c r="S71" s="480">
        <f>'Volume adjustments'!S329</f>
        <v>0</v>
      </c>
      <c r="T71" s="480">
        <f>'Volume adjustments'!T329</f>
        <v>0</v>
      </c>
      <c r="U71" s="480">
        <f>'Volume adjustments'!U329</f>
        <v>0</v>
      </c>
      <c r="V71" s="480">
        <f>'Volume adjustments'!V329</f>
        <v>0</v>
      </c>
      <c r="W71" s="480">
        <f>'Volume adjustments'!W329</f>
        <v>0</v>
      </c>
      <c r="X71" s="480">
        <f>'Volume adjustments'!X329</f>
        <v>0</v>
      </c>
      <c r="Y71" s="480">
        <f>'Volume adjustments'!Y329</f>
        <v>0</v>
      </c>
    </row>
    <row r="72" spans="4:43" x14ac:dyDescent="0.25">
      <c r="E72" s="86"/>
      <c r="F72" s="93" t="s">
        <v>257</v>
      </c>
      <c r="G72" s="93" t="s">
        <v>94</v>
      </c>
      <c r="H72" s="115"/>
      <c r="I72" s="93"/>
      <c r="J72" s="481">
        <f>'Volume adjustments'!J330</f>
        <v>0.53678178408311983</v>
      </c>
      <c r="K72" s="481">
        <f>'Volume adjustments'!K330</f>
        <v>0.53678178408311983</v>
      </c>
      <c r="L72" s="481">
        <f>'Volume adjustments'!L330</f>
        <v>0.53678178408311983</v>
      </c>
      <c r="M72" s="481">
        <f>'Volume adjustments'!M330</f>
        <v>0.53678178408311983</v>
      </c>
      <c r="N72" s="481">
        <f>'Volume adjustments'!N330</f>
        <v>0.53678178408311983</v>
      </c>
      <c r="O72" s="481">
        <f>'Volume adjustments'!O330</f>
        <v>0.26008027391458188</v>
      </c>
      <c r="P72" s="481">
        <f>'Volume adjustments'!P330</f>
        <v>0.15233473843264977</v>
      </c>
      <c r="Q72" s="481">
        <f>'Volume adjustments'!Q330</f>
        <v>0.53678178408311983</v>
      </c>
      <c r="R72" s="481">
        <f>'Volume adjustments'!R330</f>
        <v>0</v>
      </c>
      <c r="S72" s="481">
        <f>'Volume adjustments'!S330</f>
        <v>0</v>
      </c>
      <c r="T72" s="481">
        <f>'Volume adjustments'!T330</f>
        <v>0</v>
      </c>
      <c r="U72" s="481">
        <f>'Volume adjustments'!U330</f>
        <v>0</v>
      </c>
      <c r="V72" s="481">
        <f>'Volume adjustments'!V330</f>
        <v>0</v>
      </c>
      <c r="W72" s="481">
        <f>'Volume adjustments'!W330</f>
        <v>0</v>
      </c>
      <c r="X72" s="481">
        <f>'Volume adjustments'!X330</f>
        <v>0</v>
      </c>
      <c r="Y72" s="481">
        <f>'Volume adjustments'!Y330</f>
        <v>0</v>
      </c>
    </row>
    <row r="73" spans="4:43" x14ac:dyDescent="0.25">
      <c r="E73" s="293"/>
    </row>
    <row r="74" spans="4:43" x14ac:dyDescent="0.25">
      <c r="D74" s="293"/>
      <c r="E74" s="86" t="s">
        <v>413</v>
      </c>
      <c r="I74" s="293" t="s">
        <v>359</v>
      </c>
      <c r="AQ74" s="293" t="s">
        <v>916</v>
      </c>
    </row>
    <row r="75" spans="4:43" x14ac:dyDescent="0.25">
      <c r="D75" s="293"/>
      <c r="E75" s="86"/>
      <c r="F75" s="91" t="s">
        <v>134</v>
      </c>
      <c r="G75" s="91" t="s">
        <v>94</v>
      </c>
      <c r="H75" s="141"/>
      <c r="I75" s="91"/>
      <c r="J75" s="180">
        <f>INDEX($J57:$Y57,J$54)</f>
        <v>0.35419813587175775</v>
      </c>
      <c r="K75" s="180">
        <f t="shared" ref="K75:AO75" si="0">INDEX($J57:$Y57,K$54)</f>
        <v>0.35419813587175775</v>
      </c>
      <c r="L75" s="180">
        <f t="shared" si="0"/>
        <v>0.35419813587175775</v>
      </c>
      <c r="M75" s="180">
        <f t="shared" si="0"/>
        <v>0.35419813587175775</v>
      </c>
      <c r="N75" s="180">
        <f t="shared" si="0"/>
        <v>0.35419813587175775</v>
      </c>
      <c r="O75" s="180">
        <f t="shared" si="0"/>
        <v>0.35419813587175775</v>
      </c>
      <c r="P75" s="180">
        <f t="shared" si="0"/>
        <v>0.35419813587175775</v>
      </c>
      <c r="Q75" s="180">
        <f t="shared" si="0"/>
        <v>0.35419813587175775</v>
      </c>
      <c r="R75" s="180">
        <f t="shared" si="0"/>
        <v>0.35419813587175775</v>
      </c>
      <c r="S75" s="180">
        <f t="shared" si="0"/>
        <v>0.35419813587175775</v>
      </c>
      <c r="T75" s="180">
        <f t="shared" si="0"/>
        <v>0.35419813587175775</v>
      </c>
      <c r="U75" s="180">
        <f t="shared" si="0"/>
        <v>0.35419813587175775</v>
      </c>
      <c r="V75" s="180">
        <f t="shared" si="0"/>
        <v>0.35419813587175775</v>
      </c>
      <c r="W75" s="180">
        <f t="shared" si="0"/>
        <v>0</v>
      </c>
      <c r="X75" s="180">
        <f t="shared" si="0"/>
        <v>0</v>
      </c>
      <c r="Y75" s="180">
        <f t="shared" si="0"/>
        <v>0</v>
      </c>
      <c r="Z75" s="180">
        <f t="shared" si="0"/>
        <v>0</v>
      </c>
      <c r="AA75" s="180">
        <f t="shared" si="0"/>
        <v>0</v>
      </c>
      <c r="AB75" s="180">
        <f t="shared" si="0"/>
        <v>0</v>
      </c>
      <c r="AC75" s="180">
        <f t="shared" si="0"/>
        <v>0</v>
      </c>
      <c r="AD75" s="180">
        <f t="shared" si="0"/>
        <v>0</v>
      </c>
      <c r="AE75" s="180">
        <f t="shared" si="0"/>
        <v>0</v>
      </c>
      <c r="AF75" s="180">
        <f t="shared" si="0"/>
        <v>0</v>
      </c>
      <c r="AG75" s="180">
        <f t="shared" si="0"/>
        <v>0.35419813587175775</v>
      </c>
      <c r="AH75" s="180">
        <f t="shared" si="0"/>
        <v>0</v>
      </c>
      <c r="AI75" s="180">
        <f t="shared" si="0"/>
        <v>0</v>
      </c>
      <c r="AJ75" s="180">
        <f t="shared" si="0"/>
        <v>0</v>
      </c>
      <c r="AK75" s="180">
        <f t="shared" si="0"/>
        <v>0</v>
      </c>
      <c r="AL75" s="180">
        <f t="shared" si="0"/>
        <v>0</v>
      </c>
      <c r="AM75" s="180">
        <f t="shared" si="0"/>
        <v>0</v>
      </c>
      <c r="AN75" s="180">
        <f t="shared" si="0"/>
        <v>0</v>
      </c>
      <c r="AO75" s="180">
        <f t="shared" si="0"/>
        <v>0</v>
      </c>
    </row>
    <row r="76" spans="4:43" x14ac:dyDescent="0.25">
      <c r="D76" s="293"/>
      <c r="E76" s="86"/>
      <c r="F76" s="293" t="s">
        <v>135</v>
      </c>
      <c r="G76" s="293" t="s">
        <v>94</v>
      </c>
      <c r="H76" s="380"/>
      <c r="J76" s="391">
        <f t="shared" ref="J76:AO81" si="1">INDEX($J58:$Y58,J$54)</f>
        <v>0.35419813587175775</v>
      </c>
      <c r="K76" s="391">
        <f t="shared" si="1"/>
        <v>0.35419813587175775</v>
      </c>
      <c r="L76" s="391">
        <f t="shared" si="1"/>
        <v>0.35419813587175775</v>
      </c>
      <c r="M76" s="391">
        <f t="shared" si="1"/>
        <v>0.35419813587175775</v>
      </c>
      <c r="N76" s="391">
        <f t="shared" si="1"/>
        <v>0.35419813587175775</v>
      </c>
      <c r="O76" s="391">
        <f t="shared" si="1"/>
        <v>0.35419813587175775</v>
      </c>
      <c r="P76" s="391">
        <f t="shared" si="1"/>
        <v>0.35419813587175775</v>
      </c>
      <c r="Q76" s="391">
        <f t="shared" si="1"/>
        <v>0.35419813587175775</v>
      </c>
      <c r="R76" s="391">
        <f t="shared" si="1"/>
        <v>0.35419813587175775</v>
      </c>
      <c r="S76" s="391">
        <f t="shared" si="1"/>
        <v>0.35419813587175775</v>
      </c>
      <c r="T76" s="391">
        <f t="shared" si="1"/>
        <v>0.35419813587175775</v>
      </c>
      <c r="U76" s="391">
        <f t="shared" si="1"/>
        <v>0.35419813587175775</v>
      </c>
      <c r="V76" s="391">
        <f t="shared" si="1"/>
        <v>0.35419813587175775</v>
      </c>
      <c r="W76" s="391">
        <f t="shared" si="1"/>
        <v>0</v>
      </c>
      <c r="X76" s="391">
        <f t="shared" si="1"/>
        <v>0</v>
      </c>
      <c r="Y76" s="391">
        <f t="shared" si="1"/>
        <v>0</v>
      </c>
      <c r="Z76" s="391">
        <f t="shared" si="1"/>
        <v>0</v>
      </c>
      <c r="AA76" s="391">
        <f t="shared" si="1"/>
        <v>0</v>
      </c>
      <c r="AB76" s="391">
        <f t="shared" si="1"/>
        <v>0</v>
      </c>
      <c r="AC76" s="391">
        <f t="shared" si="1"/>
        <v>0</v>
      </c>
      <c r="AD76" s="391">
        <f t="shared" si="1"/>
        <v>0</v>
      </c>
      <c r="AE76" s="391">
        <f t="shared" si="1"/>
        <v>0</v>
      </c>
      <c r="AF76" s="391">
        <f t="shared" si="1"/>
        <v>0</v>
      </c>
      <c r="AG76" s="391">
        <f t="shared" si="1"/>
        <v>0.35419813587175775</v>
      </c>
      <c r="AH76" s="391">
        <f t="shared" si="1"/>
        <v>0</v>
      </c>
      <c r="AI76" s="391">
        <f t="shared" si="1"/>
        <v>0</v>
      </c>
      <c r="AJ76" s="391">
        <f t="shared" si="1"/>
        <v>0</v>
      </c>
      <c r="AK76" s="391">
        <f t="shared" si="1"/>
        <v>0</v>
      </c>
      <c r="AL76" s="391">
        <f t="shared" si="1"/>
        <v>0</v>
      </c>
      <c r="AM76" s="391">
        <f t="shared" si="1"/>
        <v>0</v>
      </c>
      <c r="AN76" s="391">
        <f t="shared" si="1"/>
        <v>0</v>
      </c>
      <c r="AO76" s="391">
        <f t="shared" si="1"/>
        <v>0</v>
      </c>
    </row>
    <row r="77" spans="4:43" x14ac:dyDescent="0.25">
      <c r="D77" s="293"/>
      <c r="E77" s="86"/>
      <c r="F77" s="293" t="s">
        <v>136</v>
      </c>
      <c r="G77" s="293" t="s">
        <v>94</v>
      </c>
      <c r="H77" s="380"/>
      <c r="J77" s="391">
        <f t="shared" si="1"/>
        <v>0.35419813587175775</v>
      </c>
      <c r="K77" s="391">
        <f t="shared" si="1"/>
        <v>0.35419813587175775</v>
      </c>
      <c r="L77" s="391">
        <f t="shared" si="1"/>
        <v>0.35419813587175775</v>
      </c>
      <c r="M77" s="391">
        <f t="shared" si="1"/>
        <v>0.35419813587175775</v>
      </c>
      <c r="N77" s="391">
        <f t="shared" si="1"/>
        <v>0.35419813587175775</v>
      </c>
      <c r="O77" s="391">
        <f t="shared" si="1"/>
        <v>0.35419813587175775</v>
      </c>
      <c r="P77" s="391">
        <f t="shared" si="1"/>
        <v>0.35419813587175775</v>
      </c>
      <c r="Q77" s="391">
        <f t="shared" si="1"/>
        <v>0.35419813587175775</v>
      </c>
      <c r="R77" s="391">
        <f t="shared" si="1"/>
        <v>0.35419813587175775</v>
      </c>
      <c r="S77" s="391">
        <f t="shared" si="1"/>
        <v>0.35419813587175775</v>
      </c>
      <c r="T77" s="391">
        <f t="shared" si="1"/>
        <v>0.35419813587175775</v>
      </c>
      <c r="U77" s="391">
        <f t="shared" si="1"/>
        <v>0.35419813587175775</v>
      </c>
      <c r="V77" s="391">
        <f t="shared" si="1"/>
        <v>0.35419813587175775</v>
      </c>
      <c r="W77" s="391">
        <f t="shared" si="1"/>
        <v>0</v>
      </c>
      <c r="X77" s="391">
        <f t="shared" si="1"/>
        <v>0</v>
      </c>
      <c r="Y77" s="391">
        <f t="shared" si="1"/>
        <v>0</v>
      </c>
      <c r="Z77" s="391">
        <f t="shared" si="1"/>
        <v>0</v>
      </c>
      <c r="AA77" s="391">
        <f t="shared" si="1"/>
        <v>0</v>
      </c>
      <c r="AB77" s="391">
        <f t="shared" si="1"/>
        <v>0</v>
      </c>
      <c r="AC77" s="391">
        <f t="shared" si="1"/>
        <v>0</v>
      </c>
      <c r="AD77" s="391">
        <f t="shared" si="1"/>
        <v>0</v>
      </c>
      <c r="AE77" s="391">
        <f t="shared" si="1"/>
        <v>0</v>
      </c>
      <c r="AF77" s="391">
        <f t="shared" si="1"/>
        <v>0</v>
      </c>
      <c r="AG77" s="391">
        <f t="shared" si="1"/>
        <v>0.35419813587175775</v>
      </c>
      <c r="AH77" s="391">
        <f t="shared" si="1"/>
        <v>0</v>
      </c>
      <c r="AI77" s="391">
        <f t="shared" si="1"/>
        <v>0</v>
      </c>
      <c r="AJ77" s="391">
        <f t="shared" si="1"/>
        <v>0</v>
      </c>
      <c r="AK77" s="391">
        <f t="shared" si="1"/>
        <v>0</v>
      </c>
      <c r="AL77" s="391">
        <f t="shared" si="1"/>
        <v>0</v>
      </c>
      <c r="AM77" s="391">
        <f t="shared" si="1"/>
        <v>0</v>
      </c>
      <c r="AN77" s="391">
        <f t="shared" si="1"/>
        <v>0</v>
      </c>
      <c r="AO77" s="391">
        <f t="shared" si="1"/>
        <v>0</v>
      </c>
    </row>
    <row r="78" spans="4:43" x14ac:dyDescent="0.25">
      <c r="D78" s="293"/>
      <c r="E78" s="86"/>
      <c r="F78" s="293" t="s">
        <v>254</v>
      </c>
      <c r="G78" s="293" t="s">
        <v>94</v>
      </c>
      <c r="H78" s="380"/>
      <c r="J78" s="391">
        <f t="shared" si="1"/>
        <v>0.35419813587175775</v>
      </c>
      <c r="K78" s="391">
        <f t="shared" si="1"/>
        <v>0.35419813587175775</v>
      </c>
      <c r="L78" s="391">
        <f t="shared" si="1"/>
        <v>0.35419813587175775</v>
      </c>
      <c r="M78" s="391">
        <f t="shared" si="1"/>
        <v>0.35419813587175775</v>
      </c>
      <c r="N78" s="391">
        <f t="shared" si="1"/>
        <v>0.35419813587175775</v>
      </c>
      <c r="O78" s="391">
        <f t="shared" si="1"/>
        <v>0.35419813587175775</v>
      </c>
      <c r="P78" s="391">
        <f t="shared" si="1"/>
        <v>0.35419813587175775</v>
      </c>
      <c r="Q78" s="391">
        <f t="shared" si="1"/>
        <v>0.35419813587175775</v>
      </c>
      <c r="R78" s="391">
        <f t="shared" si="1"/>
        <v>0.35419813587175775</v>
      </c>
      <c r="S78" s="391">
        <f t="shared" si="1"/>
        <v>0.35419813587175775</v>
      </c>
      <c r="T78" s="391">
        <f t="shared" si="1"/>
        <v>0.35419813587175775</v>
      </c>
      <c r="U78" s="391">
        <f t="shared" si="1"/>
        <v>0.35419813587175775</v>
      </c>
      <c r="V78" s="391">
        <f t="shared" si="1"/>
        <v>0.35419813587175775</v>
      </c>
      <c r="W78" s="391">
        <f t="shared" si="1"/>
        <v>0</v>
      </c>
      <c r="X78" s="391">
        <f t="shared" si="1"/>
        <v>0</v>
      </c>
      <c r="Y78" s="391">
        <f t="shared" si="1"/>
        <v>0</v>
      </c>
      <c r="Z78" s="391">
        <f t="shared" si="1"/>
        <v>0</v>
      </c>
      <c r="AA78" s="391">
        <f t="shared" si="1"/>
        <v>0</v>
      </c>
      <c r="AB78" s="391">
        <f t="shared" si="1"/>
        <v>0</v>
      </c>
      <c r="AC78" s="391">
        <f t="shared" si="1"/>
        <v>0</v>
      </c>
      <c r="AD78" s="391">
        <f t="shared" si="1"/>
        <v>0</v>
      </c>
      <c r="AE78" s="391">
        <f t="shared" si="1"/>
        <v>0</v>
      </c>
      <c r="AF78" s="391">
        <f t="shared" si="1"/>
        <v>0</v>
      </c>
      <c r="AG78" s="391">
        <f t="shared" si="1"/>
        <v>0.35419813587175775</v>
      </c>
      <c r="AH78" s="391">
        <f t="shared" si="1"/>
        <v>1</v>
      </c>
      <c r="AI78" s="391">
        <f t="shared" si="1"/>
        <v>1</v>
      </c>
      <c r="AJ78" s="391">
        <f t="shared" si="1"/>
        <v>1</v>
      </c>
      <c r="AK78" s="391">
        <f t="shared" si="1"/>
        <v>1</v>
      </c>
      <c r="AL78" s="391">
        <f t="shared" si="1"/>
        <v>1</v>
      </c>
      <c r="AM78" s="391">
        <f t="shared" si="1"/>
        <v>1</v>
      </c>
      <c r="AN78" s="391">
        <f t="shared" si="1"/>
        <v>1</v>
      </c>
      <c r="AO78" s="391">
        <f t="shared" si="1"/>
        <v>1</v>
      </c>
    </row>
    <row r="79" spans="4:43" x14ac:dyDescent="0.25">
      <c r="D79" s="293"/>
      <c r="E79" s="86"/>
      <c r="F79" s="293" t="s">
        <v>255</v>
      </c>
      <c r="G79" s="293" t="s">
        <v>94</v>
      </c>
      <c r="H79" s="380"/>
      <c r="J79" s="391">
        <f t="shared" si="1"/>
        <v>0.35419813587175775</v>
      </c>
      <c r="K79" s="391">
        <f t="shared" si="1"/>
        <v>0.35419813587175775</v>
      </c>
      <c r="L79" s="391">
        <f t="shared" si="1"/>
        <v>0.35419813587175775</v>
      </c>
      <c r="M79" s="391">
        <f t="shared" si="1"/>
        <v>0.35419813587175775</v>
      </c>
      <c r="N79" s="391">
        <f t="shared" si="1"/>
        <v>0.35419813587175775</v>
      </c>
      <c r="O79" s="391">
        <f t="shared" si="1"/>
        <v>0.35419813587175775</v>
      </c>
      <c r="P79" s="391">
        <f t="shared" si="1"/>
        <v>0.35419813587175775</v>
      </c>
      <c r="Q79" s="391">
        <f t="shared" si="1"/>
        <v>0.35419813587175775</v>
      </c>
      <c r="R79" s="391">
        <f t="shared" si="1"/>
        <v>0.35419813587175775</v>
      </c>
      <c r="S79" s="391">
        <f t="shared" si="1"/>
        <v>0.35419813587175775</v>
      </c>
      <c r="T79" s="391">
        <f t="shared" si="1"/>
        <v>0.35419813587175775</v>
      </c>
      <c r="U79" s="391">
        <f t="shared" si="1"/>
        <v>0.35419813587175775</v>
      </c>
      <c r="V79" s="391">
        <f t="shared" si="1"/>
        <v>0.35419813587175775</v>
      </c>
      <c r="W79" s="391">
        <f t="shared" si="1"/>
        <v>0</v>
      </c>
      <c r="X79" s="391">
        <f t="shared" si="1"/>
        <v>0</v>
      </c>
      <c r="Y79" s="391">
        <f t="shared" si="1"/>
        <v>0</v>
      </c>
      <c r="Z79" s="391">
        <f t="shared" si="1"/>
        <v>0</v>
      </c>
      <c r="AA79" s="391">
        <f t="shared" si="1"/>
        <v>0</v>
      </c>
      <c r="AB79" s="391">
        <f t="shared" si="1"/>
        <v>0</v>
      </c>
      <c r="AC79" s="391">
        <f t="shared" si="1"/>
        <v>0</v>
      </c>
      <c r="AD79" s="391">
        <f t="shared" si="1"/>
        <v>0</v>
      </c>
      <c r="AE79" s="391">
        <f t="shared" si="1"/>
        <v>0</v>
      </c>
      <c r="AF79" s="391">
        <f t="shared" si="1"/>
        <v>0</v>
      </c>
      <c r="AG79" s="391">
        <f t="shared" si="1"/>
        <v>0.35419813587175775</v>
      </c>
      <c r="AH79" s="391">
        <f t="shared" si="1"/>
        <v>0</v>
      </c>
      <c r="AI79" s="391">
        <f t="shared" si="1"/>
        <v>0</v>
      </c>
      <c r="AJ79" s="391">
        <f t="shared" si="1"/>
        <v>0</v>
      </c>
      <c r="AK79" s="391">
        <f t="shared" si="1"/>
        <v>0</v>
      </c>
      <c r="AL79" s="391">
        <f t="shared" si="1"/>
        <v>0</v>
      </c>
      <c r="AM79" s="391">
        <f t="shared" si="1"/>
        <v>0</v>
      </c>
      <c r="AN79" s="391">
        <f t="shared" si="1"/>
        <v>0</v>
      </c>
      <c r="AO79" s="391">
        <f t="shared" si="1"/>
        <v>0</v>
      </c>
    </row>
    <row r="80" spans="4:43" x14ac:dyDescent="0.25">
      <c r="D80" s="293"/>
      <c r="E80" s="86"/>
      <c r="F80" s="293" t="s">
        <v>256</v>
      </c>
      <c r="G80" s="293" t="s">
        <v>94</v>
      </c>
      <c r="H80" s="380"/>
      <c r="J80" s="391">
        <f t="shared" si="1"/>
        <v>0.35419813587175775</v>
      </c>
      <c r="K80" s="391">
        <f t="shared" si="1"/>
        <v>0.35419813587175775</v>
      </c>
      <c r="L80" s="391">
        <f t="shared" si="1"/>
        <v>0.35419813587175775</v>
      </c>
      <c r="M80" s="391">
        <f t="shared" si="1"/>
        <v>0.35419813587175775</v>
      </c>
      <c r="N80" s="391">
        <f t="shared" si="1"/>
        <v>0.35419813587175775</v>
      </c>
      <c r="O80" s="391">
        <f t="shared" si="1"/>
        <v>0.35419813587175775</v>
      </c>
      <c r="P80" s="391">
        <f t="shared" si="1"/>
        <v>0.35419813587175775</v>
      </c>
      <c r="Q80" s="391">
        <f t="shared" si="1"/>
        <v>0.35419813587175775</v>
      </c>
      <c r="R80" s="391">
        <f t="shared" si="1"/>
        <v>0.35419813587175775</v>
      </c>
      <c r="S80" s="391">
        <f t="shared" si="1"/>
        <v>0.35419813587175775</v>
      </c>
      <c r="T80" s="391">
        <f t="shared" si="1"/>
        <v>0.35419813587175775</v>
      </c>
      <c r="U80" s="391">
        <f t="shared" si="1"/>
        <v>0.35419813587175775</v>
      </c>
      <c r="V80" s="391">
        <f t="shared" si="1"/>
        <v>0.35419813587175775</v>
      </c>
      <c r="W80" s="391">
        <f t="shared" si="1"/>
        <v>0</v>
      </c>
      <c r="X80" s="391">
        <f t="shared" si="1"/>
        <v>0</v>
      </c>
      <c r="Y80" s="391">
        <f t="shared" si="1"/>
        <v>0</v>
      </c>
      <c r="Z80" s="391">
        <f t="shared" si="1"/>
        <v>0</v>
      </c>
      <c r="AA80" s="391">
        <f t="shared" si="1"/>
        <v>0</v>
      </c>
      <c r="AB80" s="391">
        <f t="shared" si="1"/>
        <v>0</v>
      </c>
      <c r="AC80" s="391">
        <f t="shared" si="1"/>
        <v>0</v>
      </c>
      <c r="AD80" s="391">
        <f t="shared" si="1"/>
        <v>0</v>
      </c>
      <c r="AE80" s="391">
        <f t="shared" si="1"/>
        <v>0</v>
      </c>
      <c r="AF80" s="391">
        <f t="shared" si="1"/>
        <v>0</v>
      </c>
      <c r="AG80" s="391">
        <f t="shared" si="1"/>
        <v>0.35419813587175775</v>
      </c>
      <c r="AH80" s="391">
        <f t="shared" si="1"/>
        <v>0</v>
      </c>
      <c r="AI80" s="391">
        <f t="shared" si="1"/>
        <v>0</v>
      </c>
      <c r="AJ80" s="391">
        <f t="shared" si="1"/>
        <v>0</v>
      </c>
      <c r="AK80" s="391">
        <f t="shared" si="1"/>
        <v>0</v>
      </c>
      <c r="AL80" s="391">
        <f t="shared" si="1"/>
        <v>0</v>
      </c>
      <c r="AM80" s="391">
        <f t="shared" si="1"/>
        <v>0</v>
      </c>
      <c r="AN80" s="391">
        <f t="shared" si="1"/>
        <v>0</v>
      </c>
      <c r="AO80" s="391">
        <f t="shared" si="1"/>
        <v>0</v>
      </c>
    </row>
    <row r="81" spans="3:43" x14ac:dyDescent="0.25">
      <c r="D81" s="293"/>
      <c r="E81" s="86"/>
      <c r="F81" s="93" t="s">
        <v>257</v>
      </c>
      <c r="G81" s="93" t="s">
        <v>94</v>
      </c>
      <c r="H81" s="115"/>
      <c r="I81" s="93"/>
      <c r="J81" s="181">
        <f t="shared" si="1"/>
        <v>0.35419813587175775</v>
      </c>
      <c r="K81" s="181">
        <f t="shared" si="1"/>
        <v>0.35419813587175775</v>
      </c>
      <c r="L81" s="181">
        <f t="shared" si="1"/>
        <v>0.35419813587175775</v>
      </c>
      <c r="M81" s="181">
        <f t="shared" si="1"/>
        <v>0.35419813587175775</v>
      </c>
      <c r="N81" s="181">
        <f t="shared" si="1"/>
        <v>0.35419813587175775</v>
      </c>
      <c r="O81" s="181">
        <f t="shared" si="1"/>
        <v>0.35419813587175775</v>
      </c>
      <c r="P81" s="181">
        <f t="shared" si="1"/>
        <v>0.35419813587175775</v>
      </c>
      <c r="Q81" s="181">
        <f t="shared" si="1"/>
        <v>0.35419813587175775</v>
      </c>
      <c r="R81" s="181">
        <f t="shared" si="1"/>
        <v>0.35419813587175775</v>
      </c>
      <c r="S81" s="181">
        <f t="shared" si="1"/>
        <v>0.35419813587175775</v>
      </c>
      <c r="T81" s="181">
        <f t="shared" si="1"/>
        <v>0.35419813587175775</v>
      </c>
      <c r="U81" s="181">
        <f t="shared" si="1"/>
        <v>0.35419813587175775</v>
      </c>
      <c r="V81" s="181">
        <f t="shared" si="1"/>
        <v>0.35419813587175775</v>
      </c>
      <c r="W81" s="181">
        <f t="shared" si="1"/>
        <v>0</v>
      </c>
      <c r="X81" s="181">
        <f t="shared" si="1"/>
        <v>0</v>
      </c>
      <c r="Y81" s="181">
        <f t="shared" si="1"/>
        <v>0</v>
      </c>
      <c r="Z81" s="181">
        <f t="shared" si="1"/>
        <v>0</v>
      </c>
      <c r="AA81" s="181">
        <f t="shared" si="1"/>
        <v>0</v>
      </c>
      <c r="AB81" s="181">
        <f t="shared" si="1"/>
        <v>0</v>
      </c>
      <c r="AC81" s="181">
        <f t="shared" si="1"/>
        <v>0</v>
      </c>
      <c r="AD81" s="181">
        <f t="shared" si="1"/>
        <v>0</v>
      </c>
      <c r="AE81" s="181">
        <f t="shared" si="1"/>
        <v>0</v>
      </c>
      <c r="AF81" s="181">
        <f t="shared" si="1"/>
        <v>0</v>
      </c>
      <c r="AG81" s="181">
        <f t="shared" si="1"/>
        <v>0.35419813587175775</v>
      </c>
      <c r="AH81" s="181">
        <f t="shared" si="1"/>
        <v>0</v>
      </c>
      <c r="AI81" s="181">
        <f t="shared" si="1"/>
        <v>0</v>
      </c>
      <c r="AJ81" s="181">
        <f t="shared" si="1"/>
        <v>0</v>
      </c>
      <c r="AK81" s="181">
        <f t="shared" si="1"/>
        <v>0</v>
      </c>
      <c r="AL81" s="181">
        <f t="shared" si="1"/>
        <v>0</v>
      </c>
      <c r="AM81" s="181">
        <f t="shared" si="1"/>
        <v>0</v>
      </c>
      <c r="AN81" s="181">
        <f t="shared" si="1"/>
        <v>0</v>
      </c>
      <c r="AO81" s="181">
        <f t="shared" si="1"/>
        <v>0</v>
      </c>
    </row>
    <row r="82" spans="3:43" x14ac:dyDescent="0.25">
      <c r="D82" s="86"/>
      <c r="E82" s="293"/>
    </row>
    <row r="83" spans="3:43" x14ac:dyDescent="0.25">
      <c r="D83" s="293"/>
      <c r="E83" s="86" t="s">
        <v>414</v>
      </c>
      <c r="I83" s="293" t="s">
        <v>359</v>
      </c>
      <c r="AQ83" s="293" t="s">
        <v>916</v>
      </c>
    </row>
    <row r="84" spans="3:43" x14ac:dyDescent="0.25">
      <c r="D84" s="293"/>
      <c r="E84" s="86"/>
      <c r="F84" s="91" t="s">
        <v>134</v>
      </c>
      <c r="G84" s="91" t="s">
        <v>94</v>
      </c>
      <c r="H84" s="141"/>
      <c r="I84" s="91"/>
      <c r="J84" s="180">
        <f>INDEX($J66:$Y66,J$54)</f>
        <v>0.53678178408311983</v>
      </c>
      <c r="K84" s="180">
        <f t="shared" ref="K84:AO84" si="2">INDEX($J66:$Y66,K$54)</f>
        <v>0.53678178408311983</v>
      </c>
      <c r="L84" s="180">
        <f t="shared" si="2"/>
        <v>0.53678178408311983</v>
      </c>
      <c r="M84" s="180">
        <f t="shared" si="2"/>
        <v>0.53678178408311983</v>
      </c>
      <c r="N84" s="180">
        <f t="shared" si="2"/>
        <v>0.53678178408311983</v>
      </c>
      <c r="O84" s="180">
        <f t="shared" si="2"/>
        <v>0.53678178408311983</v>
      </c>
      <c r="P84" s="180">
        <f t="shared" si="2"/>
        <v>0.53678178408311983</v>
      </c>
      <c r="Q84" s="180">
        <f t="shared" si="2"/>
        <v>0.53678178408311983</v>
      </c>
      <c r="R84" s="180">
        <f t="shared" si="2"/>
        <v>0.53678178408311983</v>
      </c>
      <c r="S84" s="180">
        <f t="shared" si="2"/>
        <v>0.53678178408311983</v>
      </c>
      <c r="T84" s="180">
        <f t="shared" si="2"/>
        <v>0.53678178408311983</v>
      </c>
      <c r="U84" s="180">
        <f t="shared" si="2"/>
        <v>0.53678178408311983</v>
      </c>
      <c r="V84" s="180">
        <f t="shared" si="2"/>
        <v>0.53678178408311983</v>
      </c>
      <c r="W84" s="180">
        <f t="shared" si="2"/>
        <v>0.26008027391458188</v>
      </c>
      <c r="X84" s="180">
        <f t="shared" si="2"/>
        <v>0.26008027391458188</v>
      </c>
      <c r="Y84" s="180">
        <f t="shared" si="2"/>
        <v>0.26008027391458188</v>
      </c>
      <c r="Z84" s="180">
        <f t="shared" si="2"/>
        <v>0.26008027391458188</v>
      </c>
      <c r="AA84" s="180">
        <f t="shared" si="2"/>
        <v>0.26008027391458188</v>
      </c>
      <c r="AB84" s="180">
        <f t="shared" si="2"/>
        <v>0.15233473843264977</v>
      </c>
      <c r="AC84" s="180">
        <f t="shared" si="2"/>
        <v>0.15233473843264977</v>
      </c>
      <c r="AD84" s="180">
        <f t="shared" si="2"/>
        <v>0.15233473843264977</v>
      </c>
      <c r="AE84" s="180">
        <f t="shared" si="2"/>
        <v>0.15233473843264977</v>
      </c>
      <c r="AF84" s="180">
        <f t="shared" si="2"/>
        <v>0.15233473843264977</v>
      </c>
      <c r="AG84" s="180">
        <f t="shared" si="2"/>
        <v>0.53678178408311983</v>
      </c>
      <c r="AH84" s="180">
        <f t="shared" si="2"/>
        <v>0</v>
      </c>
      <c r="AI84" s="180">
        <f t="shared" si="2"/>
        <v>0</v>
      </c>
      <c r="AJ84" s="180">
        <f t="shared" si="2"/>
        <v>0</v>
      </c>
      <c r="AK84" s="180">
        <f t="shared" si="2"/>
        <v>0</v>
      </c>
      <c r="AL84" s="180">
        <f t="shared" si="2"/>
        <v>0</v>
      </c>
      <c r="AM84" s="180">
        <f t="shared" si="2"/>
        <v>0</v>
      </c>
      <c r="AN84" s="180">
        <f t="shared" si="2"/>
        <v>0</v>
      </c>
      <c r="AO84" s="180">
        <f t="shared" si="2"/>
        <v>0</v>
      </c>
    </row>
    <row r="85" spans="3:43" x14ac:dyDescent="0.25">
      <c r="D85" s="293"/>
      <c r="E85" s="86"/>
      <c r="F85" s="293" t="s">
        <v>135</v>
      </c>
      <c r="G85" s="293" t="s">
        <v>94</v>
      </c>
      <c r="H85" s="380"/>
      <c r="J85" s="391">
        <f t="shared" ref="J85:AO90" si="3">INDEX($J67:$Y67,J$54)</f>
        <v>0.53678178408311983</v>
      </c>
      <c r="K85" s="391">
        <f t="shared" si="3"/>
        <v>0.53678178408311983</v>
      </c>
      <c r="L85" s="391">
        <f t="shared" si="3"/>
        <v>0.53678178408311983</v>
      </c>
      <c r="M85" s="391">
        <f t="shared" si="3"/>
        <v>0.53678178408311983</v>
      </c>
      <c r="N85" s="391">
        <f t="shared" si="3"/>
        <v>0.53678178408311983</v>
      </c>
      <c r="O85" s="391">
        <f t="shared" si="3"/>
        <v>0.53678178408311983</v>
      </c>
      <c r="P85" s="391">
        <f t="shared" si="3"/>
        <v>0.53678178408311983</v>
      </c>
      <c r="Q85" s="391">
        <f t="shared" si="3"/>
        <v>0.53678178408311983</v>
      </c>
      <c r="R85" s="391">
        <f t="shared" si="3"/>
        <v>0.53678178408311983</v>
      </c>
      <c r="S85" s="391">
        <f t="shared" si="3"/>
        <v>0.53678178408311983</v>
      </c>
      <c r="T85" s="391">
        <f t="shared" si="3"/>
        <v>0.53678178408311983</v>
      </c>
      <c r="U85" s="391">
        <f t="shared" si="3"/>
        <v>0.53678178408311983</v>
      </c>
      <c r="V85" s="391">
        <f t="shared" si="3"/>
        <v>0.53678178408311983</v>
      </c>
      <c r="W85" s="391">
        <f t="shared" si="3"/>
        <v>0.26008027391458188</v>
      </c>
      <c r="X85" s="391">
        <f t="shared" si="3"/>
        <v>0.26008027391458188</v>
      </c>
      <c r="Y85" s="391">
        <f t="shared" si="3"/>
        <v>0.26008027391458188</v>
      </c>
      <c r="Z85" s="391">
        <f t="shared" si="3"/>
        <v>0.26008027391458188</v>
      </c>
      <c r="AA85" s="391">
        <f t="shared" si="3"/>
        <v>0.26008027391458188</v>
      </c>
      <c r="AB85" s="391">
        <f t="shared" si="3"/>
        <v>0.15233473843264977</v>
      </c>
      <c r="AC85" s="391">
        <f t="shared" si="3"/>
        <v>0.15233473843264977</v>
      </c>
      <c r="AD85" s="391">
        <f t="shared" si="3"/>
        <v>0.15233473843264977</v>
      </c>
      <c r="AE85" s="391">
        <f t="shared" si="3"/>
        <v>0.15233473843264977</v>
      </c>
      <c r="AF85" s="391">
        <f t="shared" si="3"/>
        <v>0.15233473843264977</v>
      </c>
      <c r="AG85" s="391">
        <f t="shared" si="3"/>
        <v>0.53678178408311983</v>
      </c>
      <c r="AH85" s="391">
        <f t="shared" si="3"/>
        <v>0</v>
      </c>
      <c r="AI85" s="391">
        <f t="shared" si="3"/>
        <v>0</v>
      </c>
      <c r="AJ85" s="391">
        <f t="shared" si="3"/>
        <v>0</v>
      </c>
      <c r="AK85" s="391">
        <f t="shared" si="3"/>
        <v>0</v>
      </c>
      <c r="AL85" s="391">
        <f t="shared" si="3"/>
        <v>0</v>
      </c>
      <c r="AM85" s="391">
        <f t="shared" si="3"/>
        <v>0</v>
      </c>
      <c r="AN85" s="391">
        <f t="shared" si="3"/>
        <v>0</v>
      </c>
      <c r="AO85" s="391">
        <f t="shared" si="3"/>
        <v>0</v>
      </c>
    </row>
    <row r="86" spans="3:43" x14ac:dyDescent="0.25">
      <c r="D86" s="293"/>
      <c r="E86" s="86"/>
      <c r="F86" s="293" t="s">
        <v>136</v>
      </c>
      <c r="G86" s="293" t="s">
        <v>94</v>
      </c>
      <c r="H86" s="380"/>
      <c r="J86" s="391">
        <f t="shared" si="3"/>
        <v>0.53678178408311983</v>
      </c>
      <c r="K86" s="391">
        <f t="shared" si="3"/>
        <v>0.53678178408311983</v>
      </c>
      <c r="L86" s="391">
        <f t="shared" si="3"/>
        <v>0.53678178408311983</v>
      </c>
      <c r="M86" s="391">
        <f t="shared" si="3"/>
        <v>0.53678178408311983</v>
      </c>
      <c r="N86" s="391">
        <f t="shared" si="3"/>
        <v>0.53678178408311983</v>
      </c>
      <c r="O86" s="391">
        <f t="shared" si="3"/>
        <v>0.53678178408311983</v>
      </c>
      <c r="P86" s="391">
        <f t="shared" si="3"/>
        <v>0.53678178408311983</v>
      </c>
      <c r="Q86" s="391">
        <f t="shared" si="3"/>
        <v>0.53678178408311983</v>
      </c>
      <c r="R86" s="391">
        <f t="shared" si="3"/>
        <v>0.53678178408311983</v>
      </c>
      <c r="S86" s="391">
        <f t="shared" si="3"/>
        <v>0.53678178408311983</v>
      </c>
      <c r="T86" s="391">
        <f t="shared" si="3"/>
        <v>0.53678178408311983</v>
      </c>
      <c r="U86" s="391">
        <f t="shared" si="3"/>
        <v>0.53678178408311983</v>
      </c>
      <c r="V86" s="391">
        <f t="shared" si="3"/>
        <v>0.53678178408311983</v>
      </c>
      <c r="W86" s="391">
        <f t="shared" si="3"/>
        <v>0.26008027391458188</v>
      </c>
      <c r="X86" s="391">
        <f t="shared" si="3"/>
        <v>0.26008027391458188</v>
      </c>
      <c r="Y86" s="391">
        <f t="shared" si="3"/>
        <v>0.26008027391458188</v>
      </c>
      <c r="Z86" s="391">
        <f t="shared" si="3"/>
        <v>0.26008027391458188</v>
      </c>
      <c r="AA86" s="391">
        <f t="shared" si="3"/>
        <v>0.26008027391458188</v>
      </c>
      <c r="AB86" s="391">
        <f t="shared" si="3"/>
        <v>0.15233473843264977</v>
      </c>
      <c r="AC86" s="391">
        <f t="shared" si="3"/>
        <v>0.15233473843264977</v>
      </c>
      <c r="AD86" s="391">
        <f t="shared" si="3"/>
        <v>0.15233473843264977</v>
      </c>
      <c r="AE86" s="391">
        <f t="shared" si="3"/>
        <v>0.15233473843264977</v>
      </c>
      <c r="AF86" s="391">
        <f t="shared" si="3"/>
        <v>0.15233473843264977</v>
      </c>
      <c r="AG86" s="391">
        <f t="shared" si="3"/>
        <v>0.53678178408311983</v>
      </c>
      <c r="AH86" s="391">
        <f t="shared" si="3"/>
        <v>0</v>
      </c>
      <c r="AI86" s="391">
        <f t="shared" si="3"/>
        <v>0</v>
      </c>
      <c r="AJ86" s="391">
        <f t="shared" si="3"/>
        <v>0</v>
      </c>
      <c r="AK86" s="391">
        <f t="shared" si="3"/>
        <v>0</v>
      </c>
      <c r="AL86" s="391">
        <f t="shared" si="3"/>
        <v>0</v>
      </c>
      <c r="AM86" s="391">
        <f t="shared" si="3"/>
        <v>0</v>
      </c>
      <c r="AN86" s="391">
        <f t="shared" si="3"/>
        <v>0</v>
      </c>
      <c r="AO86" s="391">
        <f t="shared" si="3"/>
        <v>0</v>
      </c>
    </row>
    <row r="87" spans="3:43" x14ac:dyDescent="0.25">
      <c r="D87" s="293"/>
      <c r="E87" s="86"/>
      <c r="F87" s="293" t="s">
        <v>254</v>
      </c>
      <c r="G87" s="293" t="s">
        <v>94</v>
      </c>
      <c r="H87" s="380"/>
      <c r="J87" s="391">
        <f t="shared" si="3"/>
        <v>0.53678178408311983</v>
      </c>
      <c r="K87" s="391">
        <f t="shared" si="3"/>
        <v>0.53678178408311983</v>
      </c>
      <c r="L87" s="391">
        <f t="shared" si="3"/>
        <v>0.53678178408311983</v>
      </c>
      <c r="M87" s="391">
        <f t="shared" si="3"/>
        <v>0.53678178408311983</v>
      </c>
      <c r="N87" s="391">
        <f t="shared" si="3"/>
        <v>0.53678178408311983</v>
      </c>
      <c r="O87" s="391">
        <f t="shared" si="3"/>
        <v>0.53678178408311983</v>
      </c>
      <c r="P87" s="391">
        <f t="shared" si="3"/>
        <v>0.53678178408311983</v>
      </c>
      <c r="Q87" s="391">
        <f t="shared" si="3"/>
        <v>0.53678178408311983</v>
      </c>
      <c r="R87" s="391">
        <f t="shared" si="3"/>
        <v>0.53678178408311983</v>
      </c>
      <c r="S87" s="391">
        <f t="shared" si="3"/>
        <v>0.53678178408311983</v>
      </c>
      <c r="T87" s="391">
        <f t="shared" si="3"/>
        <v>0.53678178408311983</v>
      </c>
      <c r="U87" s="391">
        <f t="shared" si="3"/>
        <v>0.53678178408311983</v>
      </c>
      <c r="V87" s="391">
        <f t="shared" si="3"/>
        <v>0.53678178408311983</v>
      </c>
      <c r="W87" s="391">
        <f t="shared" si="3"/>
        <v>0.26008027391458188</v>
      </c>
      <c r="X87" s="391">
        <f t="shared" si="3"/>
        <v>0.26008027391458188</v>
      </c>
      <c r="Y87" s="391">
        <f t="shared" si="3"/>
        <v>0.26008027391458188</v>
      </c>
      <c r="Z87" s="391">
        <f t="shared" si="3"/>
        <v>0.26008027391458188</v>
      </c>
      <c r="AA87" s="391">
        <f t="shared" si="3"/>
        <v>0.26008027391458188</v>
      </c>
      <c r="AB87" s="391">
        <f t="shared" si="3"/>
        <v>0.15233473843264977</v>
      </c>
      <c r="AC87" s="391">
        <f t="shared" si="3"/>
        <v>0.15233473843264977</v>
      </c>
      <c r="AD87" s="391">
        <f t="shared" si="3"/>
        <v>0.15233473843264977</v>
      </c>
      <c r="AE87" s="391">
        <f t="shared" si="3"/>
        <v>0.15233473843264977</v>
      </c>
      <c r="AF87" s="391">
        <f t="shared" si="3"/>
        <v>0.15233473843264977</v>
      </c>
      <c r="AG87" s="391">
        <f t="shared" si="3"/>
        <v>0.53678178408311983</v>
      </c>
      <c r="AH87" s="391">
        <f t="shared" si="3"/>
        <v>1</v>
      </c>
      <c r="AI87" s="391">
        <f t="shared" si="3"/>
        <v>1</v>
      </c>
      <c r="AJ87" s="391">
        <f t="shared" si="3"/>
        <v>1</v>
      </c>
      <c r="AK87" s="391">
        <f t="shared" si="3"/>
        <v>1</v>
      </c>
      <c r="AL87" s="391">
        <f t="shared" si="3"/>
        <v>1</v>
      </c>
      <c r="AM87" s="391">
        <f t="shared" si="3"/>
        <v>1</v>
      </c>
      <c r="AN87" s="391">
        <f t="shared" si="3"/>
        <v>1</v>
      </c>
      <c r="AO87" s="391">
        <f t="shared" si="3"/>
        <v>1</v>
      </c>
    </row>
    <row r="88" spans="3:43" x14ac:dyDescent="0.25">
      <c r="D88" s="293"/>
      <c r="E88" s="86"/>
      <c r="F88" s="293" t="s">
        <v>255</v>
      </c>
      <c r="G88" s="293" t="s">
        <v>94</v>
      </c>
      <c r="H88" s="380"/>
      <c r="J88" s="391">
        <f t="shared" si="3"/>
        <v>0.53678178408311983</v>
      </c>
      <c r="K88" s="391">
        <f t="shared" si="3"/>
        <v>0.53678178408311983</v>
      </c>
      <c r="L88" s="391">
        <f t="shared" si="3"/>
        <v>0.53678178408311983</v>
      </c>
      <c r="M88" s="391">
        <f t="shared" si="3"/>
        <v>0.53678178408311983</v>
      </c>
      <c r="N88" s="391">
        <f t="shared" si="3"/>
        <v>0.53678178408311983</v>
      </c>
      <c r="O88" s="391">
        <f t="shared" si="3"/>
        <v>0.53678178408311983</v>
      </c>
      <c r="P88" s="391">
        <f t="shared" si="3"/>
        <v>0.53678178408311983</v>
      </c>
      <c r="Q88" s="391">
        <f t="shared" si="3"/>
        <v>0.53678178408311983</v>
      </c>
      <c r="R88" s="391">
        <f t="shared" si="3"/>
        <v>0.53678178408311983</v>
      </c>
      <c r="S88" s="391">
        <f t="shared" si="3"/>
        <v>0.53678178408311983</v>
      </c>
      <c r="T88" s="391">
        <f t="shared" si="3"/>
        <v>0.53678178408311983</v>
      </c>
      <c r="U88" s="391">
        <f t="shared" si="3"/>
        <v>0.53678178408311983</v>
      </c>
      <c r="V88" s="391">
        <f t="shared" si="3"/>
        <v>0.53678178408311983</v>
      </c>
      <c r="W88" s="391">
        <f t="shared" si="3"/>
        <v>0.26008027391458188</v>
      </c>
      <c r="X88" s="391">
        <f t="shared" si="3"/>
        <v>0.26008027391458188</v>
      </c>
      <c r="Y88" s="391">
        <f t="shared" si="3"/>
        <v>0.26008027391458188</v>
      </c>
      <c r="Z88" s="391">
        <f t="shared" si="3"/>
        <v>0.26008027391458188</v>
      </c>
      <c r="AA88" s="391">
        <f t="shared" si="3"/>
        <v>0.26008027391458188</v>
      </c>
      <c r="AB88" s="391">
        <f t="shared" si="3"/>
        <v>0.15233473843264977</v>
      </c>
      <c r="AC88" s="391">
        <f t="shared" si="3"/>
        <v>0.15233473843264977</v>
      </c>
      <c r="AD88" s="391">
        <f t="shared" si="3"/>
        <v>0.15233473843264977</v>
      </c>
      <c r="AE88" s="391">
        <f t="shared" si="3"/>
        <v>0.15233473843264977</v>
      </c>
      <c r="AF88" s="391">
        <f t="shared" si="3"/>
        <v>0.15233473843264977</v>
      </c>
      <c r="AG88" s="391">
        <f t="shared" si="3"/>
        <v>0.53678178408311983</v>
      </c>
      <c r="AH88" s="391">
        <f t="shared" si="3"/>
        <v>0</v>
      </c>
      <c r="AI88" s="391">
        <f t="shared" si="3"/>
        <v>0</v>
      </c>
      <c r="AJ88" s="391">
        <f t="shared" si="3"/>
        <v>0</v>
      </c>
      <c r="AK88" s="391">
        <f t="shared" si="3"/>
        <v>0</v>
      </c>
      <c r="AL88" s="391">
        <f t="shared" si="3"/>
        <v>0</v>
      </c>
      <c r="AM88" s="391">
        <f t="shared" si="3"/>
        <v>0</v>
      </c>
      <c r="AN88" s="391">
        <f t="shared" si="3"/>
        <v>0</v>
      </c>
      <c r="AO88" s="391">
        <f t="shared" si="3"/>
        <v>0</v>
      </c>
    </row>
    <row r="89" spans="3:43" x14ac:dyDescent="0.25">
      <c r="D89" s="293"/>
      <c r="E89" s="86"/>
      <c r="F89" s="293" t="s">
        <v>256</v>
      </c>
      <c r="G89" s="293" t="s">
        <v>94</v>
      </c>
      <c r="H89" s="380"/>
      <c r="J89" s="391">
        <f t="shared" si="3"/>
        <v>0.53678178408311983</v>
      </c>
      <c r="K89" s="391">
        <f t="shared" si="3"/>
        <v>0.53678178408311983</v>
      </c>
      <c r="L89" s="391">
        <f t="shared" si="3"/>
        <v>0.53678178408311983</v>
      </c>
      <c r="M89" s="391">
        <f t="shared" si="3"/>
        <v>0.53678178408311983</v>
      </c>
      <c r="N89" s="391">
        <f t="shared" si="3"/>
        <v>0.53678178408311983</v>
      </c>
      <c r="O89" s="391">
        <f t="shared" si="3"/>
        <v>0.53678178408311983</v>
      </c>
      <c r="P89" s="391">
        <f t="shared" si="3"/>
        <v>0.53678178408311983</v>
      </c>
      <c r="Q89" s="391">
        <f t="shared" si="3"/>
        <v>0.53678178408311983</v>
      </c>
      <c r="R89" s="391">
        <f t="shared" si="3"/>
        <v>0.53678178408311983</v>
      </c>
      <c r="S89" s="391">
        <f t="shared" si="3"/>
        <v>0.53678178408311983</v>
      </c>
      <c r="T89" s="391">
        <f t="shared" si="3"/>
        <v>0.53678178408311983</v>
      </c>
      <c r="U89" s="391">
        <f t="shared" si="3"/>
        <v>0.53678178408311983</v>
      </c>
      <c r="V89" s="391">
        <f t="shared" si="3"/>
        <v>0.53678178408311983</v>
      </c>
      <c r="W89" s="391">
        <f t="shared" si="3"/>
        <v>0.26008027391458188</v>
      </c>
      <c r="X89" s="391">
        <f t="shared" si="3"/>
        <v>0.26008027391458188</v>
      </c>
      <c r="Y89" s="391">
        <f t="shared" si="3"/>
        <v>0.26008027391458188</v>
      </c>
      <c r="Z89" s="391">
        <f t="shared" si="3"/>
        <v>0.26008027391458188</v>
      </c>
      <c r="AA89" s="391">
        <f t="shared" si="3"/>
        <v>0.26008027391458188</v>
      </c>
      <c r="AB89" s="391">
        <f t="shared" si="3"/>
        <v>0.15233473843264977</v>
      </c>
      <c r="AC89" s="391">
        <f t="shared" si="3"/>
        <v>0.15233473843264977</v>
      </c>
      <c r="AD89" s="391">
        <f t="shared" si="3"/>
        <v>0.15233473843264977</v>
      </c>
      <c r="AE89" s="391">
        <f t="shared" si="3"/>
        <v>0.15233473843264977</v>
      </c>
      <c r="AF89" s="391">
        <f t="shared" si="3"/>
        <v>0.15233473843264977</v>
      </c>
      <c r="AG89" s="391">
        <f t="shared" si="3"/>
        <v>0.53678178408311983</v>
      </c>
      <c r="AH89" s="391">
        <f t="shared" si="3"/>
        <v>0</v>
      </c>
      <c r="AI89" s="391">
        <f t="shared" si="3"/>
        <v>0</v>
      </c>
      <c r="AJ89" s="391">
        <f t="shared" si="3"/>
        <v>0</v>
      </c>
      <c r="AK89" s="391">
        <f t="shared" si="3"/>
        <v>0</v>
      </c>
      <c r="AL89" s="391">
        <f t="shared" si="3"/>
        <v>0</v>
      </c>
      <c r="AM89" s="391">
        <f t="shared" si="3"/>
        <v>0</v>
      </c>
      <c r="AN89" s="391">
        <f t="shared" si="3"/>
        <v>0</v>
      </c>
      <c r="AO89" s="391">
        <f t="shared" si="3"/>
        <v>0</v>
      </c>
    </row>
    <row r="90" spans="3:43" x14ac:dyDescent="0.25">
      <c r="D90" s="293"/>
      <c r="E90" s="86"/>
      <c r="F90" s="93" t="s">
        <v>257</v>
      </c>
      <c r="G90" s="93" t="s">
        <v>94</v>
      </c>
      <c r="H90" s="115"/>
      <c r="I90" s="93"/>
      <c r="J90" s="181">
        <f t="shared" si="3"/>
        <v>0.53678178408311983</v>
      </c>
      <c r="K90" s="181">
        <f t="shared" si="3"/>
        <v>0.53678178408311983</v>
      </c>
      <c r="L90" s="181">
        <f t="shared" si="3"/>
        <v>0.53678178408311983</v>
      </c>
      <c r="M90" s="181">
        <f t="shared" si="3"/>
        <v>0.53678178408311983</v>
      </c>
      <c r="N90" s="181">
        <f t="shared" si="3"/>
        <v>0.53678178408311983</v>
      </c>
      <c r="O90" s="181">
        <f t="shared" si="3"/>
        <v>0.53678178408311983</v>
      </c>
      <c r="P90" s="181">
        <f t="shared" si="3"/>
        <v>0.53678178408311983</v>
      </c>
      <c r="Q90" s="181">
        <f t="shared" si="3"/>
        <v>0.53678178408311983</v>
      </c>
      <c r="R90" s="181">
        <f t="shared" si="3"/>
        <v>0.53678178408311983</v>
      </c>
      <c r="S90" s="181">
        <f t="shared" si="3"/>
        <v>0.53678178408311983</v>
      </c>
      <c r="T90" s="181">
        <f t="shared" si="3"/>
        <v>0.53678178408311983</v>
      </c>
      <c r="U90" s="181">
        <f t="shared" si="3"/>
        <v>0.53678178408311983</v>
      </c>
      <c r="V90" s="181">
        <f t="shared" si="3"/>
        <v>0.53678178408311983</v>
      </c>
      <c r="W90" s="181">
        <f t="shared" si="3"/>
        <v>0.26008027391458188</v>
      </c>
      <c r="X90" s="181">
        <f t="shared" si="3"/>
        <v>0.26008027391458188</v>
      </c>
      <c r="Y90" s="181">
        <f t="shared" si="3"/>
        <v>0.26008027391458188</v>
      </c>
      <c r="Z90" s="181">
        <f t="shared" si="3"/>
        <v>0.26008027391458188</v>
      </c>
      <c r="AA90" s="181">
        <f t="shared" si="3"/>
        <v>0.26008027391458188</v>
      </c>
      <c r="AB90" s="181">
        <f t="shared" si="3"/>
        <v>0.15233473843264977</v>
      </c>
      <c r="AC90" s="181">
        <f t="shared" si="3"/>
        <v>0.15233473843264977</v>
      </c>
      <c r="AD90" s="181">
        <f t="shared" si="3"/>
        <v>0.15233473843264977</v>
      </c>
      <c r="AE90" s="181">
        <f t="shared" si="3"/>
        <v>0.15233473843264977</v>
      </c>
      <c r="AF90" s="181">
        <f t="shared" si="3"/>
        <v>0.15233473843264977</v>
      </c>
      <c r="AG90" s="181">
        <f t="shared" si="3"/>
        <v>0.53678178408311983</v>
      </c>
      <c r="AH90" s="181">
        <f t="shared" si="3"/>
        <v>0</v>
      </c>
      <c r="AI90" s="181">
        <f t="shared" si="3"/>
        <v>0</v>
      </c>
      <c r="AJ90" s="181">
        <f t="shared" si="3"/>
        <v>0</v>
      </c>
      <c r="AK90" s="181">
        <f t="shared" si="3"/>
        <v>0</v>
      </c>
      <c r="AL90" s="181">
        <f t="shared" si="3"/>
        <v>0</v>
      </c>
      <c r="AM90" s="181">
        <f t="shared" si="3"/>
        <v>0</v>
      </c>
      <c r="AN90" s="181">
        <f t="shared" si="3"/>
        <v>0</v>
      </c>
      <c r="AO90" s="181">
        <f t="shared" si="3"/>
        <v>0</v>
      </c>
    </row>
    <row r="91" spans="3:43" x14ac:dyDescent="0.25">
      <c r="D91" s="86"/>
      <c r="E91" s="293"/>
    </row>
    <row r="92" spans="3:43" x14ac:dyDescent="0.25">
      <c r="C92" s="7" t="str">
        <f ca="1">INDEX('Version control'!$H$35:$H$61,MATCH($A$1,'Version control'!$F$35:$F$61,0),1)&amp;"-E: Decimal places for rounding"</f>
        <v>Section 520-E: Decimal places for rounding</v>
      </c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  <c r="AA92" s="7"/>
      <c r="AB92" s="7"/>
      <c r="AC92" s="7"/>
      <c r="AD92" s="7"/>
      <c r="AE92" s="7"/>
      <c r="AF92" s="7"/>
      <c r="AG92" s="7"/>
      <c r="AH92" s="7"/>
      <c r="AI92" s="7"/>
      <c r="AJ92" s="7"/>
      <c r="AK92" s="7"/>
      <c r="AL92" s="7"/>
      <c r="AM92" s="7"/>
      <c r="AN92" s="7"/>
      <c r="AO92" s="7"/>
      <c r="AP92" s="7"/>
      <c r="AQ92" s="7"/>
    </row>
    <row r="94" spans="3:43" x14ac:dyDescent="0.25">
      <c r="E94" s="96" t="s">
        <v>260</v>
      </c>
      <c r="I94" s="293" t="s">
        <v>359</v>
      </c>
      <c r="AQ94" s="293" t="s">
        <v>699</v>
      </c>
    </row>
    <row r="95" spans="3:43" x14ac:dyDescent="0.25">
      <c r="C95" s="86"/>
      <c r="F95" s="91" t="s">
        <v>134</v>
      </c>
      <c r="G95" s="91" t="s">
        <v>426</v>
      </c>
      <c r="H95" s="141">
        <f>'Fixed inputs'!H25</f>
        <v>3</v>
      </c>
    </row>
    <row r="96" spans="3:43" x14ac:dyDescent="0.25">
      <c r="C96" s="86"/>
      <c r="F96" s="293" t="s">
        <v>135</v>
      </c>
      <c r="G96" s="293" t="s">
        <v>426</v>
      </c>
      <c r="H96" s="380">
        <f>'Fixed inputs'!H26</f>
        <v>3</v>
      </c>
    </row>
    <row r="97" spans="2:43" x14ac:dyDescent="0.25">
      <c r="C97" s="86"/>
      <c r="F97" s="293" t="s">
        <v>136</v>
      </c>
      <c r="G97" s="293" t="s">
        <v>426</v>
      </c>
      <c r="H97" s="380">
        <f>'Fixed inputs'!H27</f>
        <v>3</v>
      </c>
    </row>
    <row r="98" spans="2:43" x14ac:dyDescent="0.25">
      <c r="C98" s="86"/>
      <c r="F98" s="293" t="s">
        <v>254</v>
      </c>
      <c r="G98" s="293" t="s">
        <v>426</v>
      </c>
      <c r="H98" s="380">
        <f>'Fixed inputs'!H28</f>
        <v>2</v>
      </c>
    </row>
    <row r="99" spans="2:43" x14ac:dyDescent="0.25">
      <c r="C99" s="86"/>
      <c r="F99" s="293" t="s">
        <v>255</v>
      </c>
      <c r="G99" s="293" t="s">
        <v>426</v>
      </c>
      <c r="H99" s="380">
        <f>'Fixed inputs'!H29</f>
        <v>2</v>
      </c>
    </row>
    <row r="100" spans="2:43" x14ac:dyDescent="0.25">
      <c r="C100" s="86"/>
      <c r="F100" s="293" t="s">
        <v>256</v>
      </c>
      <c r="G100" s="293" t="s">
        <v>426</v>
      </c>
      <c r="H100" s="380">
        <f>'Fixed inputs'!H30</f>
        <v>2</v>
      </c>
    </row>
    <row r="101" spans="2:43" x14ac:dyDescent="0.25">
      <c r="C101" s="86"/>
      <c r="F101" s="93" t="s">
        <v>257</v>
      </c>
      <c r="G101" s="93" t="s">
        <v>426</v>
      </c>
      <c r="H101" s="115">
        <f>'Fixed inputs'!H31</f>
        <v>3</v>
      </c>
    </row>
    <row r="102" spans="2:43" x14ac:dyDescent="0.25">
      <c r="C102" s="86"/>
    </row>
    <row r="103" spans="2:43" x14ac:dyDescent="0.25">
      <c r="B103" s="95" t="s">
        <v>770</v>
      </c>
      <c r="C103" s="95"/>
      <c r="D103" s="95"/>
      <c r="E103" s="95"/>
      <c r="F103" s="95"/>
      <c r="G103" s="95"/>
      <c r="H103" s="95"/>
      <c r="I103" s="95"/>
      <c r="J103" s="95"/>
      <c r="K103" s="95"/>
      <c r="L103" s="95"/>
      <c r="M103" s="95"/>
      <c r="N103" s="95"/>
      <c r="O103" s="95"/>
      <c r="P103" s="95"/>
      <c r="Q103" s="95"/>
      <c r="R103" s="95"/>
      <c r="S103" s="95"/>
      <c r="T103" s="95"/>
      <c r="U103" s="95"/>
      <c r="V103" s="95"/>
      <c r="W103" s="95"/>
      <c r="X103" s="95"/>
      <c r="Y103" s="95"/>
      <c r="Z103" s="95"/>
      <c r="AA103" s="95"/>
      <c r="AB103" s="95"/>
      <c r="AC103" s="95"/>
      <c r="AD103" s="95"/>
      <c r="AE103" s="95"/>
      <c r="AF103" s="95"/>
      <c r="AG103" s="95"/>
      <c r="AH103" s="95"/>
      <c r="AI103" s="95"/>
      <c r="AJ103" s="95"/>
      <c r="AK103" s="95"/>
      <c r="AL103" s="95"/>
      <c r="AM103" s="95"/>
      <c r="AN103" s="95"/>
      <c r="AO103" s="95"/>
      <c r="AP103" s="95"/>
      <c r="AQ103" s="95"/>
    </row>
    <row r="105" spans="2:43" x14ac:dyDescent="0.25">
      <c r="C105" s="82" t="s">
        <v>771</v>
      </c>
    </row>
    <row r="107" spans="2:43" x14ac:dyDescent="0.25">
      <c r="C107" s="7" t="str">
        <f ca="1">INDEX('Version control'!$H$35:$H$61,MATCH($A$1,'Version control'!$F$35:$F$61,0),1)&amp;"-F: Tariff forecast, post-revenue matching"</f>
        <v>Section 520-F: Tariff forecast, post-revenue matching</v>
      </c>
      <c r="D107" s="7"/>
      <c r="E107" s="7"/>
      <c r="F107" s="7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/>
      <c r="AQ107" s="7"/>
    </row>
    <row r="109" spans="2:43" x14ac:dyDescent="0.25">
      <c r="D109" s="293"/>
      <c r="E109" s="96" t="s">
        <v>772</v>
      </c>
      <c r="F109" s="96"/>
    </row>
    <row r="110" spans="2:43" x14ac:dyDescent="0.25">
      <c r="D110" s="293"/>
      <c r="E110" s="86"/>
      <c r="F110" s="91" t="s">
        <v>134</v>
      </c>
      <c r="G110" s="91" t="s">
        <v>183</v>
      </c>
      <c r="H110" s="358"/>
      <c r="I110" s="347"/>
      <c r="J110" s="360">
        <f xml:space="preserve"> J20 + J32</f>
        <v>8.5989408053984455</v>
      </c>
      <c r="K110" s="360">
        <f t="shared" ref="K110:AO116" si="4" xml:space="preserve"> K20 + K32</f>
        <v>8.5989408053984455</v>
      </c>
      <c r="L110" s="360">
        <f t="shared" si="4"/>
        <v>7.5789555486440312</v>
      </c>
      <c r="M110" s="360">
        <f t="shared" si="4"/>
        <v>7.5789555486440312</v>
      </c>
      <c r="N110" s="360">
        <f t="shared" si="4"/>
        <v>7.5789555486440312</v>
      </c>
      <c r="O110" s="360">
        <f t="shared" si="4"/>
        <v>7.5789555486440312</v>
      </c>
      <c r="P110" s="360">
        <f t="shared" si="4"/>
        <v>7.5789555486440312</v>
      </c>
      <c r="Q110" s="360">
        <f t="shared" si="4"/>
        <v>7.5789555486440312</v>
      </c>
      <c r="R110" s="360">
        <f t="shared" si="4"/>
        <v>5.9204564495108425</v>
      </c>
      <c r="S110" s="360">
        <f t="shared" si="4"/>
        <v>5.9204564495108425</v>
      </c>
      <c r="T110" s="360">
        <f t="shared" si="4"/>
        <v>5.9204564495108425</v>
      </c>
      <c r="U110" s="360">
        <f t="shared" si="4"/>
        <v>5.9204564495108425</v>
      </c>
      <c r="V110" s="360">
        <f t="shared" si="4"/>
        <v>5.9204564495108425</v>
      </c>
      <c r="W110" s="360">
        <f t="shared" si="4"/>
        <v>3.9038218301509833</v>
      </c>
      <c r="X110" s="360">
        <f t="shared" si="4"/>
        <v>3.9038218301509833</v>
      </c>
      <c r="Y110" s="360">
        <f t="shared" si="4"/>
        <v>3.9038218301509833</v>
      </c>
      <c r="Z110" s="360">
        <f t="shared" si="4"/>
        <v>3.9038218301509833</v>
      </c>
      <c r="AA110" s="360">
        <f t="shared" si="4"/>
        <v>3.9038218301509833</v>
      </c>
      <c r="AB110" s="360">
        <f t="shared" si="4"/>
        <v>3.1819974844838343</v>
      </c>
      <c r="AC110" s="360">
        <f t="shared" si="4"/>
        <v>3.1819974844838343</v>
      </c>
      <c r="AD110" s="360">
        <f t="shared" si="4"/>
        <v>3.1819974844838343</v>
      </c>
      <c r="AE110" s="360">
        <f t="shared" si="4"/>
        <v>3.1819974844838343</v>
      </c>
      <c r="AF110" s="360">
        <f t="shared" si="4"/>
        <v>3.1819974844838343</v>
      </c>
      <c r="AG110" s="360">
        <f t="shared" si="4"/>
        <v>19.634569026069766</v>
      </c>
      <c r="AH110" s="360">
        <f t="shared" si="4"/>
        <v>-5.8360481944946567</v>
      </c>
      <c r="AI110" s="360">
        <f t="shared" si="4"/>
        <v>-5.2137444437929998</v>
      </c>
      <c r="AJ110" s="360">
        <f t="shared" si="4"/>
        <v>-5.8360481944946567</v>
      </c>
      <c r="AK110" s="360">
        <f t="shared" si="4"/>
        <v>-5.8360481944946567</v>
      </c>
      <c r="AL110" s="360">
        <f t="shared" si="4"/>
        <v>-5.2137444437929998</v>
      </c>
      <c r="AM110" s="360">
        <f t="shared" si="4"/>
        <v>-5.2137444437929998</v>
      </c>
      <c r="AN110" s="360">
        <f t="shared" si="4"/>
        <v>-4.0256541373289458</v>
      </c>
      <c r="AO110" s="360">
        <f t="shared" si="4"/>
        <v>-4.0256541373289458</v>
      </c>
      <c r="AP110" s="349"/>
      <c r="AQ110" s="349"/>
    </row>
    <row r="111" spans="2:43" x14ac:dyDescent="0.25">
      <c r="D111" s="293"/>
      <c r="E111" s="86"/>
      <c r="F111" s="293" t="s">
        <v>135</v>
      </c>
      <c r="G111" s="293" t="s">
        <v>183</v>
      </c>
      <c r="H111" s="416"/>
      <c r="I111" s="349"/>
      <c r="J111" s="417">
        <f t="shared" ref="J111:J116" si="5" xml:space="preserve"> J21 + J33</f>
        <v>1.1153673022347455</v>
      </c>
      <c r="K111" s="417">
        <f t="shared" si="4"/>
        <v>1.1153673022347455</v>
      </c>
      <c r="L111" s="417">
        <f t="shared" si="4"/>
        <v>0.98306516992664039</v>
      </c>
      <c r="M111" s="417">
        <f t="shared" si="4"/>
        <v>0.98306516992664039</v>
      </c>
      <c r="N111" s="417">
        <f t="shared" si="4"/>
        <v>0.98306516992664039</v>
      </c>
      <c r="O111" s="417">
        <f t="shared" si="4"/>
        <v>0.98306516992664039</v>
      </c>
      <c r="P111" s="417">
        <f t="shared" si="4"/>
        <v>0.98306516992664039</v>
      </c>
      <c r="Q111" s="417">
        <f t="shared" si="4"/>
        <v>0.98306516992664039</v>
      </c>
      <c r="R111" s="417">
        <f t="shared" si="4"/>
        <v>0.66178237649677973</v>
      </c>
      <c r="S111" s="417">
        <f t="shared" si="4"/>
        <v>0.66178237649677973</v>
      </c>
      <c r="T111" s="417">
        <f t="shared" si="4"/>
        <v>0.66178237649677973</v>
      </c>
      <c r="U111" s="417">
        <f t="shared" si="4"/>
        <v>0.66178237649677973</v>
      </c>
      <c r="V111" s="417">
        <f t="shared" si="4"/>
        <v>0.66178237649677973</v>
      </c>
      <c r="W111" s="417">
        <f t="shared" si="4"/>
        <v>0.2984634805719768</v>
      </c>
      <c r="X111" s="417">
        <f t="shared" si="4"/>
        <v>0.2984634805719768</v>
      </c>
      <c r="Y111" s="417">
        <f t="shared" si="4"/>
        <v>0.2984634805719768</v>
      </c>
      <c r="Z111" s="417">
        <f t="shared" si="4"/>
        <v>0.2984634805719768</v>
      </c>
      <c r="AA111" s="417">
        <f t="shared" si="4"/>
        <v>0.2984634805719768</v>
      </c>
      <c r="AB111" s="417">
        <f t="shared" si="4"/>
        <v>0.21573751303447605</v>
      </c>
      <c r="AC111" s="417">
        <f t="shared" si="4"/>
        <v>0.21573751303447605</v>
      </c>
      <c r="AD111" s="417">
        <f t="shared" si="4"/>
        <v>0.21573751303447605</v>
      </c>
      <c r="AE111" s="417">
        <f t="shared" si="4"/>
        <v>0.21573751303447605</v>
      </c>
      <c r="AF111" s="417">
        <f t="shared" si="4"/>
        <v>0.21573751303447605</v>
      </c>
      <c r="AG111" s="417">
        <f t="shared" si="4"/>
        <v>3.5799207903654509</v>
      </c>
      <c r="AH111" s="417">
        <f t="shared" si="4"/>
        <v>-0.75699292246771566</v>
      </c>
      <c r="AI111" s="417">
        <f t="shared" si="4"/>
        <v>-0.61914773795816491</v>
      </c>
      <c r="AJ111" s="417">
        <f t="shared" si="4"/>
        <v>-0.75699292246771566</v>
      </c>
      <c r="AK111" s="417">
        <f t="shared" si="4"/>
        <v>-0.75699292246771566</v>
      </c>
      <c r="AL111" s="417">
        <f t="shared" si="4"/>
        <v>-0.61914773795816491</v>
      </c>
      <c r="AM111" s="417">
        <f t="shared" si="4"/>
        <v>-0.61914773795816491</v>
      </c>
      <c r="AN111" s="417">
        <f t="shared" si="4"/>
        <v>-0.30677292562270519</v>
      </c>
      <c r="AO111" s="417">
        <f t="shared" si="4"/>
        <v>-0.30677292562270519</v>
      </c>
      <c r="AP111" s="349"/>
      <c r="AQ111" s="349"/>
    </row>
    <row r="112" spans="2:43" x14ac:dyDescent="0.25">
      <c r="D112" s="293"/>
      <c r="E112" s="86"/>
      <c r="F112" s="293" t="s">
        <v>136</v>
      </c>
      <c r="G112" s="293" t="s">
        <v>183</v>
      </c>
      <c r="H112" s="416"/>
      <c r="I112" s="349"/>
      <c r="J112" s="417">
        <f t="shared" si="5"/>
        <v>5.4036633774757072E-2</v>
      </c>
      <c r="K112" s="417">
        <f t="shared" si="4"/>
        <v>5.4036633774757072E-2</v>
      </c>
      <c r="L112" s="417">
        <f t="shared" si="4"/>
        <v>4.7626940880919788E-2</v>
      </c>
      <c r="M112" s="417">
        <f t="shared" si="4"/>
        <v>4.7626940880919788E-2</v>
      </c>
      <c r="N112" s="417">
        <f t="shared" si="4"/>
        <v>4.7626940880919788E-2</v>
      </c>
      <c r="O112" s="417">
        <f t="shared" si="4"/>
        <v>4.7626940880919788E-2</v>
      </c>
      <c r="P112" s="417">
        <f t="shared" si="4"/>
        <v>4.7626940880919788E-2</v>
      </c>
      <c r="Q112" s="417">
        <f t="shared" si="4"/>
        <v>4.7626940880919788E-2</v>
      </c>
      <c r="R112" s="417">
        <f t="shared" si="4"/>
        <v>3.1035197909388225E-2</v>
      </c>
      <c r="S112" s="417">
        <f t="shared" si="4"/>
        <v>3.1035197909388225E-2</v>
      </c>
      <c r="T112" s="417">
        <f t="shared" si="4"/>
        <v>3.1035197909388225E-2</v>
      </c>
      <c r="U112" s="417">
        <f t="shared" si="4"/>
        <v>3.1035197909388225E-2</v>
      </c>
      <c r="V112" s="417">
        <f t="shared" si="4"/>
        <v>3.1035197909388225E-2</v>
      </c>
      <c r="W112" s="417">
        <f t="shared" si="4"/>
        <v>1.2449628384906991E-2</v>
      </c>
      <c r="X112" s="417">
        <f t="shared" si="4"/>
        <v>1.2449628384906991E-2</v>
      </c>
      <c r="Y112" s="417">
        <f t="shared" si="4"/>
        <v>1.2449628384906991E-2</v>
      </c>
      <c r="Z112" s="417">
        <f t="shared" si="4"/>
        <v>1.2449628384906991E-2</v>
      </c>
      <c r="AA112" s="417">
        <f t="shared" si="4"/>
        <v>1.2449628384906991E-2</v>
      </c>
      <c r="AB112" s="417">
        <f t="shared" si="4"/>
        <v>8.8557083461529313E-3</v>
      </c>
      <c r="AC112" s="417">
        <f t="shared" si="4"/>
        <v>8.8557083461529313E-3</v>
      </c>
      <c r="AD112" s="417">
        <f t="shared" si="4"/>
        <v>8.8557083461529313E-3</v>
      </c>
      <c r="AE112" s="417">
        <f t="shared" si="4"/>
        <v>8.8557083461529313E-3</v>
      </c>
      <c r="AF112" s="417">
        <f t="shared" si="4"/>
        <v>8.8557083461529313E-3</v>
      </c>
      <c r="AG112" s="417">
        <f t="shared" si="4"/>
        <v>2.7380741345961126</v>
      </c>
      <c r="AH112" s="417">
        <f t="shared" si="4"/>
        <v>-3.6674330724518492E-2</v>
      </c>
      <c r="AI112" s="417">
        <f t="shared" si="4"/>
        <v>-2.9443749546248729E-2</v>
      </c>
      <c r="AJ112" s="417">
        <f t="shared" si="4"/>
        <v>-3.6674330724518492E-2</v>
      </c>
      <c r="AK112" s="417">
        <f t="shared" si="4"/>
        <v>-3.6674330724518492E-2</v>
      </c>
      <c r="AL112" s="417">
        <f t="shared" si="4"/>
        <v>-2.9443749546248729E-2</v>
      </c>
      <c r="AM112" s="417">
        <f t="shared" si="4"/>
        <v>-2.9443749546248729E-2</v>
      </c>
      <c r="AN112" s="417">
        <f t="shared" si="4"/>
        <v>-1.2791007958297398E-2</v>
      </c>
      <c r="AO112" s="417">
        <f t="shared" si="4"/>
        <v>-1.2791007958297398E-2</v>
      </c>
      <c r="AP112" s="349"/>
      <c r="AQ112" s="349"/>
    </row>
    <row r="113" spans="3:43" x14ac:dyDescent="0.25">
      <c r="D113" s="293"/>
      <c r="E113" s="86"/>
      <c r="F113" s="293" t="s">
        <v>254</v>
      </c>
      <c r="G113" s="293" t="s">
        <v>252</v>
      </c>
      <c r="H113" s="380"/>
      <c r="J113" s="275">
        <f t="shared" si="5"/>
        <v>10.421022558776745</v>
      </c>
      <c r="K113" s="275">
        <f t="shared" si="4"/>
        <v>0</v>
      </c>
      <c r="L113" s="275">
        <f t="shared" si="4"/>
        <v>7.9896450085368196</v>
      </c>
      <c r="M113" s="275">
        <f t="shared" si="4"/>
        <v>11.212712207660616</v>
      </c>
      <c r="N113" s="275">
        <f t="shared" si="4"/>
        <v>18.576995571524002</v>
      </c>
      <c r="O113" s="275">
        <f t="shared" si="4"/>
        <v>31.985291948291628</v>
      </c>
      <c r="P113" s="275">
        <f t="shared" si="4"/>
        <v>73.274771636004886</v>
      </c>
      <c r="Q113" s="275">
        <f t="shared" si="4"/>
        <v>0</v>
      </c>
      <c r="R113" s="275">
        <f t="shared" si="4"/>
        <v>17.100837763983357</v>
      </c>
      <c r="S113" s="275">
        <f t="shared" si="4"/>
        <v>136.87802281391626</v>
      </c>
      <c r="T113" s="275">
        <f t="shared" si="4"/>
        <v>239.73888981999673</v>
      </c>
      <c r="U113" s="275">
        <f t="shared" si="4"/>
        <v>361.65100286438047</v>
      </c>
      <c r="V113" s="275">
        <f t="shared" si="4"/>
        <v>898.17057486722683</v>
      </c>
      <c r="W113" s="275">
        <f t="shared" si="4"/>
        <v>40.100013861515436</v>
      </c>
      <c r="X113" s="275">
        <f t="shared" si="4"/>
        <v>159.87719891144832</v>
      </c>
      <c r="Y113" s="275">
        <f t="shared" si="4"/>
        <v>262.73806591752884</v>
      </c>
      <c r="Z113" s="275">
        <f t="shared" si="4"/>
        <v>384.65017896191256</v>
      </c>
      <c r="AA113" s="275">
        <f t="shared" si="4"/>
        <v>921.16975096475892</v>
      </c>
      <c r="AB113" s="275">
        <f t="shared" si="4"/>
        <v>174.18069137616291</v>
      </c>
      <c r="AC113" s="275">
        <f t="shared" si="4"/>
        <v>908.52938660145708</v>
      </c>
      <c r="AD113" s="275">
        <f t="shared" si="4"/>
        <v>2316.7405400267517</v>
      </c>
      <c r="AE113" s="275">
        <f t="shared" si="4"/>
        <v>4106.7851834837338</v>
      </c>
      <c r="AF113" s="275">
        <f t="shared" si="4"/>
        <v>10505.625143489371</v>
      </c>
      <c r="AG113" s="275">
        <f t="shared" si="4"/>
        <v>0</v>
      </c>
      <c r="AH113" s="275">
        <f t="shared" si="4"/>
        <v>0</v>
      </c>
      <c r="AI113" s="275">
        <f t="shared" si="4"/>
        <v>0</v>
      </c>
      <c r="AJ113" s="275">
        <f t="shared" si="4"/>
        <v>0</v>
      </c>
      <c r="AK113" s="275">
        <f t="shared" si="4"/>
        <v>0</v>
      </c>
      <c r="AL113" s="275">
        <f t="shared" si="4"/>
        <v>0</v>
      </c>
      <c r="AM113" s="275">
        <f t="shared" si="4"/>
        <v>0</v>
      </c>
      <c r="AN113" s="275">
        <f t="shared" si="4"/>
        <v>348.54955153486407</v>
      </c>
      <c r="AO113" s="275">
        <f t="shared" si="4"/>
        <v>348.54955153486407</v>
      </c>
    </row>
    <row r="114" spans="3:43" x14ac:dyDescent="0.25">
      <c r="D114" s="293"/>
      <c r="E114" s="86"/>
      <c r="F114" s="293" t="s">
        <v>255</v>
      </c>
      <c r="G114" s="293" t="s">
        <v>251</v>
      </c>
      <c r="H114" s="380"/>
      <c r="J114" s="275">
        <f t="shared" si="5"/>
        <v>0</v>
      </c>
      <c r="K114" s="275">
        <f t="shared" si="4"/>
        <v>0</v>
      </c>
      <c r="L114" s="275">
        <f t="shared" si="4"/>
        <v>0</v>
      </c>
      <c r="M114" s="275">
        <f t="shared" si="4"/>
        <v>0</v>
      </c>
      <c r="N114" s="275">
        <f t="shared" si="4"/>
        <v>0</v>
      </c>
      <c r="O114" s="275">
        <f t="shared" si="4"/>
        <v>0</v>
      </c>
      <c r="P114" s="275">
        <f t="shared" si="4"/>
        <v>0</v>
      </c>
      <c r="Q114" s="275">
        <f t="shared" si="4"/>
        <v>0</v>
      </c>
      <c r="R114" s="275">
        <f t="shared" si="4"/>
        <v>3.6596972672004675</v>
      </c>
      <c r="S114" s="275">
        <f t="shared" si="4"/>
        <v>3.6596972672004675</v>
      </c>
      <c r="T114" s="275">
        <f t="shared" si="4"/>
        <v>3.6596972672004675</v>
      </c>
      <c r="U114" s="275">
        <f t="shared" si="4"/>
        <v>3.6596972672004675</v>
      </c>
      <c r="V114" s="275">
        <f t="shared" si="4"/>
        <v>3.6596972672004675</v>
      </c>
      <c r="W114" s="275">
        <f t="shared" si="4"/>
        <v>4.9214500674876485</v>
      </c>
      <c r="X114" s="275">
        <f t="shared" si="4"/>
        <v>4.9214500674876485</v>
      </c>
      <c r="Y114" s="275">
        <f t="shared" si="4"/>
        <v>4.9214500674876485</v>
      </c>
      <c r="Z114" s="275">
        <f t="shared" si="4"/>
        <v>4.9214500674876485</v>
      </c>
      <c r="AA114" s="275">
        <f t="shared" si="4"/>
        <v>4.9214500674876485</v>
      </c>
      <c r="AB114" s="275">
        <f t="shared" si="4"/>
        <v>5.8732158802325856</v>
      </c>
      <c r="AC114" s="275">
        <f t="shared" si="4"/>
        <v>5.8732158802325856</v>
      </c>
      <c r="AD114" s="275">
        <f t="shared" si="4"/>
        <v>5.8732158802325856</v>
      </c>
      <c r="AE114" s="275">
        <f t="shared" si="4"/>
        <v>5.8732158802325856</v>
      </c>
      <c r="AF114" s="275">
        <f t="shared" si="4"/>
        <v>5.8732158802325856</v>
      </c>
      <c r="AG114" s="275">
        <f t="shared" si="4"/>
        <v>0</v>
      </c>
      <c r="AH114" s="275">
        <f t="shared" si="4"/>
        <v>0</v>
      </c>
      <c r="AI114" s="275">
        <f t="shared" si="4"/>
        <v>0</v>
      </c>
      <c r="AJ114" s="275">
        <f t="shared" si="4"/>
        <v>0</v>
      </c>
      <c r="AK114" s="275">
        <f t="shared" si="4"/>
        <v>0</v>
      </c>
      <c r="AL114" s="275">
        <f t="shared" si="4"/>
        <v>0</v>
      </c>
      <c r="AM114" s="275">
        <f t="shared" si="4"/>
        <v>0</v>
      </c>
      <c r="AN114" s="275">
        <f t="shared" si="4"/>
        <v>0</v>
      </c>
      <c r="AO114" s="275">
        <f t="shared" si="4"/>
        <v>0</v>
      </c>
    </row>
    <row r="115" spans="3:43" x14ac:dyDescent="0.25">
      <c r="D115" s="293"/>
      <c r="E115" s="86"/>
      <c r="F115" s="293" t="s">
        <v>256</v>
      </c>
      <c r="G115" s="293" t="s">
        <v>251</v>
      </c>
      <c r="H115" s="380"/>
      <c r="J115" s="275">
        <f t="shared" si="5"/>
        <v>0</v>
      </c>
      <c r="K115" s="275">
        <f t="shared" si="4"/>
        <v>0</v>
      </c>
      <c r="L115" s="275">
        <f t="shared" si="4"/>
        <v>0</v>
      </c>
      <c r="M115" s="275">
        <f t="shared" si="4"/>
        <v>0</v>
      </c>
      <c r="N115" s="275">
        <f t="shared" si="4"/>
        <v>0</v>
      </c>
      <c r="O115" s="275">
        <f t="shared" si="4"/>
        <v>0</v>
      </c>
      <c r="P115" s="275">
        <f t="shared" si="4"/>
        <v>0</v>
      </c>
      <c r="Q115" s="275">
        <f t="shared" si="4"/>
        <v>0</v>
      </c>
      <c r="R115" s="275">
        <f t="shared" si="4"/>
        <v>6.8377600807265617</v>
      </c>
      <c r="S115" s="275">
        <f t="shared" si="4"/>
        <v>6.8377600807265617</v>
      </c>
      <c r="T115" s="275">
        <f t="shared" si="4"/>
        <v>6.8377600807265617</v>
      </c>
      <c r="U115" s="275">
        <f t="shared" si="4"/>
        <v>6.8377600807265617</v>
      </c>
      <c r="V115" s="275">
        <f t="shared" si="4"/>
        <v>6.8377600807265617</v>
      </c>
      <c r="W115" s="275">
        <f t="shared" si="4"/>
        <v>6.4250662718968972</v>
      </c>
      <c r="X115" s="275">
        <f t="shared" si="4"/>
        <v>6.4250662718968972</v>
      </c>
      <c r="Y115" s="275">
        <f t="shared" si="4"/>
        <v>6.4250662718968972</v>
      </c>
      <c r="Z115" s="275">
        <f t="shared" si="4"/>
        <v>6.4250662718968972</v>
      </c>
      <c r="AA115" s="275">
        <f t="shared" si="4"/>
        <v>6.4250662718968972</v>
      </c>
      <c r="AB115" s="275">
        <f t="shared" si="4"/>
        <v>7.0962072937622995</v>
      </c>
      <c r="AC115" s="275">
        <f t="shared" si="4"/>
        <v>7.0962072937622995</v>
      </c>
      <c r="AD115" s="275">
        <f t="shared" si="4"/>
        <v>7.0962072937622995</v>
      </c>
      <c r="AE115" s="275">
        <f t="shared" si="4"/>
        <v>7.0962072937622995</v>
      </c>
      <c r="AF115" s="275">
        <f t="shared" si="4"/>
        <v>7.0962072937622995</v>
      </c>
      <c r="AG115" s="275">
        <f t="shared" si="4"/>
        <v>0</v>
      </c>
      <c r="AH115" s="275">
        <f t="shared" si="4"/>
        <v>0</v>
      </c>
      <c r="AI115" s="275">
        <f t="shared" si="4"/>
        <v>0</v>
      </c>
      <c r="AJ115" s="275">
        <f t="shared" si="4"/>
        <v>0</v>
      </c>
      <c r="AK115" s="275">
        <f t="shared" si="4"/>
        <v>0</v>
      </c>
      <c r="AL115" s="275">
        <f t="shared" si="4"/>
        <v>0</v>
      </c>
      <c r="AM115" s="275">
        <f t="shared" si="4"/>
        <v>0</v>
      </c>
      <c r="AN115" s="275">
        <f t="shared" si="4"/>
        <v>0</v>
      </c>
      <c r="AO115" s="275">
        <f t="shared" si="4"/>
        <v>0</v>
      </c>
    </row>
    <row r="116" spans="3:43" x14ac:dyDescent="0.25">
      <c r="D116" s="293"/>
      <c r="E116" s="86"/>
      <c r="F116" s="93" t="s">
        <v>257</v>
      </c>
      <c r="G116" s="93" t="s">
        <v>258</v>
      </c>
      <c r="H116" s="361"/>
      <c r="I116" s="351"/>
      <c r="J116" s="362">
        <f t="shared" si="5"/>
        <v>0</v>
      </c>
      <c r="K116" s="362">
        <f t="shared" si="4"/>
        <v>0</v>
      </c>
      <c r="L116" s="362">
        <f t="shared" si="4"/>
        <v>0</v>
      </c>
      <c r="M116" s="362">
        <f t="shared" si="4"/>
        <v>0</v>
      </c>
      <c r="N116" s="362">
        <f t="shared" si="4"/>
        <v>0</v>
      </c>
      <c r="O116" s="362">
        <f t="shared" si="4"/>
        <v>0</v>
      </c>
      <c r="P116" s="362">
        <f t="shared" si="4"/>
        <v>0</v>
      </c>
      <c r="Q116" s="362">
        <f t="shared" si="4"/>
        <v>0</v>
      </c>
      <c r="R116" s="362">
        <f t="shared" si="4"/>
        <v>0.22036731235800763</v>
      </c>
      <c r="S116" s="362">
        <f t="shared" si="4"/>
        <v>0.22036731235800763</v>
      </c>
      <c r="T116" s="362">
        <f t="shared" si="4"/>
        <v>0.22036731235800763</v>
      </c>
      <c r="U116" s="362">
        <f t="shared" si="4"/>
        <v>0.22036731235800763</v>
      </c>
      <c r="V116" s="362">
        <f t="shared" si="4"/>
        <v>0.22036731235800763</v>
      </c>
      <c r="W116" s="362">
        <f t="shared" si="4"/>
        <v>0.12269322893536748</v>
      </c>
      <c r="X116" s="362">
        <f t="shared" si="4"/>
        <v>0.12269322893536748</v>
      </c>
      <c r="Y116" s="362">
        <f t="shared" si="4"/>
        <v>0.12269322893536748</v>
      </c>
      <c r="Z116" s="362">
        <f t="shared" si="4"/>
        <v>0.12269322893536748</v>
      </c>
      <c r="AA116" s="362">
        <f t="shared" si="4"/>
        <v>0.12269322893536748</v>
      </c>
      <c r="AB116" s="362">
        <f t="shared" si="4"/>
        <v>9.3090604229866633E-2</v>
      </c>
      <c r="AC116" s="362">
        <f t="shared" si="4"/>
        <v>9.3090604229866633E-2</v>
      </c>
      <c r="AD116" s="362">
        <f t="shared" si="4"/>
        <v>9.3090604229866633E-2</v>
      </c>
      <c r="AE116" s="362">
        <f t="shared" si="4"/>
        <v>9.3090604229866633E-2</v>
      </c>
      <c r="AF116" s="362">
        <f t="shared" si="4"/>
        <v>9.3090604229866633E-2</v>
      </c>
      <c r="AG116" s="362">
        <f t="shared" si="4"/>
        <v>0</v>
      </c>
      <c r="AH116" s="362">
        <f t="shared" si="4"/>
        <v>0</v>
      </c>
      <c r="AI116" s="362">
        <f t="shared" si="4"/>
        <v>0</v>
      </c>
      <c r="AJ116" s="362">
        <f t="shared" si="4"/>
        <v>0.22775582195180466</v>
      </c>
      <c r="AK116" s="362">
        <f t="shared" si="4"/>
        <v>0</v>
      </c>
      <c r="AL116" s="362">
        <f t="shared" si="4"/>
        <v>0.19093175752897684</v>
      </c>
      <c r="AM116" s="362">
        <f t="shared" si="4"/>
        <v>0</v>
      </c>
      <c r="AN116" s="362">
        <f t="shared" si="4"/>
        <v>0.16596197763913481</v>
      </c>
      <c r="AO116" s="362">
        <f t="shared" si="4"/>
        <v>0</v>
      </c>
      <c r="AP116" s="349"/>
      <c r="AQ116" s="349"/>
    </row>
    <row r="117" spans="3:43" x14ac:dyDescent="0.25">
      <c r="D117" s="96"/>
      <c r="E117" s="293"/>
      <c r="J117" s="252"/>
      <c r="K117" s="252"/>
      <c r="L117" s="252"/>
      <c r="M117" s="252"/>
      <c r="N117" s="252"/>
      <c r="O117" s="252"/>
      <c r="P117" s="252"/>
      <c r="Q117" s="252"/>
      <c r="R117" s="252"/>
      <c r="S117" s="252"/>
      <c r="T117" s="252"/>
      <c r="U117" s="252"/>
      <c r="V117" s="252"/>
      <c r="W117" s="252"/>
      <c r="X117" s="252"/>
      <c r="Y117" s="252"/>
      <c r="Z117" s="252"/>
      <c r="AA117" s="252"/>
      <c r="AB117" s="252"/>
      <c r="AC117" s="252"/>
      <c r="AD117" s="252"/>
      <c r="AE117" s="252"/>
      <c r="AF117" s="252"/>
      <c r="AG117" s="252"/>
      <c r="AH117" s="252"/>
      <c r="AI117" s="252"/>
      <c r="AJ117" s="252"/>
      <c r="AK117" s="252"/>
      <c r="AL117" s="252"/>
      <c r="AM117" s="252"/>
      <c r="AN117" s="252"/>
      <c r="AO117" s="252"/>
    </row>
    <row r="118" spans="3:43" x14ac:dyDescent="0.25">
      <c r="C118" s="7" t="str">
        <f ca="1">INDEX('Version control'!$H$35:$H$61,MATCH($A$1,'Version control'!$F$35:$F$61,0),1)&amp;"-G: Tariff forecast, post-adders &amp; discounting"</f>
        <v>Section 520-G: Tariff forecast, post-adders &amp; discounting</v>
      </c>
      <c r="D118" s="7"/>
      <c r="E118" s="7"/>
      <c r="F118" s="7"/>
      <c r="G118" s="7"/>
      <c r="H118" s="7"/>
      <c r="I118" s="7"/>
      <c r="J118" s="242"/>
      <c r="K118" s="242"/>
      <c r="L118" s="242"/>
      <c r="M118" s="242"/>
      <c r="N118" s="242"/>
      <c r="O118" s="242"/>
      <c r="P118" s="242"/>
      <c r="Q118" s="242"/>
      <c r="R118" s="242"/>
      <c r="S118" s="242"/>
      <c r="T118" s="242"/>
      <c r="U118" s="242"/>
      <c r="V118" s="242"/>
      <c r="W118" s="242"/>
      <c r="X118" s="242"/>
      <c r="Y118" s="242"/>
      <c r="Z118" s="242"/>
      <c r="AA118" s="242"/>
      <c r="AB118" s="242"/>
      <c r="AC118" s="242"/>
      <c r="AD118" s="242"/>
      <c r="AE118" s="242"/>
      <c r="AF118" s="242"/>
      <c r="AG118" s="242"/>
      <c r="AH118" s="242"/>
      <c r="AI118" s="242"/>
      <c r="AJ118" s="242"/>
      <c r="AK118" s="242"/>
      <c r="AL118" s="242"/>
      <c r="AM118" s="242"/>
      <c r="AN118" s="242"/>
      <c r="AO118" s="242"/>
      <c r="AP118" s="7"/>
      <c r="AQ118" s="7"/>
    </row>
    <row r="119" spans="3:43" x14ac:dyDescent="0.25">
      <c r="J119" s="252"/>
      <c r="K119" s="252"/>
      <c r="L119" s="252"/>
      <c r="M119" s="252"/>
      <c r="N119" s="252"/>
      <c r="O119" s="252"/>
      <c r="P119" s="252"/>
      <c r="Q119" s="252"/>
      <c r="R119" s="252"/>
      <c r="S119" s="252"/>
      <c r="T119" s="252"/>
      <c r="U119" s="252"/>
      <c r="V119" s="252"/>
      <c r="W119" s="252"/>
      <c r="X119" s="252"/>
      <c r="Y119" s="252"/>
      <c r="Z119" s="252"/>
      <c r="AA119" s="252"/>
      <c r="AB119" s="252"/>
      <c r="AC119" s="252"/>
      <c r="AD119" s="252"/>
      <c r="AE119" s="252"/>
      <c r="AF119" s="252"/>
      <c r="AG119" s="252"/>
      <c r="AH119" s="252"/>
      <c r="AI119" s="252"/>
      <c r="AJ119" s="252"/>
      <c r="AK119" s="252"/>
      <c r="AL119" s="252"/>
      <c r="AM119" s="252"/>
      <c r="AN119" s="252"/>
      <c r="AO119" s="252"/>
    </row>
    <row r="120" spans="3:43" x14ac:dyDescent="0.25">
      <c r="E120" s="96" t="s">
        <v>982</v>
      </c>
      <c r="F120" s="96"/>
      <c r="I120" s="293" t="s">
        <v>359</v>
      </c>
      <c r="J120" s="252"/>
      <c r="K120" s="252"/>
      <c r="L120" s="252"/>
      <c r="M120" s="252"/>
      <c r="N120" s="252"/>
      <c r="O120" s="252"/>
      <c r="P120" s="252"/>
      <c r="Q120" s="252"/>
      <c r="R120" s="252"/>
      <c r="S120" s="252"/>
      <c r="T120" s="252"/>
      <c r="U120" s="252"/>
      <c r="V120" s="252"/>
      <c r="W120" s="252"/>
      <c r="X120" s="252"/>
      <c r="Y120" s="252"/>
      <c r="Z120" s="252"/>
      <c r="AA120" s="252"/>
      <c r="AB120" s="252"/>
      <c r="AC120" s="252"/>
      <c r="AD120" s="252"/>
      <c r="AE120" s="252"/>
      <c r="AF120" s="252"/>
      <c r="AG120" s="252"/>
      <c r="AH120" s="252"/>
      <c r="AI120" s="252"/>
      <c r="AJ120" s="252"/>
      <c r="AK120" s="252"/>
      <c r="AL120" s="252"/>
      <c r="AM120" s="252"/>
      <c r="AN120" s="252"/>
      <c r="AO120" s="252"/>
      <c r="AQ120" s="293" t="s">
        <v>983</v>
      </c>
    </row>
    <row r="121" spans="3:43" x14ac:dyDescent="0.25">
      <c r="E121" s="86"/>
      <c r="F121" s="91" t="s">
        <v>134</v>
      </c>
      <c r="G121" s="91" t="s">
        <v>183</v>
      </c>
      <c r="H121" s="358"/>
      <c r="I121" s="347"/>
      <c r="J121" s="443">
        <f xml:space="preserve"> J110 + J44</f>
        <v>8.5989408053984455</v>
      </c>
      <c r="K121" s="443">
        <f t="shared" ref="K121:AO127" si="6" xml:space="preserve"> K110 + K44</f>
        <v>8.5989408053984455</v>
      </c>
      <c r="L121" s="443">
        <f t="shared" si="6"/>
        <v>7.5789555486440312</v>
      </c>
      <c r="M121" s="443">
        <f t="shared" si="6"/>
        <v>7.5789555486440312</v>
      </c>
      <c r="N121" s="443">
        <f t="shared" si="6"/>
        <v>7.5789555486440312</v>
      </c>
      <c r="O121" s="443">
        <f t="shared" si="6"/>
        <v>7.5789555486440312</v>
      </c>
      <c r="P121" s="443">
        <f t="shared" si="6"/>
        <v>7.5789555486440312</v>
      </c>
      <c r="Q121" s="443">
        <f t="shared" si="6"/>
        <v>7.5789555486440312</v>
      </c>
      <c r="R121" s="443">
        <f t="shared" si="6"/>
        <v>5.9204564495108425</v>
      </c>
      <c r="S121" s="443">
        <f t="shared" si="6"/>
        <v>5.9204564495108425</v>
      </c>
      <c r="T121" s="443">
        <f t="shared" si="6"/>
        <v>5.9204564495108425</v>
      </c>
      <c r="U121" s="443">
        <f t="shared" si="6"/>
        <v>5.9204564495108425</v>
      </c>
      <c r="V121" s="443">
        <f t="shared" si="6"/>
        <v>5.9204564495108425</v>
      </c>
      <c r="W121" s="443">
        <f t="shared" si="6"/>
        <v>3.9038218301509833</v>
      </c>
      <c r="X121" s="443">
        <f t="shared" si="6"/>
        <v>3.9038218301509833</v>
      </c>
      <c r="Y121" s="443">
        <f t="shared" si="6"/>
        <v>3.9038218301509833</v>
      </c>
      <c r="Z121" s="443">
        <f t="shared" si="6"/>
        <v>3.9038218301509833</v>
      </c>
      <c r="AA121" s="443">
        <f t="shared" si="6"/>
        <v>3.9038218301509833</v>
      </c>
      <c r="AB121" s="443">
        <f t="shared" si="6"/>
        <v>3.1819974844838343</v>
      </c>
      <c r="AC121" s="443">
        <f t="shared" si="6"/>
        <v>3.1819974844838343</v>
      </c>
      <c r="AD121" s="443">
        <f t="shared" si="6"/>
        <v>3.1819974844838343</v>
      </c>
      <c r="AE121" s="443">
        <f t="shared" si="6"/>
        <v>3.1819974844838343</v>
      </c>
      <c r="AF121" s="443">
        <f t="shared" si="6"/>
        <v>3.1819974844838343</v>
      </c>
      <c r="AG121" s="443">
        <f t="shared" si="6"/>
        <v>19.634569026069766</v>
      </c>
      <c r="AH121" s="443">
        <f t="shared" si="6"/>
        <v>-5.8360481944946567</v>
      </c>
      <c r="AI121" s="443">
        <f t="shared" si="6"/>
        <v>-5.2137444437929998</v>
      </c>
      <c r="AJ121" s="443">
        <f t="shared" si="6"/>
        <v>-5.8360481944946567</v>
      </c>
      <c r="AK121" s="443">
        <f t="shared" si="6"/>
        <v>-5.8360481944946567</v>
      </c>
      <c r="AL121" s="443">
        <f t="shared" si="6"/>
        <v>-5.2137444437929998</v>
      </c>
      <c r="AM121" s="443">
        <f t="shared" si="6"/>
        <v>-5.2137444437929998</v>
      </c>
      <c r="AN121" s="443">
        <f t="shared" si="6"/>
        <v>-4.0256541373289458</v>
      </c>
      <c r="AO121" s="443">
        <f t="shared" si="6"/>
        <v>-4.0256541373289458</v>
      </c>
      <c r="AP121" s="349"/>
      <c r="AQ121" s="349"/>
    </row>
    <row r="122" spans="3:43" x14ac:dyDescent="0.25">
      <c r="E122" s="86"/>
      <c r="F122" s="293" t="s">
        <v>135</v>
      </c>
      <c r="G122" s="293" t="s">
        <v>183</v>
      </c>
      <c r="H122" s="416"/>
      <c r="I122" s="349"/>
      <c r="J122" s="464">
        <f t="shared" ref="J122:J127" si="7" xml:space="preserve"> J111 + J45</f>
        <v>1.1153673022347455</v>
      </c>
      <c r="K122" s="464">
        <f t="shared" si="6"/>
        <v>1.1153673022347455</v>
      </c>
      <c r="L122" s="464">
        <f t="shared" si="6"/>
        <v>0.98306516992664039</v>
      </c>
      <c r="M122" s="464">
        <f t="shared" si="6"/>
        <v>0.98306516992664039</v>
      </c>
      <c r="N122" s="464">
        <f t="shared" si="6"/>
        <v>0.98306516992664039</v>
      </c>
      <c r="O122" s="464">
        <f t="shared" si="6"/>
        <v>0.98306516992664039</v>
      </c>
      <c r="P122" s="464">
        <f t="shared" si="6"/>
        <v>0.98306516992664039</v>
      </c>
      <c r="Q122" s="464">
        <f t="shared" si="6"/>
        <v>0.98306516992664039</v>
      </c>
      <c r="R122" s="464">
        <f t="shared" si="6"/>
        <v>0.66178237649677973</v>
      </c>
      <c r="S122" s="464">
        <f t="shared" si="6"/>
        <v>0.66178237649677973</v>
      </c>
      <c r="T122" s="464">
        <f t="shared" si="6"/>
        <v>0.66178237649677973</v>
      </c>
      <c r="U122" s="464">
        <f t="shared" si="6"/>
        <v>0.66178237649677973</v>
      </c>
      <c r="V122" s="464">
        <f t="shared" si="6"/>
        <v>0.66178237649677973</v>
      </c>
      <c r="W122" s="464">
        <f t="shared" si="6"/>
        <v>0.2984634805719768</v>
      </c>
      <c r="X122" s="464">
        <f t="shared" si="6"/>
        <v>0.2984634805719768</v>
      </c>
      <c r="Y122" s="464">
        <f t="shared" si="6"/>
        <v>0.2984634805719768</v>
      </c>
      <c r="Z122" s="464">
        <f t="shared" si="6"/>
        <v>0.2984634805719768</v>
      </c>
      <c r="AA122" s="464">
        <f t="shared" si="6"/>
        <v>0.2984634805719768</v>
      </c>
      <c r="AB122" s="464">
        <f t="shared" si="6"/>
        <v>0.21573751303447605</v>
      </c>
      <c r="AC122" s="464">
        <f t="shared" si="6"/>
        <v>0.21573751303447605</v>
      </c>
      <c r="AD122" s="464">
        <f t="shared" si="6"/>
        <v>0.21573751303447605</v>
      </c>
      <c r="AE122" s="464">
        <f t="shared" si="6"/>
        <v>0.21573751303447605</v>
      </c>
      <c r="AF122" s="464">
        <f t="shared" si="6"/>
        <v>0.21573751303447605</v>
      </c>
      <c r="AG122" s="464">
        <f t="shared" si="6"/>
        <v>3.5799207903654509</v>
      </c>
      <c r="AH122" s="464">
        <f t="shared" si="6"/>
        <v>-0.75699292246771566</v>
      </c>
      <c r="AI122" s="464">
        <f t="shared" si="6"/>
        <v>-0.61914773795816491</v>
      </c>
      <c r="AJ122" s="464">
        <f t="shared" si="6"/>
        <v>-0.75699292246771566</v>
      </c>
      <c r="AK122" s="464">
        <f t="shared" si="6"/>
        <v>-0.75699292246771566</v>
      </c>
      <c r="AL122" s="464">
        <f t="shared" si="6"/>
        <v>-0.61914773795816491</v>
      </c>
      <c r="AM122" s="464">
        <f t="shared" si="6"/>
        <v>-0.61914773795816491</v>
      </c>
      <c r="AN122" s="464">
        <f t="shared" si="6"/>
        <v>-0.30677292562270519</v>
      </c>
      <c r="AO122" s="464">
        <f t="shared" si="6"/>
        <v>-0.30677292562270519</v>
      </c>
      <c r="AP122" s="349"/>
      <c r="AQ122" s="349"/>
    </row>
    <row r="123" spans="3:43" x14ac:dyDescent="0.25">
      <c r="E123" s="86"/>
      <c r="F123" s="293" t="s">
        <v>136</v>
      </c>
      <c r="G123" s="293" t="s">
        <v>183</v>
      </c>
      <c r="H123" s="416"/>
      <c r="I123" s="349"/>
      <c r="J123" s="464">
        <f t="shared" si="7"/>
        <v>5.4036633774757072E-2</v>
      </c>
      <c r="K123" s="464">
        <f t="shared" si="6"/>
        <v>5.4036633774757072E-2</v>
      </c>
      <c r="L123" s="464">
        <f t="shared" si="6"/>
        <v>4.7626940880919788E-2</v>
      </c>
      <c r="M123" s="464">
        <f t="shared" si="6"/>
        <v>4.7626940880919788E-2</v>
      </c>
      <c r="N123" s="464">
        <f t="shared" si="6"/>
        <v>4.7626940880919788E-2</v>
      </c>
      <c r="O123" s="464">
        <f t="shared" si="6"/>
        <v>4.7626940880919788E-2</v>
      </c>
      <c r="P123" s="464">
        <f t="shared" si="6"/>
        <v>4.7626940880919788E-2</v>
      </c>
      <c r="Q123" s="464">
        <f t="shared" si="6"/>
        <v>4.7626940880919788E-2</v>
      </c>
      <c r="R123" s="464">
        <f t="shared" si="6"/>
        <v>3.1035197909388225E-2</v>
      </c>
      <c r="S123" s="464">
        <f t="shared" si="6"/>
        <v>3.1035197909388225E-2</v>
      </c>
      <c r="T123" s="464">
        <f t="shared" si="6"/>
        <v>3.1035197909388225E-2</v>
      </c>
      <c r="U123" s="464">
        <f t="shared" si="6"/>
        <v>3.1035197909388225E-2</v>
      </c>
      <c r="V123" s="464">
        <f t="shared" si="6"/>
        <v>3.1035197909388225E-2</v>
      </c>
      <c r="W123" s="464">
        <f t="shared" si="6"/>
        <v>1.2449628384906991E-2</v>
      </c>
      <c r="X123" s="464">
        <f t="shared" si="6"/>
        <v>1.2449628384906991E-2</v>
      </c>
      <c r="Y123" s="464">
        <f t="shared" si="6"/>
        <v>1.2449628384906991E-2</v>
      </c>
      <c r="Z123" s="464">
        <f t="shared" si="6"/>
        <v>1.2449628384906991E-2</v>
      </c>
      <c r="AA123" s="464">
        <f t="shared" si="6"/>
        <v>1.2449628384906991E-2</v>
      </c>
      <c r="AB123" s="464">
        <f t="shared" si="6"/>
        <v>8.8557083461529313E-3</v>
      </c>
      <c r="AC123" s="464">
        <f t="shared" si="6"/>
        <v>8.8557083461529313E-3</v>
      </c>
      <c r="AD123" s="464">
        <f t="shared" si="6"/>
        <v>8.8557083461529313E-3</v>
      </c>
      <c r="AE123" s="464">
        <f t="shared" si="6"/>
        <v>8.8557083461529313E-3</v>
      </c>
      <c r="AF123" s="464">
        <f t="shared" si="6"/>
        <v>8.8557083461529313E-3</v>
      </c>
      <c r="AG123" s="464">
        <f t="shared" si="6"/>
        <v>2.7380741345961126</v>
      </c>
      <c r="AH123" s="464">
        <f t="shared" si="6"/>
        <v>-3.6674330724518492E-2</v>
      </c>
      <c r="AI123" s="464">
        <f t="shared" si="6"/>
        <v>-2.9443749546248729E-2</v>
      </c>
      <c r="AJ123" s="464">
        <f t="shared" si="6"/>
        <v>-3.6674330724518492E-2</v>
      </c>
      <c r="AK123" s="464">
        <f t="shared" si="6"/>
        <v>-3.6674330724518492E-2</v>
      </c>
      <c r="AL123" s="464">
        <f t="shared" si="6"/>
        <v>-2.9443749546248729E-2</v>
      </c>
      <c r="AM123" s="464">
        <f t="shared" si="6"/>
        <v>-2.9443749546248729E-2</v>
      </c>
      <c r="AN123" s="464">
        <f t="shared" si="6"/>
        <v>-1.2791007958297398E-2</v>
      </c>
      <c r="AO123" s="464">
        <f t="shared" si="6"/>
        <v>-1.2791007958297398E-2</v>
      </c>
      <c r="AP123" s="349"/>
      <c r="AQ123" s="349"/>
    </row>
    <row r="124" spans="3:43" x14ac:dyDescent="0.25">
      <c r="E124" s="86"/>
      <c r="F124" s="293" t="s">
        <v>254</v>
      </c>
      <c r="G124" s="293" t="s">
        <v>252</v>
      </c>
      <c r="H124" s="380"/>
      <c r="J124" s="264">
        <f t="shared" si="7"/>
        <v>10.685755828825716</v>
      </c>
      <c r="K124" s="264">
        <f t="shared" si="6"/>
        <v>0</v>
      </c>
      <c r="L124" s="264">
        <f t="shared" si="6"/>
        <v>8.1540261864912296</v>
      </c>
      <c r="M124" s="264">
        <f t="shared" si="6"/>
        <v>11.377093385615026</v>
      </c>
      <c r="N124" s="264">
        <f t="shared" si="6"/>
        <v>18.741376749478412</v>
      </c>
      <c r="O124" s="264">
        <f t="shared" si="6"/>
        <v>32.149673126246036</v>
      </c>
      <c r="P124" s="264">
        <f t="shared" si="6"/>
        <v>73.439152813959296</v>
      </c>
      <c r="Q124" s="264">
        <f t="shared" si="6"/>
        <v>0</v>
      </c>
      <c r="R124" s="264">
        <f t="shared" si="6"/>
        <v>17.265218941937768</v>
      </c>
      <c r="S124" s="264">
        <f t="shared" si="6"/>
        <v>137.04240399187066</v>
      </c>
      <c r="T124" s="264">
        <f t="shared" si="6"/>
        <v>239.90327099795113</v>
      </c>
      <c r="U124" s="264">
        <f t="shared" si="6"/>
        <v>361.81538404233487</v>
      </c>
      <c r="V124" s="264">
        <f t="shared" si="6"/>
        <v>898.33495604518123</v>
      </c>
      <c r="W124" s="264">
        <f t="shared" si="6"/>
        <v>40.264395039469846</v>
      </c>
      <c r="X124" s="264">
        <f t="shared" si="6"/>
        <v>160.04158008940271</v>
      </c>
      <c r="Y124" s="264">
        <f t="shared" si="6"/>
        <v>262.90244709548324</v>
      </c>
      <c r="Z124" s="264">
        <f t="shared" si="6"/>
        <v>384.81456013986696</v>
      </c>
      <c r="AA124" s="264">
        <f t="shared" si="6"/>
        <v>921.33413214271332</v>
      </c>
      <c r="AB124" s="264">
        <f t="shared" si="6"/>
        <v>174.34507255411731</v>
      </c>
      <c r="AC124" s="264">
        <f t="shared" si="6"/>
        <v>908.69376777941147</v>
      </c>
      <c r="AD124" s="264">
        <f t="shared" si="6"/>
        <v>2316.9049212047062</v>
      </c>
      <c r="AE124" s="264">
        <f t="shared" si="6"/>
        <v>4106.9495646616879</v>
      </c>
      <c r="AF124" s="264">
        <f t="shared" si="6"/>
        <v>10505.789524667325</v>
      </c>
      <c r="AG124" s="264">
        <f t="shared" si="6"/>
        <v>0</v>
      </c>
      <c r="AH124" s="264">
        <f t="shared" si="6"/>
        <v>0</v>
      </c>
      <c r="AI124" s="264">
        <f t="shared" si="6"/>
        <v>0</v>
      </c>
      <c r="AJ124" s="264">
        <f t="shared" si="6"/>
        <v>0</v>
      </c>
      <c r="AK124" s="264">
        <f t="shared" si="6"/>
        <v>0</v>
      </c>
      <c r="AL124" s="264">
        <f t="shared" si="6"/>
        <v>0</v>
      </c>
      <c r="AM124" s="264">
        <f t="shared" si="6"/>
        <v>0</v>
      </c>
      <c r="AN124" s="264">
        <f t="shared" si="6"/>
        <v>348.54955153486407</v>
      </c>
      <c r="AO124" s="264">
        <f t="shared" si="6"/>
        <v>348.54955153486407</v>
      </c>
    </row>
    <row r="125" spans="3:43" x14ac:dyDescent="0.25">
      <c r="E125" s="86"/>
      <c r="F125" s="293" t="s">
        <v>255</v>
      </c>
      <c r="G125" s="293" t="s">
        <v>251</v>
      </c>
      <c r="H125" s="380"/>
      <c r="J125" s="264">
        <f t="shared" si="7"/>
        <v>0</v>
      </c>
      <c r="K125" s="264">
        <f t="shared" si="6"/>
        <v>0</v>
      </c>
      <c r="L125" s="264">
        <f t="shared" si="6"/>
        <v>0</v>
      </c>
      <c r="M125" s="264">
        <f t="shared" si="6"/>
        <v>0</v>
      </c>
      <c r="N125" s="264">
        <f t="shared" si="6"/>
        <v>0</v>
      </c>
      <c r="O125" s="264">
        <f t="shared" si="6"/>
        <v>0</v>
      </c>
      <c r="P125" s="264">
        <f t="shared" si="6"/>
        <v>0</v>
      </c>
      <c r="Q125" s="264">
        <f t="shared" si="6"/>
        <v>0</v>
      </c>
      <c r="R125" s="264">
        <f t="shared" si="6"/>
        <v>3.6596972672004675</v>
      </c>
      <c r="S125" s="264">
        <f t="shared" si="6"/>
        <v>3.6596972672004675</v>
      </c>
      <c r="T125" s="264">
        <f t="shared" si="6"/>
        <v>3.6596972672004675</v>
      </c>
      <c r="U125" s="264">
        <f t="shared" si="6"/>
        <v>3.6596972672004675</v>
      </c>
      <c r="V125" s="264">
        <f t="shared" si="6"/>
        <v>3.6596972672004675</v>
      </c>
      <c r="W125" s="264">
        <f t="shared" si="6"/>
        <v>4.9214500674876485</v>
      </c>
      <c r="X125" s="264">
        <f t="shared" si="6"/>
        <v>4.9214500674876485</v>
      </c>
      <c r="Y125" s="264">
        <f t="shared" si="6"/>
        <v>4.9214500674876485</v>
      </c>
      <c r="Z125" s="264">
        <f t="shared" si="6"/>
        <v>4.9214500674876485</v>
      </c>
      <c r="AA125" s="264">
        <f t="shared" si="6"/>
        <v>4.9214500674876485</v>
      </c>
      <c r="AB125" s="264">
        <f t="shared" si="6"/>
        <v>5.8732158802325856</v>
      </c>
      <c r="AC125" s="264">
        <f t="shared" si="6"/>
        <v>5.8732158802325856</v>
      </c>
      <c r="AD125" s="264">
        <f t="shared" si="6"/>
        <v>5.8732158802325856</v>
      </c>
      <c r="AE125" s="264">
        <f t="shared" si="6"/>
        <v>5.8732158802325856</v>
      </c>
      <c r="AF125" s="264">
        <f t="shared" si="6"/>
        <v>5.8732158802325856</v>
      </c>
      <c r="AG125" s="264">
        <f t="shared" si="6"/>
        <v>0</v>
      </c>
      <c r="AH125" s="264">
        <f t="shared" si="6"/>
        <v>0</v>
      </c>
      <c r="AI125" s="264">
        <f t="shared" si="6"/>
        <v>0</v>
      </c>
      <c r="AJ125" s="264">
        <f t="shared" si="6"/>
        <v>0</v>
      </c>
      <c r="AK125" s="264">
        <f t="shared" si="6"/>
        <v>0</v>
      </c>
      <c r="AL125" s="264">
        <f t="shared" si="6"/>
        <v>0</v>
      </c>
      <c r="AM125" s="264">
        <f t="shared" si="6"/>
        <v>0</v>
      </c>
      <c r="AN125" s="264">
        <f t="shared" si="6"/>
        <v>0</v>
      </c>
      <c r="AO125" s="264">
        <f t="shared" si="6"/>
        <v>0</v>
      </c>
    </row>
    <row r="126" spans="3:43" x14ac:dyDescent="0.25">
      <c r="E126" s="86"/>
      <c r="F126" s="293" t="s">
        <v>256</v>
      </c>
      <c r="G126" s="293" t="s">
        <v>251</v>
      </c>
      <c r="H126" s="380"/>
      <c r="J126" s="264">
        <f t="shared" si="7"/>
        <v>0</v>
      </c>
      <c r="K126" s="264">
        <f t="shared" si="6"/>
        <v>0</v>
      </c>
      <c r="L126" s="264">
        <f t="shared" si="6"/>
        <v>0</v>
      </c>
      <c r="M126" s="264">
        <f t="shared" si="6"/>
        <v>0</v>
      </c>
      <c r="N126" s="264">
        <f t="shared" si="6"/>
        <v>0</v>
      </c>
      <c r="O126" s="264">
        <f t="shared" si="6"/>
        <v>0</v>
      </c>
      <c r="P126" s="264">
        <f t="shared" si="6"/>
        <v>0</v>
      </c>
      <c r="Q126" s="264">
        <f t="shared" si="6"/>
        <v>0</v>
      </c>
      <c r="R126" s="264">
        <f t="shared" si="6"/>
        <v>6.8377600807265617</v>
      </c>
      <c r="S126" s="264">
        <f t="shared" si="6"/>
        <v>6.8377600807265617</v>
      </c>
      <c r="T126" s="264">
        <f t="shared" si="6"/>
        <v>6.8377600807265617</v>
      </c>
      <c r="U126" s="264">
        <f t="shared" si="6"/>
        <v>6.8377600807265617</v>
      </c>
      <c r="V126" s="264">
        <f t="shared" si="6"/>
        <v>6.8377600807265617</v>
      </c>
      <c r="W126" s="264">
        <f t="shared" si="6"/>
        <v>6.4250662718968972</v>
      </c>
      <c r="X126" s="264">
        <f t="shared" si="6"/>
        <v>6.4250662718968972</v>
      </c>
      <c r="Y126" s="264">
        <f t="shared" si="6"/>
        <v>6.4250662718968972</v>
      </c>
      <c r="Z126" s="264">
        <f t="shared" si="6"/>
        <v>6.4250662718968972</v>
      </c>
      <c r="AA126" s="264">
        <f t="shared" si="6"/>
        <v>6.4250662718968972</v>
      </c>
      <c r="AB126" s="264">
        <f t="shared" si="6"/>
        <v>7.0962072937622995</v>
      </c>
      <c r="AC126" s="264">
        <f t="shared" si="6"/>
        <v>7.0962072937622995</v>
      </c>
      <c r="AD126" s="264">
        <f t="shared" si="6"/>
        <v>7.0962072937622995</v>
      </c>
      <c r="AE126" s="264">
        <f t="shared" si="6"/>
        <v>7.0962072937622995</v>
      </c>
      <c r="AF126" s="264">
        <f t="shared" si="6"/>
        <v>7.0962072937622995</v>
      </c>
      <c r="AG126" s="264">
        <f t="shared" si="6"/>
        <v>0</v>
      </c>
      <c r="AH126" s="264">
        <f t="shared" si="6"/>
        <v>0</v>
      </c>
      <c r="AI126" s="264">
        <f t="shared" si="6"/>
        <v>0</v>
      </c>
      <c r="AJ126" s="264">
        <f t="shared" si="6"/>
        <v>0</v>
      </c>
      <c r="AK126" s="264">
        <f t="shared" si="6"/>
        <v>0</v>
      </c>
      <c r="AL126" s="264">
        <f t="shared" si="6"/>
        <v>0</v>
      </c>
      <c r="AM126" s="264">
        <f t="shared" si="6"/>
        <v>0</v>
      </c>
      <c r="AN126" s="264">
        <f t="shared" si="6"/>
        <v>0</v>
      </c>
      <c r="AO126" s="264">
        <f t="shared" si="6"/>
        <v>0</v>
      </c>
    </row>
    <row r="127" spans="3:43" x14ac:dyDescent="0.25">
      <c r="E127" s="86"/>
      <c r="F127" s="93" t="s">
        <v>257</v>
      </c>
      <c r="G127" s="93" t="s">
        <v>258</v>
      </c>
      <c r="H127" s="361"/>
      <c r="I127" s="351"/>
      <c r="J127" s="362">
        <f t="shared" si="7"/>
        <v>0</v>
      </c>
      <c r="K127" s="362">
        <f t="shared" si="6"/>
        <v>0</v>
      </c>
      <c r="L127" s="362">
        <f t="shared" si="6"/>
        <v>0</v>
      </c>
      <c r="M127" s="362">
        <f t="shared" si="6"/>
        <v>0</v>
      </c>
      <c r="N127" s="362">
        <f t="shared" si="6"/>
        <v>0</v>
      </c>
      <c r="O127" s="362">
        <f t="shared" si="6"/>
        <v>0</v>
      </c>
      <c r="P127" s="362">
        <f t="shared" si="6"/>
        <v>0</v>
      </c>
      <c r="Q127" s="362">
        <f t="shared" si="6"/>
        <v>0</v>
      </c>
      <c r="R127" s="362">
        <f t="shared" si="6"/>
        <v>0.22036731235800763</v>
      </c>
      <c r="S127" s="362">
        <f t="shared" si="6"/>
        <v>0.22036731235800763</v>
      </c>
      <c r="T127" s="362">
        <f t="shared" si="6"/>
        <v>0.22036731235800763</v>
      </c>
      <c r="U127" s="362">
        <f t="shared" si="6"/>
        <v>0.22036731235800763</v>
      </c>
      <c r="V127" s="362">
        <f t="shared" si="6"/>
        <v>0.22036731235800763</v>
      </c>
      <c r="W127" s="362">
        <f t="shared" si="6"/>
        <v>0.12269322893536748</v>
      </c>
      <c r="X127" s="362">
        <f t="shared" si="6"/>
        <v>0.12269322893536748</v>
      </c>
      <c r="Y127" s="362">
        <f t="shared" si="6"/>
        <v>0.12269322893536748</v>
      </c>
      <c r="Z127" s="362">
        <f t="shared" si="6"/>
        <v>0.12269322893536748</v>
      </c>
      <c r="AA127" s="362">
        <f t="shared" si="6"/>
        <v>0.12269322893536748</v>
      </c>
      <c r="AB127" s="362">
        <f t="shared" si="6"/>
        <v>9.3090604229866633E-2</v>
      </c>
      <c r="AC127" s="362">
        <f t="shared" si="6"/>
        <v>9.3090604229866633E-2</v>
      </c>
      <c r="AD127" s="362">
        <f t="shared" si="6"/>
        <v>9.3090604229866633E-2</v>
      </c>
      <c r="AE127" s="362">
        <f t="shared" si="6"/>
        <v>9.3090604229866633E-2</v>
      </c>
      <c r="AF127" s="362">
        <f t="shared" si="6"/>
        <v>9.3090604229866633E-2</v>
      </c>
      <c r="AG127" s="362">
        <f t="shared" si="6"/>
        <v>0</v>
      </c>
      <c r="AH127" s="362">
        <f t="shared" si="6"/>
        <v>0</v>
      </c>
      <c r="AI127" s="362">
        <f t="shared" si="6"/>
        <v>0</v>
      </c>
      <c r="AJ127" s="362">
        <f t="shared" si="6"/>
        <v>0.22775582195180466</v>
      </c>
      <c r="AK127" s="362">
        <f t="shared" si="6"/>
        <v>0</v>
      </c>
      <c r="AL127" s="362">
        <f t="shared" si="6"/>
        <v>0.19093175752897684</v>
      </c>
      <c r="AM127" s="362">
        <f t="shared" si="6"/>
        <v>0</v>
      </c>
      <c r="AN127" s="362">
        <f t="shared" si="6"/>
        <v>0.16596197763913481</v>
      </c>
      <c r="AO127" s="362">
        <f t="shared" si="6"/>
        <v>0</v>
      </c>
      <c r="AP127" s="349"/>
      <c r="AQ127" s="349"/>
    </row>
    <row r="128" spans="3:43" x14ac:dyDescent="0.25">
      <c r="E128" s="96"/>
      <c r="J128" s="252"/>
      <c r="K128" s="252"/>
      <c r="L128" s="252"/>
      <c r="M128" s="252"/>
      <c r="N128" s="252"/>
      <c r="O128" s="252"/>
      <c r="P128" s="252"/>
      <c r="Q128" s="252"/>
      <c r="R128" s="252"/>
      <c r="S128" s="252"/>
      <c r="T128" s="252"/>
      <c r="U128" s="252"/>
      <c r="V128" s="252"/>
      <c r="W128" s="252"/>
      <c r="X128" s="252"/>
      <c r="Y128" s="252"/>
      <c r="Z128" s="252"/>
      <c r="AA128" s="252"/>
      <c r="AB128" s="252"/>
      <c r="AC128" s="252"/>
      <c r="AD128" s="252"/>
      <c r="AE128" s="252"/>
      <c r="AF128" s="252"/>
      <c r="AG128" s="252"/>
      <c r="AH128" s="252"/>
      <c r="AI128" s="252"/>
      <c r="AJ128" s="252"/>
      <c r="AK128" s="252"/>
      <c r="AL128" s="252"/>
      <c r="AM128" s="252"/>
      <c r="AN128" s="252"/>
      <c r="AO128" s="252"/>
    </row>
    <row r="129" spans="3:43" x14ac:dyDescent="0.25">
      <c r="E129" s="96" t="s">
        <v>984</v>
      </c>
      <c r="I129" s="293" t="s">
        <v>359</v>
      </c>
      <c r="J129" s="252"/>
      <c r="K129" s="252"/>
      <c r="L129" s="252"/>
      <c r="M129" s="252"/>
      <c r="N129" s="252"/>
      <c r="O129" s="252"/>
      <c r="P129" s="252"/>
      <c r="Q129" s="252"/>
      <c r="R129" s="252"/>
      <c r="S129" s="252"/>
      <c r="T129" s="252"/>
      <c r="U129" s="252"/>
      <c r="V129" s="252"/>
      <c r="W129" s="252"/>
      <c r="X129" s="252"/>
      <c r="Y129" s="252"/>
      <c r="Z129" s="252"/>
      <c r="AA129" s="252"/>
      <c r="AB129" s="252"/>
      <c r="AC129" s="252"/>
      <c r="AD129" s="252"/>
      <c r="AE129" s="252"/>
      <c r="AF129" s="252"/>
      <c r="AG129" s="252"/>
      <c r="AH129" s="252"/>
      <c r="AI129" s="252"/>
      <c r="AJ129" s="252"/>
      <c r="AK129" s="252"/>
      <c r="AL129" s="252"/>
      <c r="AM129" s="252"/>
      <c r="AN129" s="252"/>
      <c r="AO129" s="252"/>
      <c r="AQ129" s="293" t="s">
        <v>983</v>
      </c>
    </row>
    <row r="130" spans="3:43" x14ac:dyDescent="0.25">
      <c r="E130" s="86"/>
      <c r="F130" s="91" t="s">
        <v>134</v>
      </c>
      <c r="G130" s="91" t="s">
        <v>183</v>
      </c>
      <c r="H130" s="358"/>
      <c r="I130" s="347"/>
      <c r="J130" s="360">
        <f t="shared" ref="J130:AJ136" si="8" xml:space="preserve"> J110 * (1 - J75) + J44</f>
        <v>5.5532120016547246</v>
      </c>
      <c r="K130" s="360">
        <f t="shared" si="8"/>
        <v>5.5532120016547246</v>
      </c>
      <c r="L130" s="360">
        <f t="shared" si="8"/>
        <v>4.8945036214594007</v>
      </c>
      <c r="M130" s="360">
        <f t="shared" si="8"/>
        <v>4.8945036214594007</v>
      </c>
      <c r="N130" s="360">
        <f t="shared" si="8"/>
        <v>4.8945036214594007</v>
      </c>
      <c r="O130" s="360">
        <f t="shared" si="8"/>
        <v>4.8945036214594007</v>
      </c>
      <c r="P130" s="360">
        <f t="shared" si="8"/>
        <v>4.8945036214594007</v>
      </c>
      <c r="Q130" s="360">
        <f t="shared" si="8"/>
        <v>4.8945036214594007</v>
      </c>
      <c r="R130" s="360">
        <f t="shared" si="8"/>
        <v>3.8234418115841766</v>
      </c>
      <c r="S130" s="360">
        <f t="shared" si="8"/>
        <v>3.8234418115841766</v>
      </c>
      <c r="T130" s="360">
        <f t="shared" si="8"/>
        <v>3.8234418115841766</v>
      </c>
      <c r="U130" s="360">
        <f t="shared" si="8"/>
        <v>3.8234418115841766</v>
      </c>
      <c r="V130" s="360">
        <f t="shared" si="8"/>
        <v>3.8234418115841766</v>
      </c>
      <c r="W130" s="359"/>
      <c r="X130" s="359"/>
      <c r="Y130" s="359"/>
      <c r="Z130" s="359"/>
      <c r="AA130" s="359"/>
      <c r="AB130" s="359"/>
      <c r="AC130" s="359"/>
      <c r="AD130" s="359"/>
      <c r="AE130" s="359"/>
      <c r="AF130" s="359"/>
      <c r="AG130" s="360">
        <f t="shared" si="8"/>
        <v>12.680041278390501</v>
      </c>
      <c r="AH130" s="360">
        <f t="shared" si="8"/>
        <v>-5.8360481944946567</v>
      </c>
      <c r="AI130" s="359"/>
      <c r="AJ130" s="360">
        <f t="shared" si="8"/>
        <v>-5.8360481944946567</v>
      </c>
      <c r="AK130" s="359"/>
      <c r="AL130" s="359"/>
      <c r="AM130" s="359"/>
      <c r="AN130" s="359"/>
      <c r="AO130" s="359"/>
      <c r="AP130" s="349"/>
      <c r="AQ130" s="349"/>
    </row>
    <row r="131" spans="3:43" x14ac:dyDescent="0.25">
      <c r="E131" s="86"/>
      <c r="F131" s="293" t="s">
        <v>135</v>
      </c>
      <c r="G131" s="293" t="s">
        <v>183</v>
      </c>
      <c r="H131" s="416"/>
      <c r="I131" s="349"/>
      <c r="J131" s="464">
        <f t="shared" si="8"/>
        <v>0.72030628297088717</v>
      </c>
      <c r="K131" s="464">
        <f t="shared" si="8"/>
        <v>0.72030628297088717</v>
      </c>
      <c r="L131" s="464">
        <f t="shared" si="8"/>
        <v>0.63486531929817158</v>
      </c>
      <c r="M131" s="464">
        <f t="shared" si="8"/>
        <v>0.63486531929817158</v>
      </c>
      <c r="N131" s="464">
        <f t="shared" si="8"/>
        <v>0.63486531929817158</v>
      </c>
      <c r="O131" s="464">
        <f t="shared" si="8"/>
        <v>0.63486531929817158</v>
      </c>
      <c r="P131" s="464">
        <f t="shared" si="8"/>
        <v>0.63486531929817158</v>
      </c>
      <c r="Q131" s="464">
        <f t="shared" si="8"/>
        <v>0.63486531929817158</v>
      </c>
      <c r="R131" s="464">
        <f t="shared" si="8"/>
        <v>0.42738029238883862</v>
      </c>
      <c r="S131" s="464">
        <f t="shared" si="8"/>
        <v>0.42738029238883862</v>
      </c>
      <c r="T131" s="464">
        <f t="shared" si="8"/>
        <v>0.42738029238883862</v>
      </c>
      <c r="U131" s="464">
        <f t="shared" si="8"/>
        <v>0.42738029238883862</v>
      </c>
      <c r="V131" s="464">
        <f t="shared" si="8"/>
        <v>0.42738029238883862</v>
      </c>
      <c r="W131" s="418"/>
      <c r="X131" s="418"/>
      <c r="Y131" s="418"/>
      <c r="Z131" s="418"/>
      <c r="AA131" s="418"/>
      <c r="AB131" s="418"/>
      <c r="AC131" s="418"/>
      <c r="AD131" s="418"/>
      <c r="AE131" s="418"/>
      <c r="AF131" s="418"/>
      <c r="AG131" s="464">
        <f t="shared" si="8"/>
        <v>2.3119195198494586</v>
      </c>
      <c r="AH131" s="464">
        <f t="shared" si="8"/>
        <v>-0.75699292246771566</v>
      </c>
      <c r="AI131" s="418"/>
      <c r="AJ131" s="464">
        <f t="shared" si="8"/>
        <v>-0.75699292246771566</v>
      </c>
      <c r="AK131" s="418"/>
      <c r="AL131" s="418"/>
      <c r="AM131" s="418"/>
      <c r="AN131" s="418"/>
      <c r="AO131" s="418"/>
      <c r="AP131" s="349"/>
      <c r="AQ131" s="349"/>
    </row>
    <row r="132" spans="3:43" x14ac:dyDescent="0.25">
      <c r="E132" s="86"/>
      <c r="F132" s="293" t="s">
        <v>136</v>
      </c>
      <c r="G132" s="293" t="s">
        <v>183</v>
      </c>
      <c r="H132" s="416"/>
      <c r="I132" s="349"/>
      <c r="J132" s="464">
        <f t="shared" si="8"/>
        <v>3.4896958822953253E-2</v>
      </c>
      <c r="K132" s="464">
        <f t="shared" si="8"/>
        <v>3.4896958822953253E-2</v>
      </c>
      <c r="L132" s="464">
        <f t="shared" si="8"/>
        <v>3.0757567203623586E-2</v>
      </c>
      <c r="M132" s="464">
        <f t="shared" si="8"/>
        <v>3.0757567203623586E-2</v>
      </c>
      <c r="N132" s="464">
        <f t="shared" si="8"/>
        <v>3.0757567203623586E-2</v>
      </c>
      <c r="O132" s="464">
        <f t="shared" si="8"/>
        <v>3.0757567203623586E-2</v>
      </c>
      <c r="P132" s="464">
        <f t="shared" si="8"/>
        <v>3.0757567203623586E-2</v>
      </c>
      <c r="Q132" s="464">
        <f t="shared" si="8"/>
        <v>3.0757567203623586E-2</v>
      </c>
      <c r="R132" s="464">
        <f t="shared" si="8"/>
        <v>2.0042588663471844E-2</v>
      </c>
      <c r="S132" s="464">
        <f t="shared" si="8"/>
        <v>2.0042588663471844E-2</v>
      </c>
      <c r="T132" s="464">
        <f t="shared" si="8"/>
        <v>2.0042588663471844E-2</v>
      </c>
      <c r="U132" s="464">
        <f t="shared" si="8"/>
        <v>2.0042588663471844E-2</v>
      </c>
      <c r="V132" s="464">
        <f t="shared" si="8"/>
        <v>2.0042588663471844E-2</v>
      </c>
      <c r="W132" s="418"/>
      <c r="X132" s="418"/>
      <c r="Y132" s="418"/>
      <c r="Z132" s="418"/>
      <c r="AA132" s="418"/>
      <c r="AB132" s="418"/>
      <c r="AC132" s="418"/>
      <c r="AD132" s="418"/>
      <c r="AE132" s="418"/>
      <c r="AF132" s="418"/>
      <c r="AG132" s="464">
        <f t="shared" si="8"/>
        <v>1.7682533802434932</v>
      </c>
      <c r="AH132" s="464">
        <f t="shared" si="8"/>
        <v>-3.6674330724518492E-2</v>
      </c>
      <c r="AI132" s="418"/>
      <c r="AJ132" s="464">
        <f t="shared" si="8"/>
        <v>-3.6674330724518492E-2</v>
      </c>
      <c r="AK132" s="418"/>
      <c r="AL132" s="418"/>
      <c r="AM132" s="418"/>
      <c r="AN132" s="418"/>
      <c r="AO132" s="418"/>
      <c r="AP132" s="349"/>
      <c r="AQ132" s="349"/>
    </row>
    <row r="133" spans="3:43" x14ac:dyDescent="0.25">
      <c r="E133" s="86"/>
      <c r="F133" s="293" t="s">
        <v>254</v>
      </c>
      <c r="G133" s="293" t="s">
        <v>252</v>
      </c>
      <c r="H133" s="380"/>
      <c r="J133" s="264">
        <f t="shared" si="8"/>
        <v>6.994649064629459</v>
      </c>
      <c r="K133" s="264">
        <f t="shared" si="8"/>
        <v>0</v>
      </c>
      <c r="L133" s="264">
        <f t="shared" si="8"/>
        <v>5.3241088181903944</v>
      </c>
      <c r="M133" s="264">
        <f t="shared" si="8"/>
        <v>7.4055716235951348</v>
      </c>
      <c r="N133" s="264">
        <f t="shared" si="8"/>
        <v>12.161439547946712</v>
      </c>
      <c r="O133" s="264">
        <f t="shared" si="8"/>
        <v>20.820542342847201</v>
      </c>
      <c r="P133" s="264">
        <f t="shared" si="8"/>
        <v>47.485365294057615</v>
      </c>
      <c r="Q133" s="264">
        <f t="shared" si="8"/>
        <v>0</v>
      </c>
      <c r="R133" s="264">
        <f t="shared" si="8"/>
        <v>11.208134084089505</v>
      </c>
      <c r="S133" s="264">
        <f t="shared" si="8"/>
        <v>88.560463469369608</v>
      </c>
      <c r="T133" s="264">
        <f t="shared" si="8"/>
        <v>154.98820312774356</v>
      </c>
      <c r="U133" s="264">
        <f t="shared" si="8"/>
        <v>233.71927299161959</v>
      </c>
      <c r="V133" s="264">
        <f t="shared" si="8"/>
        <v>580.20461273234446</v>
      </c>
      <c r="W133" s="279"/>
      <c r="X133" s="279"/>
      <c r="Y133" s="279"/>
      <c r="Z133" s="279"/>
      <c r="AA133" s="279"/>
      <c r="AB133" s="279"/>
      <c r="AC133" s="279"/>
      <c r="AD133" s="279"/>
      <c r="AE133" s="279"/>
      <c r="AF133" s="279"/>
      <c r="AG133" s="264">
        <f t="shared" si="8"/>
        <v>0</v>
      </c>
      <c r="AH133" s="264">
        <f t="shared" si="8"/>
        <v>0</v>
      </c>
      <c r="AI133" s="279"/>
      <c r="AJ133" s="264">
        <f t="shared" si="8"/>
        <v>0</v>
      </c>
      <c r="AK133" s="279"/>
      <c r="AL133" s="279"/>
      <c r="AM133" s="279"/>
      <c r="AN133" s="279"/>
      <c r="AO133" s="279"/>
    </row>
    <row r="134" spans="3:43" x14ac:dyDescent="0.25">
      <c r="E134" s="86"/>
      <c r="F134" s="293" t="s">
        <v>255</v>
      </c>
      <c r="G134" s="293" t="s">
        <v>251</v>
      </c>
      <c r="H134" s="380"/>
      <c r="J134" s="264">
        <f t="shared" si="8"/>
        <v>0</v>
      </c>
      <c r="K134" s="264">
        <f t="shared" si="8"/>
        <v>0</v>
      </c>
      <c r="L134" s="264">
        <f t="shared" si="8"/>
        <v>0</v>
      </c>
      <c r="M134" s="264">
        <f t="shared" si="8"/>
        <v>0</v>
      </c>
      <c r="N134" s="264">
        <f t="shared" si="8"/>
        <v>0</v>
      </c>
      <c r="O134" s="264">
        <f t="shared" si="8"/>
        <v>0</v>
      </c>
      <c r="P134" s="264">
        <f t="shared" si="8"/>
        <v>0</v>
      </c>
      <c r="Q134" s="264">
        <f t="shared" si="8"/>
        <v>0</v>
      </c>
      <c r="R134" s="264">
        <f t="shared" si="8"/>
        <v>2.3634393173030959</v>
      </c>
      <c r="S134" s="264">
        <f t="shared" si="8"/>
        <v>2.3634393173030959</v>
      </c>
      <c r="T134" s="264">
        <f t="shared" si="8"/>
        <v>2.3634393173030959</v>
      </c>
      <c r="U134" s="264">
        <f t="shared" si="8"/>
        <v>2.3634393173030959</v>
      </c>
      <c r="V134" s="264">
        <f t="shared" si="8"/>
        <v>2.3634393173030959</v>
      </c>
      <c r="W134" s="279"/>
      <c r="X134" s="279"/>
      <c r="Y134" s="279"/>
      <c r="Z134" s="279"/>
      <c r="AA134" s="279"/>
      <c r="AB134" s="279"/>
      <c r="AC134" s="279"/>
      <c r="AD134" s="279"/>
      <c r="AE134" s="279"/>
      <c r="AF134" s="279"/>
      <c r="AG134" s="264">
        <f t="shared" si="8"/>
        <v>0</v>
      </c>
      <c r="AH134" s="264">
        <f t="shared" si="8"/>
        <v>0</v>
      </c>
      <c r="AI134" s="279"/>
      <c r="AJ134" s="264">
        <f t="shared" si="8"/>
        <v>0</v>
      </c>
      <c r="AK134" s="279"/>
      <c r="AL134" s="279"/>
      <c r="AM134" s="279"/>
      <c r="AN134" s="279"/>
      <c r="AO134" s="279"/>
    </row>
    <row r="135" spans="3:43" x14ac:dyDescent="0.25">
      <c r="E135" s="86"/>
      <c r="F135" s="293" t="s">
        <v>256</v>
      </c>
      <c r="G135" s="293" t="s">
        <v>251</v>
      </c>
      <c r="H135" s="380"/>
      <c r="J135" s="264">
        <f t="shared" si="8"/>
        <v>0</v>
      </c>
      <c r="K135" s="264">
        <f t="shared" si="8"/>
        <v>0</v>
      </c>
      <c r="L135" s="264">
        <f t="shared" si="8"/>
        <v>0</v>
      </c>
      <c r="M135" s="264">
        <f t="shared" si="8"/>
        <v>0</v>
      </c>
      <c r="N135" s="264">
        <f t="shared" si="8"/>
        <v>0</v>
      </c>
      <c r="O135" s="264">
        <f t="shared" si="8"/>
        <v>0</v>
      </c>
      <c r="P135" s="264">
        <f t="shared" si="8"/>
        <v>0</v>
      </c>
      <c r="Q135" s="264">
        <f t="shared" si="8"/>
        <v>0</v>
      </c>
      <c r="R135" s="264">
        <f t="shared" si="8"/>
        <v>4.415838206594894</v>
      </c>
      <c r="S135" s="264">
        <f t="shared" si="8"/>
        <v>4.415838206594894</v>
      </c>
      <c r="T135" s="264">
        <f t="shared" si="8"/>
        <v>4.415838206594894</v>
      </c>
      <c r="U135" s="264">
        <f t="shared" si="8"/>
        <v>4.415838206594894</v>
      </c>
      <c r="V135" s="264">
        <f t="shared" si="8"/>
        <v>4.415838206594894</v>
      </c>
      <c r="W135" s="279"/>
      <c r="X135" s="279"/>
      <c r="Y135" s="279"/>
      <c r="Z135" s="279"/>
      <c r="AA135" s="279"/>
      <c r="AB135" s="279"/>
      <c r="AC135" s="279"/>
      <c r="AD135" s="279"/>
      <c r="AE135" s="279"/>
      <c r="AF135" s="279"/>
      <c r="AG135" s="264">
        <f t="shared" si="8"/>
        <v>0</v>
      </c>
      <c r="AH135" s="264">
        <f t="shared" si="8"/>
        <v>0</v>
      </c>
      <c r="AI135" s="279"/>
      <c r="AJ135" s="264">
        <f t="shared" si="8"/>
        <v>0</v>
      </c>
      <c r="AK135" s="279"/>
      <c r="AL135" s="279"/>
      <c r="AM135" s="279"/>
      <c r="AN135" s="279"/>
      <c r="AO135" s="279"/>
    </row>
    <row r="136" spans="3:43" x14ac:dyDescent="0.25">
      <c r="E136" s="86"/>
      <c r="F136" s="93" t="s">
        <v>257</v>
      </c>
      <c r="G136" s="93" t="s">
        <v>258</v>
      </c>
      <c r="H136" s="361"/>
      <c r="I136" s="351"/>
      <c r="J136" s="362">
        <f t="shared" si="8"/>
        <v>0</v>
      </c>
      <c r="K136" s="362">
        <f t="shared" si="8"/>
        <v>0</v>
      </c>
      <c r="L136" s="362">
        <f t="shared" si="8"/>
        <v>0</v>
      </c>
      <c r="M136" s="362">
        <f t="shared" si="8"/>
        <v>0</v>
      </c>
      <c r="N136" s="362">
        <f t="shared" si="8"/>
        <v>0</v>
      </c>
      <c r="O136" s="362">
        <f t="shared" si="8"/>
        <v>0</v>
      </c>
      <c r="P136" s="362">
        <f t="shared" si="8"/>
        <v>0</v>
      </c>
      <c r="Q136" s="362">
        <f t="shared" si="8"/>
        <v>0</v>
      </c>
      <c r="R136" s="362">
        <f t="shared" si="8"/>
        <v>0.14231362111373197</v>
      </c>
      <c r="S136" s="362">
        <f t="shared" si="8"/>
        <v>0.14231362111373197</v>
      </c>
      <c r="T136" s="362">
        <f t="shared" si="8"/>
        <v>0.14231362111373197</v>
      </c>
      <c r="U136" s="362">
        <f t="shared" si="8"/>
        <v>0.14231362111373197</v>
      </c>
      <c r="V136" s="362">
        <f t="shared" si="8"/>
        <v>0.14231362111373197</v>
      </c>
      <c r="W136" s="356"/>
      <c r="X136" s="356"/>
      <c r="Y136" s="356"/>
      <c r="Z136" s="356"/>
      <c r="AA136" s="356"/>
      <c r="AB136" s="356"/>
      <c r="AC136" s="356"/>
      <c r="AD136" s="356"/>
      <c r="AE136" s="356"/>
      <c r="AF136" s="356"/>
      <c r="AG136" s="362">
        <f t="shared" si="8"/>
        <v>0</v>
      </c>
      <c r="AH136" s="362">
        <f t="shared" si="8"/>
        <v>0</v>
      </c>
      <c r="AI136" s="356"/>
      <c r="AJ136" s="362">
        <f t="shared" si="8"/>
        <v>0.22775582195180466</v>
      </c>
      <c r="AK136" s="356"/>
      <c r="AL136" s="356"/>
      <c r="AM136" s="356"/>
      <c r="AN136" s="356"/>
      <c r="AO136" s="356"/>
      <c r="AP136" s="349"/>
      <c r="AQ136" s="349"/>
    </row>
    <row r="137" spans="3:43" x14ac:dyDescent="0.25">
      <c r="E137" s="86"/>
      <c r="J137" s="252"/>
      <c r="K137" s="252"/>
      <c r="L137" s="252"/>
      <c r="M137" s="252"/>
      <c r="N137" s="252"/>
      <c r="O137" s="252"/>
      <c r="P137" s="252"/>
      <c r="Q137" s="252"/>
      <c r="R137" s="252"/>
      <c r="S137" s="252"/>
      <c r="T137" s="252"/>
      <c r="U137" s="252"/>
      <c r="V137" s="252"/>
      <c r="W137" s="252"/>
      <c r="X137" s="252"/>
      <c r="Y137" s="252"/>
      <c r="Z137" s="252"/>
      <c r="AA137" s="252"/>
      <c r="AB137" s="252"/>
      <c r="AC137" s="252"/>
      <c r="AD137" s="252"/>
      <c r="AE137" s="252"/>
      <c r="AF137" s="252"/>
      <c r="AG137" s="252"/>
      <c r="AH137" s="252"/>
      <c r="AI137" s="252"/>
      <c r="AJ137" s="252"/>
      <c r="AK137" s="252"/>
      <c r="AL137" s="252"/>
      <c r="AM137" s="252"/>
      <c r="AN137" s="252"/>
      <c r="AO137" s="252"/>
    </row>
    <row r="138" spans="3:43" x14ac:dyDescent="0.25">
      <c r="E138" s="96" t="s">
        <v>985</v>
      </c>
      <c r="I138" s="293" t="s">
        <v>359</v>
      </c>
      <c r="J138" s="252"/>
      <c r="K138" s="252"/>
      <c r="L138" s="252"/>
      <c r="M138" s="252"/>
      <c r="N138" s="252"/>
      <c r="O138" s="252"/>
      <c r="P138" s="252"/>
      <c r="Q138" s="252"/>
      <c r="R138" s="252"/>
      <c r="S138" s="252"/>
      <c r="T138" s="252"/>
      <c r="U138" s="252"/>
      <c r="V138" s="252"/>
      <c r="W138" s="252"/>
      <c r="X138" s="252"/>
      <c r="Y138" s="252"/>
      <c r="Z138" s="252"/>
      <c r="AA138" s="252"/>
      <c r="AB138" s="252"/>
      <c r="AC138" s="252"/>
      <c r="AD138" s="252"/>
      <c r="AE138" s="252"/>
      <c r="AF138" s="252"/>
      <c r="AG138" s="252"/>
      <c r="AH138" s="252"/>
      <c r="AI138" s="252"/>
      <c r="AJ138" s="252"/>
      <c r="AK138" s="252"/>
      <c r="AL138" s="252"/>
      <c r="AM138" s="252"/>
      <c r="AN138" s="252"/>
      <c r="AO138" s="252"/>
      <c r="AQ138" s="293" t="s">
        <v>983</v>
      </c>
    </row>
    <row r="139" spans="3:43" x14ac:dyDescent="0.25">
      <c r="C139" s="86"/>
      <c r="F139" s="91" t="s">
        <v>134</v>
      </c>
      <c r="G139" s="91" t="s">
        <v>183</v>
      </c>
      <c r="H139" s="358"/>
      <c r="I139" s="347"/>
      <c r="J139" s="360">
        <f t="shared" ref="J139:AN145" si="9">J110 * (1 - J84) + J44</f>
        <v>3.9831860186515287</v>
      </c>
      <c r="K139" s="360">
        <f t="shared" si="9"/>
        <v>3.9831860186515287</v>
      </c>
      <c r="L139" s="360">
        <f t="shared" si="9"/>
        <v>3.5107102677562279</v>
      </c>
      <c r="M139" s="360">
        <f t="shared" si="9"/>
        <v>3.5107102677562279</v>
      </c>
      <c r="N139" s="360">
        <f t="shared" si="9"/>
        <v>3.5107102677562279</v>
      </c>
      <c r="O139" s="360">
        <f t="shared" si="9"/>
        <v>3.5107102677562279</v>
      </c>
      <c r="P139" s="360">
        <f t="shared" si="9"/>
        <v>3.5107102677562279</v>
      </c>
      <c r="Q139" s="360">
        <f t="shared" si="9"/>
        <v>3.5107102677562279</v>
      </c>
      <c r="R139" s="360">
        <f t="shared" si="9"/>
        <v>2.7424632739559991</v>
      </c>
      <c r="S139" s="360">
        <f t="shared" si="9"/>
        <v>2.7424632739559991</v>
      </c>
      <c r="T139" s="360">
        <f t="shared" si="9"/>
        <v>2.7424632739559991</v>
      </c>
      <c r="U139" s="360">
        <f t="shared" si="9"/>
        <v>2.7424632739559991</v>
      </c>
      <c r="V139" s="360">
        <f t="shared" si="9"/>
        <v>2.7424632739559991</v>
      </c>
      <c r="W139" s="360">
        <f t="shared" si="9"/>
        <v>2.8885147792515911</v>
      </c>
      <c r="X139" s="360">
        <f t="shared" si="9"/>
        <v>2.8885147792515911</v>
      </c>
      <c r="Y139" s="360">
        <f t="shared" si="9"/>
        <v>2.8885147792515911</v>
      </c>
      <c r="Z139" s="360">
        <f t="shared" si="9"/>
        <v>2.8885147792515911</v>
      </c>
      <c r="AA139" s="360">
        <f t="shared" si="9"/>
        <v>2.8885147792515911</v>
      </c>
      <c r="AB139" s="360">
        <f t="shared" si="9"/>
        <v>2.6972687299916398</v>
      </c>
      <c r="AC139" s="360">
        <f t="shared" si="9"/>
        <v>2.6972687299916398</v>
      </c>
      <c r="AD139" s="360">
        <f t="shared" si="9"/>
        <v>2.6972687299916398</v>
      </c>
      <c r="AE139" s="360">
        <f t="shared" si="9"/>
        <v>2.6972687299916398</v>
      </c>
      <c r="AF139" s="360">
        <f t="shared" si="9"/>
        <v>2.6972687299916398</v>
      </c>
      <c r="AG139" s="360">
        <f t="shared" si="9"/>
        <v>9.0950900345528716</v>
      </c>
      <c r="AH139" s="360">
        <f t="shared" si="9"/>
        <v>-5.8360481944946567</v>
      </c>
      <c r="AI139" s="360">
        <f t="shared" si="9"/>
        <v>-5.2137444437929998</v>
      </c>
      <c r="AJ139" s="360">
        <f t="shared" si="9"/>
        <v>-5.8360481944946567</v>
      </c>
      <c r="AK139" s="359"/>
      <c r="AL139" s="360">
        <f t="shared" si="9"/>
        <v>-5.2137444437929998</v>
      </c>
      <c r="AM139" s="359"/>
      <c r="AN139" s="360">
        <f t="shared" si="9"/>
        <v>-4.0256541373289458</v>
      </c>
      <c r="AO139" s="359"/>
      <c r="AP139" s="349"/>
      <c r="AQ139" s="349"/>
    </row>
    <row r="140" spans="3:43" x14ac:dyDescent="0.25">
      <c r="C140" s="86"/>
      <c r="F140" s="293" t="s">
        <v>135</v>
      </c>
      <c r="G140" s="293" t="s">
        <v>183</v>
      </c>
      <c r="H140" s="416"/>
      <c r="I140" s="349"/>
      <c r="J140" s="464">
        <f t="shared" si="9"/>
        <v>0.51665845183320247</v>
      </c>
      <c r="K140" s="464">
        <f t="shared" si="9"/>
        <v>0.51665845183320247</v>
      </c>
      <c r="L140" s="464">
        <f t="shared" si="9"/>
        <v>0.45537369414344303</v>
      </c>
      <c r="M140" s="464">
        <f t="shared" si="9"/>
        <v>0.45537369414344303</v>
      </c>
      <c r="N140" s="464">
        <f t="shared" si="9"/>
        <v>0.45537369414344303</v>
      </c>
      <c r="O140" s="464">
        <f t="shared" si="9"/>
        <v>0.45537369414344303</v>
      </c>
      <c r="P140" s="464">
        <f t="shared" si="9"/>
        <v>0.45537369414344303</v>
      </c>
      <c r="Q140" s="464">
        <f t="shared" si="9"/>
        <v>0.45537369414344303</v>
      </c>
      <c r="R140" s="464">
        <f t="shared" si="9"/>
        <v>0.30654965176607141</v>
      </c>
      <c r="S140" s="464">
        <f t="shared" si="9"/>
        <v>0.30654965176607141</v>
      </c>
      <c r="T140" s="464">
        <f t="shared" si="9"/>
        <v>0.30654965176607141</v>
      </c>
      <c r="U140" s="464">
        <f t="shared" si="9"/>
        <v>0.30654965176607141</v>
      </c>
      <c r="V140" s="464">
        <f t="shared" si="9"/>
        <v>0.30654965176607141</v>
      </c>
      <c r="W140" s="464">
        <f t="shared" si="9"/>
        <v>0.22083901679131759</v>
      </c>
      <c r="X140" s="464">
        <f t="shared" si="9"/>
        <v>0.22083901679131759</v>
      </c>
      <c r="Y140" s="464">
        <f t="shared" si="9"/>
        <v>0.22083901679131759</v>
      </c>
      <c r="Z140" s="464">
        <f t="shared" si="9"/>
        <v>0.22083901679131759</v>
      </c>
      <c r="AA140" s="464">
        <f t="shared" si="9"/>
        <v>0.22083901679131759</v>
      </c>
      <c r="AB140" s="464">
        <f t="shared" si="9"/>
        <v>0.18287319541625877</v>
      </c>
      <c r="AC140" s="464">
        <f t="shared" si="9"/>
        <v>0.18287319541625877</v>
      </c>
      <c r="AD140" s="464">
        <f t="shared" si="9"/>
        <v>0.18287319541625877</v>
      </c>
      <c r="AE140" s="464">
        <f t="shared" si="9"/>
        <v>0.18287319541625877</v>
      </c>
      <c r="AF140" s="464">
        <f t="shared" si="9"/>
        <v>0.18287319541625877</v>
      </c>
      <c r="AG140" s="464">
        <f t="shared" si="9"/>
        <v>1.6582845216368318</v>
      </c>
      <c r="AH140" s="464">
        <f t="shared" si="9"/>
        <v>-0.75699292246771566</v>
      </c>
      <c r="AI140" s="464">
        <f t="shared" si="9"/>
        <v>-0.61914773795816491</v>
      </c>
      <c r="AJ140" s="464">
        <f t="shared" si="9"/>
        <v>-0.75699292246771566</v>
      </c>
      <c r="AK140" s="418"/>
      <c r="AL140" s="464">
        <f t="shared" si="9"/>
        <v>-0.61914773795816491</v>
      </c>
      <c r="AM140" s="418"/>
      <c r="AN140" s="464">
        <f t="shared" si="9"/>
        <v>-0.30677292562270519</v>
      </c>
      <c r="AO140" s="418"/>
      <c r="AP140" s="349"/>
      <c r="AQ140" s="349"/>
    </row>
    <row r="141" spans="3:43" x14ac:dyDescent="0.25">
      <c r="C141" s="86"/>
      <c r="F141" s="293" t="s">
        <v>136</v>
      </c>
      <c r="G141" s="293" t="s">
        <v>183</v>
      </c>
      <c r="H141" s="416"/>
      <c r="I141" s="349"/>
      <c r="J141" s="464">
        <f t="shared" si="9"/>
        <v>2.5030753091296799E-2</v>
      </c>
      <c r="K141" s="464">
        <f t="shared" si="9"/>
        <v>2.5030753091296799E-2</v>
      </c>
      <c r="L141" s="464">
        <f t="shared" si="9"/>
        <v>2.2061666584438391E-2</v>
      </c>
      <c r="M141" s="464">
        <f t="shared" si="9"/>
        <v>2.2061666584438391E-2</v>
      </c>
      <c r="N141" s="464">
        <f t="shared" si="9"/>
        <v>2.2061666584438391E-2</v>
      </c>
      <c r="O141" s="464">
        <f t="shared" si="9"/>
        <v>2.2061666584438391E-2</v>
      </c>
      <c r="P141" s="464">
        <f t="shared" si="9"/>
        <v>2.2061666584438391E-2</v>
      </c>
      <c r="Q141" s="464">
        <f t="shared" si="9"/>
        <v>2.2061666584438391E-2</v>
      </c>
      <c r="R141" s="464">
        <f t="shared" si="9"/>
        <v>1.4376069006214102E-2</v>
      </c>
      <c r="S141" s="464">
        <f t="shared" si="9"/>
        <v>1.4376069006214102E-2</v>
      </c>
      <c r="T141" s="464">
        <f t="shared" si="9"/>
        <v>1.4376069006214102E-2</v>
      </c>
      <c r="U141" s="464">
        <f t="shared" si="9"/>
        <v>1.4376069006214102E-2</v>
      </c>
      <c r="V141" s="464">
        <f t="shared" si="9"/>
        <v>1.4376069006214102E-2</v>
      </c>
      <c r="W141" s="464">
        <f t="shared" si="9"/>
        <v>9.2117256244256263E-3</v>
      </c>
      <c r="X141" s="464">
        <f t="shared" si="9"/>
        <v>9.2117256244256263E-3</v>
      </c>
      <c r="Y141" s="464">
        <f t="shared" si="9"/>
        <v>9.2117256244256263E-3</v>
      </c>
      <c r="Z141" s="464">
        <f t="shared" si="9"/>
        <v>9.2117256244256263E-3</v>
      </c>
      <c r="AA141" s="464">
        <f t="shared" si="9"/>
        <v>9.2117256244256263E-3</v>
      </c>
      <c r="AB141" s="464">
        <f t="shared" si="9"/>
        <v>7.5066763316058906E-3</v>
      </c>
      <c r="AC141" s="464">
        <f t="shared" si="9"/>
        <v>7.5066763316058906E-3</v>
      </c>
      <c r="AD141" s="464">
        <f t="shared" si="9"/>
        <v>7.5066763316058906E-3</v>
      </c>
      <c r="AE141" s="464">
        <f t="shared" si="9"/>
        <v>7.5066763316058906E-3</v>
      </c>
      <c r="AF141" s="464">
        <f t="shared" si="9"/>
        <v>7.5066763316058906E-3</v>
      </c>
      <c r="AG141" s="464">
        <f t="shared" si="9"/>
        <v>1.2683258156757669</v>
      </c>
      <c r="AH141" s="464">
        <f t="shared" si="9"/>
        <v>-3.6674330724518492E-2</v>
      </c>
      <c r="AI141" s="464">
        <f t="shared" si="9"/>
        <v>-2.9443749546248729E-2</v>
      </c>
      <c r="AJ141" s="464">
        <f t="shared" si="9"/>
        <v>-3.6674330724518492E-2</v>
      </c>
      <c r="AK141" s="418"/>
      <c r="AL141" s="464">
        <f t="shared" si="9"/>
        <v>-2.9443749546248729E-2</v>
      </c>
      <c r="AM141" s="418"/>
      <c r="AN141" s="464">
        <f t="shared" si="9"/>
        <v>-1.2791007958297398E-2</v>
      </c>
      <c r="AO141" s="418"/>
      <c r="AP141" s="349"/>
      <c r="AQ141" s="349"/>
    </row>
    <row r="142" spans="3:43" x14ac:dyDescent="0.25">
      <c r="C142" s="86"/>
      <c r="F142" s="293" t="s">
        <v>254</v>
      </c>
      <c r="G142" s="293" t="s">
        <v>252</v>
      </c>
      <c r="H142" s="380"/>
      <c r="J142" s="264">
        <f t="shared" si="9"/>
        <v>5.0919407477550971</v>
      </c>
      <c r="K142" s="264">
        <f t="shared" si="9"/>
        <v>0</v>
      </c>
      <c r="L142" s="264">
        <f t="shared" si="9"/>
        <v>3.8653302846180426</v>
      </c>
      <c r="M142" s="264">
        <f t="shared" si="9"/>
        <v>5.3583137223763835</v>
      </c>
      <c r="N142" s="264">
        <f t="shared" si="9"/>
        <v>8.7695839236915418</v>
      </c>
      <c r="O142" s="264">
        <f t="shared" si="9"/>
        <v>14.980551049822612</v>
      </c>
      <c r="P142" s="264">
        <f t="shared" si="9"/>
        <v>34.106590166901405</v>
      </c>
      <c r="Q142" s="264">
        <f t="shared" si="9"/>
        <v>0</v>
      </c>
      <c r="R142" s="264">
        <f t="shared" si="9"/>
        <v>8.085800737670791</v>
      </c>
      <c r="S142" s="264">
        <f t="shared" si="9"/>
        <v>63.568774704046724</v>
      </c>
      <c r="T142" s="264">
        <f t="shared" si="9"/>
        <v>111.2158020062668</v>
      </c>
      <c r="U142" s="264">
        <f t="shared" si="9"/>
        <v>167.68771350934324</v>
      </c>
      <c r="V142" s="264">
        <f t="shared" si="9"/>
        <v>416.21335245698987</v>
      </c>
      <c r="W142" s="264">
        <f t="shared" si="9"/>
        <v>29.835172450388381</v>
      </c>
      <c r="X142" s="264">
        <f t="shared" si="9"/>
        <v>118.46067440381715</v>
      </c>
      <c r="Y142" s="264">
        <f t="shared" si="9"/>
        <v>194.56945894386487</v>
      </c>
      <c r="Z142" s="264">
        <f t="shared" si="9"/>
        <v>284.7746362341598</v>
      </c>
      <c r="AA142" s="264">
        <f t="shared" si="9"/>
        <v>681.75605098997164</v>
      </c>
      <c r="AB142" s="264">
        <f t="shared" si="9"/>
        <v>147.81130249331144</v>
      </c>
      <c r="AC142" s="264">
        <f t="shared" si="9"/>
        <v>770.29318131310276</v>
      </c>
      <c r="AD142" s="264">
        <f t="shared" si="9"/>
        <v>1963.9848570234151</v>
      </c>
      <c r="AE142" s="264">
        <f t="shared" si="9"/>
        <v>3481.343517936612</v>
      </c>
      <c r="AF142" s="264">
        <f t="shared" si="9"/>
        <v>8905.4178663624025</v>
      </c>
      <c r="AG142" s="264">
        <f t="shared" si="9"/>
        <v>0</v>
      </c>
      <c r="AH142" s="264">
        <f t="shared" si="9"/>
        <v>0</v>
      </c>
      <c r="AI142" s="264">
        <f t="shared" si="9"/>
        <v>0</v>
      </c>
      <c r="AJ142" s="264">
        <f t="shared" si="9"/>
        <v>0</v>
      </c>
      <c r="AK142" s="279"/>
      <c r="AL142" s="264">
        <f t="shared" si="9"/>
        <v>0</v>
      </c>
      <c r="AM142" s="279"/>
      <c r="AN142" s="264">
        <f t="shared" si="9"/>
        <v>0</v>
      </c>
      <c r="AO142" s="279"/>
    </row>
    <row r="143" spans="3:43" x14ac:dyDescent="0.25">
      <c r="C143" s="86"/>
      <c r="F143" s="293" t="s">
        <v>255</v>
      </c>
      <c r="G143" s="293" t="s">
        <v>251</v>
      </c>
      <c r="H143" s="380"/>
      <c r="J143" s="264">
        <f t="shared" si="9"/>
        <v>0</v>
      </c>
      <c r="K143" s="264">
        <f t="shared" si="9"/>
        <v>0</v>
      </c>
      <c r="L143" s="264">
        <f t="shared" si="9"/>
        <v>0</v>
      </c>
      <c r="M143" s="264">
        <f t="shared" si="9"/>
        <v>0</v>
      </c>
      <c r="N143" s="264">
        <f t="shared" si="9"/>
        <v>0</v>
      </c>
      <c r="O143" s="264">
        <f t="shared" si="9"/>
        <v>0</v>
      </c>
      <c r="P143" s="264">
        <f t="shared" si="9"/>
        <v>0</v>
      </c>
      <c r="Q143" s="264">
        <f t="shared" si="9"/>
        <v>0</v>
      </c>
      <c r="R143" s="264">
        <f t="shared" si="9"/>
        <v>1.6952384389084825</v>
      </c>
      <c r="S143" s="264">
        <f t="shared" si="9"/>
        <v>1.6952384389084825</v>
      </c>
      <c r="T143" s="264">
        <f t="shared" si="9"/>
        <v>1.6952384389084825</v>
      </c>
      <c r="U143" s="264">
        <f t="shared" si="9"/>
        <v>1.6952384389084825</v>
      </c>
      <c r="V143" s="264">
        <f t="shared" si="9"/>
        <v>1.6952384389084825</v>
      </c>
      <c r="W143" s="264">
        <f t="shared" si="9"/>
        <v>3.6414779858785233</v>
      </c>
      <c r="X143" s="264">
        <f t="shared" si="9"/>
        <v>3.6414779858785233</v>
      </c>
      <c r="Y143" s="264">
        <f t="shared" si="9"/>
        <v>3.6414779858785233</v>
      </c>
      <c r="Z143" s="264">
        <f t="shared" si="9"/>
        <v>3.6414779858785233</v>
      </c>
      <c r="AA143" s="264">
        <f t="shared" si="9"/>
        <v>3.6414779858785233</v>
      </c>
      <c r="AB143" s="264">
        <f t="shared" si="9"/>
        <v>4.97852107535887</v>
      </c>
      <c r="AC143" s="264">
        <f t="shared" si="9"/>
        <v>4.97852107535887</v>
      </c>
      <c r="AD143" s="264">
        <f t="shared" si="9"/>
        <v>4.97852107535887</v>
      </c>
      <c r="AE143" s="264">
        <f t="shared" si="9"/>
        <v>4.97852107535887</v>
      </c>
      <c r="AF143" s="264">
        <f t="shared" si="9"/>
        <v>4.97852107535887</v>
      </c>
      <c r="AG143" s="264">
        <f t="shared" si="9"/>
        <v>0</v>
      </c>
      <c r="AH143" s="264">
        <f t="shared" si="9"/>
        <v>0</v>
      </c>
      <c r="AI143" s="264">
        <f t="shared" si="9"/>
        <v>0</v>
      </c>
      <c r="AJ143" s="264">
        <f t="shared" si="9"/>
        <v>0</v>
      </c>
      <c r="AK143" s="279"/>
      <c r="AL143" s="264">
        <f t="shared" si="9"/>
        <v>0</v>
      </c>
      <c r="AM143" s="279"/>
      <c r="AN143" s="264">
        <f t="shared" si="9"/>
        <v>0</v>
      </c>
      <c r="AO143" s="279"/>
    </row>
    <row r="144" spans="3:43" x14ac:dyDescent="0.25">
      <c r="C144" s="86"/>
      <c r="F144" s="293" t="s">
        <v>256</v>
      </c>
      <c r="G144" s="293" t="s">
        <v>251</v>
      </c>
      <c r="H144" s="380"/>
      <c r="J144" s="264">
        <f t="shared" si="9"/>
        <v>0</v>
      </c>
      <c r="K144" s="264">
        <f t="shared" si="9"/>
        <v>0</v>
      </c>
      <c r="L144" s="264">
        <f t="shared" si="9"/>
        <v>0</v>
      </c>
      <c r="M144" s="264">
        <f t="shared" si="9"/>
        <v>0</v>
      </c>
      <c r="N144" s="264">
        <f t="shared" si="9"/>
        <v>0</v>
      </c>
      <c r="O144" s="264">
        <f t="shared" si="9"/>
        <v>0</v>
      </c>
      <c r="P144" s="264">
        <f t="shared" si="9"/>
        <v>0</v>
      </c>
      <c r="Q144" s="264">
        <f t="shared" si="9"/>
        <v>0</v>
      </c>
      <c r="R144" s="264">
        <f t="shared" si="9"/>
        <v>3.1673750254618205</v>
      </c>
      <c r="S144" s="264">
        <f t="shared" si="9"/>
        <v>3.1673750254618205</v>
      </c>
      <c r="T144" s="264">
        <f t="shared" si="9"/>
        <v>3.1673750254618205</v>
      </c>
      <c r="U144" s="264">
        <f t="shared" si="9"/>
        <v>3.1673750254618205</v>
      </c>
      <c r="V144" s="264">
        <f t="shared" si="9"/>
        <v>3.1673750254618205</v>
      </c>
      <c r="W144" s="264">
        <f t="shared" si="9"/>
        <v>4.7540332759826107</v>
      </c>
      <c r="X144" s="264">
        <f t="shared" si="9"/>
        <v>4.7540332759826107</v>
      </c>
      <c r="Y144" s="264">
        <f t="shared" si="9"/>
        <v>4.7540332759826107</v>
      </c>
      <c r="Z144" s="264">
        <f t="shared" si="9"/>
        <v>4.7540332759826107</v>
      </c>
      <c r="AA144" s="264">
        <f t="shared" si="9"/>
        <v>4.7540332759826107</v>
      </c>
      <c r="AB144" s="264">
        <f t="shared" si="9"/>
        <v>6.0152084118031581</v>
      </c>
      <c r="AC144" s="264">
        <f t="shared" si="9"/>
        <v>6.0152084118031581</v>
      </c>
      <c r="AD144" s="264">
        <f t="shared" si="9"/>
        <v>6.0152084118031581</v>
      </c>
      <c r="AE144" s="264">
        <f t="shared" si="9"/>
        <v>6.0152084118031581</v>
      </c>
      <c r="AF144" s="264">
        <f t="shared" si="9"/>
        <v>6.0152084118031581</v>
      </c>
      <c r="AG144" s="264">
        <f t="shared" si="9"/>
        <v>0</v>
      </c>
      <c r="AH144" s="264">
        <f t="shared" si="9"/>
        <v>0</v>
      </c>
      <c r="AI144" s="264">
        <f t="shared" si="9"/>
        <v>0</v>
      </c>
      <c r="AJ144" s="264">
        <f t="shared" si="9"/>
        <v>0</v>
      </c>
      <c r="AK144" s="279"/>
      <c r="AL144" s="264">
        <f t="shared" si="9"/>
        <v>0</v>
      </c>
      <c r="AM144" s="279"/>
      <c r="AN144" s="264">
        <f t="shared" si="9"/>
        <v>0</v>
      </c>
      <c r="AO144" s="279"/>
    </row>
    <row r="145" spans="1:43" x14ac:dyDescent="0.25">
      <c r="C145" s="86"/>
      <c r="F145" s="93" t="s">
        <v>257</v>
      </c>
      <c r="G145" s="93" t="s">
        <v>258</v>
      </c>
      <c r="H145" s="361"/>
      <c r="I145" s="351"/>
      <c r="J145" s="362">
        <f t="shared" si="9"/>
        <v>0</v>
      </c>
      <c r="K145" s="362">
        <f t="shared" si="9"/>
        <v>0</v>
      </c>
      <c r="L145" s="362">
        <f t="shared" si="9"/>
        <v>0</v>
      </c>
      <c r="M145" s="362">
        <f t="shared" si="9"/>
        <v>0</v>
      </c>
      <c r="N145" s="362">
        <f t="shared" si="9"/>
        <v>0</v>
      </c>
      <c r="O145" s="362">
        <f t="shared" si="9"/>
        <v>0</v>
      </c>
      <c r="P145" s="362">
        <f t="shared" si="9"/>
        <v>0</v>
      </c>
      <c r="Q145" s="362">
        <f t="shared" si="9"/>
        <v>0</v>
      </c>
      <c r="R145" s="362">
        <f t="shared" si="9"/>
        <v>0.10207815327687415</v>
      </c>
      <c r="S145" s="362">
        <f t="shared" si="9"/>
        <v>0.10207815327687415</v>
      </c>
      <c r="T145" s="362">
        <f t="shared" si="9"/>
        <v>0.10207815327687415</v>
      </c>
      <c r="U145" s="362">
        <f t="shared" si="9"/>
        <v>0.10207815327687415</v>
      </c>
      <c r="V145" s="362">
        <f t="shared" si="9"/>
        <v>0.10207815327687415</v>
      </c>
      <c r="W145" s="362">
        <f t="shared" si="9"/>
        <v>9.0783140346392607E-2</v>
      </c>
      <c r="X145" s="362">
        <f t="shared" si="9"/>
        <v>9.0783140346392607E-2</v>
      </c>
      <c r="Y145" s="362">
        <f t="shared" si="9"/>
        <v>9.0783140346392607E-2</v>
      </c>
      <c r="Z145" s="362">
        <f t="shared" si="9"/>
        <v>9.0783140346392607E-2</v>
      </c>
      <c r="AA145" s="362">
        <f t="shared" si="9"/>
        <v>9.0783140346392607E-2</v>
      </c>
      <c r="AB145" s="362">
        <f t="shared" si="9"/>
        <v>7.8909671383972577E-2</v>
      </c>
      <c r="AC145" s="362">
        <f t="shared" si="9"/>
        <v>7.8909671383972577E-2</v>
      </c>
      <c r="AD145" s="362">
        <f t="shared" si="9"/>
        <v>7.8909671383972577E-2</v>
      </c>
      <c r="AE145" s="362">
        <f t="shared" si="9"/>
        <v>7.8909671383972577E-2</v>
      </c>
      <c r="AF145" s="362">
        <f t="shared" si="9"/>
        <v>7.8909671383972577E-2</v>
      </c>
      <c r="AG145" s="362">
        <f t="shared" si="9"/>
        <v>0</v>
      </c>
      <c r="AH145" s="362">
        <f t="shared" si="9"/>
        <v>0</v>
      </c>
      <c r="AI145" s="362">
        <f t="shared" si="9"/>
        <v>0</v>
      </c>
      <c r="AJ145" s="362">
        <f t="shared" si="9"/>
        <v>0.22775582195180466</v>
      </c>
      <c r="AK145" s="356"/>
      <c r="AL145" s="362">
        <f t="shared" si="9"/>
        <v>0.19093175752897684</v>
      </c>
      <c r="AM145" s="356"/>
      <c r="AN145" s="362">
        <f t="shared" si="9"/>
        <v>0.16596197763913481</v>
      </c>
      <c r="AO145" s="356"/>
      <c r="AP145" s="349"/>
      <c r="AQ145" s="349"/>
    </row>
    <row r="146" spans="1:43" x14ac:dyDescent="0.25">
      <c r="A146" s="349"/>
      <c r="B146" s="349"/>
      <c r="C146" s="349"/>
      <c r="D146" s="349"/>
      <c r="E146" s="349"/>
      <c r="F146" s="349"/>
      <c r="G146" s="349"/>
      <c r="H146" s="349"/>
      <c r="I146" s="349"/>
      <c r="J146" s="349"/>
      <c r="K146" s="349"/>
      <c r="L146" s="349"/>
      <c r="M146" s="349"/>
      <c r="N146" s="349"/>
      <c r="O146" s="349"/>
      <c r="P146" s="349"/>
      <c r="Q146" s="349"/>
      <c r="R146" s="349"/>
      <c r="S146" s="349"/>
      <c r="T146" s="349"/>
      <c r="U146" s="349"/>
      <c r="V146" s="349"/>
      <c r="W146" s="349"/>
      <c r="X146" s="349"/>
      <c r="Y146" s="349"/>
      <c r="Z146" s="349"/>
      <c r="AA146" s="349"/>
      <c r="AB146" s="349"/>
      <c r="AC146" s="349"/>
      <c r="AD146" s="349"/>
      <c r="AE146" s="349"/>
      <c r="AF146" s="349"/>
      <c r="AG146" s="349"/>
      <c r="AH146" s="349"/>
      <c r="AI146" s="349"/>
      <c r="AJ146" s="349"/>
      <c r="AK146" s="349"/>
      <c r="AL146" s="349"/>
      <c r="AM146" s="349"/>
      <c r="AN146" s="349"/>
      <c r="AO146" s="349"/>
      <c r="AP146" s="349"/>
      <c r="AQ146" s="349"/>
    </row>
    <row r="147" spans="1:43" x14ac:dyDescent="0.25">
      <c r="C147" s="7" t="str">
        <f ca="1">INDEX('Version control'!$H$35:$H$61,MATCH($A$1,'Version control'!$F$35:$F$61,0),1)&amp;"-H: Tariff forecast, post-rounding"</f>
        <v>Section 520-H: Tariff forecast, post-rounding</v>
      </c>
      <c r="D147" s="7"/>
      <c r="E147" s="7"/>
      <c r="F147" s="7"/>
      <c r="G147" s="7"/>
      <c r="H147" s="7"/>
      <c r="I147" s="7"/>
      <c r="J147" s="242"/>
      <c r="K147" s="242"/>
      <c r="L147" s="242"/>
      <c r="M147" s="242"/>
      <c r="N147" s="242"/>
      <c r="O147" s="242"/>
      <c r="P147" s="242"/>
      <c r="Q147" s="242"/>
      <c r="R147" s="242"/>
      <c r="S147" s="242"/>
      <c r="T147" s="242"/>
      <c r="U147" s="242"/>
      <c r="V147" s="242"/>
      <c r="W147" s="242"/>
      <c r="X147" s="242"/>
      <c r="Y147" s="242"/>
      <c r="Z147" s="242"/>
      <c r="AA147" s="242"/>
      <c r="AB147" s="242"/>
      <c r="AC147" s="242"/>
      <c r="AD147" s="242"/>
      <c r="AE147" s="242"/>
      <c r="AF147" s="242"/>
      <c r="AG147" s="242"/>
      <c r="AH147" s="242"/>
      <c r="AI147" s="242"/>
      <c r="AJ147" s="242"/>
      <c r="AK147" s="242"/>
      <c r="AL147" s="242"/>
      <c r="AM147" s="242"/>
      <c r="AN147" s="242"/>
      <c r="AO147" s="242"/>
      <c r="AP147" s="7"/>
      <c r="AQ147" s="7"/>
    </row>
    <row r="148" spans="1:43" x14ac:dyDescent="0.25">
      <c r="J148" s="252"/>
      <c r="K148" s="252"/>
      <c r="L148" s="252"/>
      <c r="M148" s="252"/>
      <c r="N148" s="252"/>
      <c r="O148" s="252"/>
      <c r="P148" s="252"/>
      <c r="Q148" s="252"/>
      <c r="R148" s="252"/>
      <c r="S148" s="252"/>
      <c r="T148" s="252"/>
      <c r="U148" s="252"/>
      <c r="V148" s="252"/>
      <c r="W148" s="252"/>
      <c r="X148" s="252"/>
      <c r="Y148" s="252"/>
      <c r="Z148" s="252"/>
      <c r="AA148" s="252"/>
      <c r="AB148" s="252"/>
      <c r="AC148" s="252"/>
      <c r="AD148" s="252"/>
      <c r="AE148" s="252"/>
      <c r="AF148" s="252"/>
      <c r="AG148" s="252"/>
      <c r="AH148" s="252"/>
      <c r="AI148" s="252"/>
      <c r="AJ148" s="252"/>
      <c r="AK148" s="252"/>
      <c r="AL148" s="252"/>
      <c r="AM148" s="252"/>
      <c r="AN148" s="252"/>
      <c r="AO148" s="252"/>
    </row>
    <row r="149" spans="1:43" x14ac:dyDescent="0.25">
      <c r="E149" s="96" t="s">
        <v>773</v>
      </c>
      <c r="F149" s="96"/>
      <c r="I149" s="293" t="s">
        <v>359</v>
      </c>
      <c r="J149" s="252"/>
      <c r="K149" s="252"/>
      <c r="L149" s="252"/>
      <c r="M149" s="252"/>
      <c r="N149" s="252"/>
      <c r="O149" s="252"/>
      <c r="P149" s="252"/>
      <c r="Q149" s="252"/>
      <c r="R149" s="252"/>
      <c r="S149" s="252"/>
      <c r="T149" s="252"/>
      <c r="U149" s="252"/>
      <c r="V149" s="252"/>
      <c r="W149" s="252"/>
      <c r="X149" s="252"/>
      <c r="Y149" s="252"/>
      <c r="Z149" s="252"/>
      <c r="AA149" s="252"/>
      <c r="AB149" s="252"/>
      <c r="AC149" s="252"/>
      <c r="AD149" s="252"/>
      <c r="AE149" s="252"/>
      <c r="AF149" s="252"/>
      <c r="AG149" s="252"/>
      <c r="AH149" s="252"/>
      <c r="AI149" s="252"/>
      <c r="AJ149" s="252"/>
      <c r="AK149" s="252"/>
      <c r="AL149" s="252"/>
      <c r="AM149" s="252"/>
      <c r="AN149" s="252"/>
      <c r="AO149" s="252"/>
      <c r="AQ149" s="293" t="s">
        <v>699</v>
      </c>
    </row>
    <row r="150" spans="1:43" x14ac:dyDescent="0.25">
      <c r="E150" s="86"/>
      <c r="F150" s="91" t="s">
        <v>134</v>
      </c>
      <c r="G150" s="91" t="s">
        <v>183</v>
      </c>
      <c r="H150" s="358"/>
      <c r="I150" s="347"/>
      <c r="J150" s="348">
        <f t="shared" ref="J150:AO156" si="10">ROUND(J121, $H95)</f>
        <v>8.5990000000000002</v>
      </c>
      <c r="K150" s="348">
        <f t="shared" si="10"/>
        <v>8.5990000000000002</v>
      </c>
      <c r="L150" s="348">
        <f t="shared" si="10"/>
        <v>7.5789999999999997</v>
      </c>
      <c r="M150" s="348">
        <f t="shared" si="10"/>
        <v>7.5789999999999997</v>
      </c>
      <c r="N150" s="348">
        <f t="shared" si="10"/>
        <v>7.5789999999999997</v>
      </c>
      <c r="O150" s="348">
        <f t="shared" si="10"/>
        <v>7.5789999999999997</v>
      </c>
      <c r="P150" s="348">
        <f t="shared" si="10"/>
        <v>7.5789999999999997</v>
      </c>
      <c r="Q150" s="348">
        <f t="shared" si="10"/>
        <v>7.5789999999999997</v>
      </c>
      <c r="R150" s="348">
        <f t="shared" si="10"/>
        <v>5.92</v>
      </c>
      <c r="S150" s="348">
        <f t="shared" si="10"/>
        <v>5.92</v>
      </c>
      <c r="T150" s="348">
        <f t="shared" si="10"/>
        <v>5.92</v>
      </c>
      <c r="U150" s="348">
        <f t="shared" si="10"/>
        <v>5.92</v>
      </c>
      <c r="V150" s="348">
        <f t="shared" si="10"/>
        <v>5.92</v>
      </c>
      <c r="W150" s="348">
        <f t="shared" si="10"/>
        <v>3.9039999999999999</v>
      </c>
      <c r="X150" s="348">
        <f t="shared" si="10"/>
        <v>3.9039999999999999</v>
      </c>
      <c r="Y150" s="348">
        <f t="shared" si="10"/>
        <v>3.9039999999999999</v>
      </c>
      <c r="Z150" s="348">
        <f t="shared" si="10"/>
        <v>3.9039999999999999</v>
      </c>
      <c r="AA150" s="348">
        <f t="shared" si="10"/>
        <v>3.9039999999999999</v>
      </c>
      <c r="AB150" s="348">
        <f t="shared" si="10"/>
        <v>3.1819999999999999</v>
      </c>
      <c r="AC150" s="348">
        <f t="shared" si="10"/>
        <v>3.1819999999999999</v>
      </c>
      <c r="AD150" s="348">
        <f t="shared" si="10"/>
        <v>3.1819999999999999</v>
      </c>
      <c r="AE150" s="348">
        <f t="shared" si="10"/>
        <v>3.1819999999999999</v>
      </c>
      <c r="AF150" s="348">
        <f t="shared" si="10"/>
        <v>3.1819999999999999</v>
      </c>
      <c r="AG150" s="348">
        <f t="shared" si="10"/>
        <v>19.635000000000002</v>
      </c>
      <c r="AH150" s="348">
        <f t="shared" si="10"/>
        <v>-5.8360000000000003</v>
      </c>
      <c r="AI150" s="348">
        <f t="shared" si="10"/>
        <v>-5.2140000000000004</v>
      </c>
      <c r="AJ150" s="348">
        <f t="shared" si="10"/>
        <v>-5.8360000000000003</v>
      </c>
      <c r="AK150" s="348">
        <f t="shared" si="10"/>
        <v>-5.8360000000000003</v>
      </c>
      <c r="AL150" s="348">
        <f t="shared" si="10"/>
        <v>-5.2140000000000004</v>
      </c>
      <c r="AM150" s="348">
        <f t="shared" si="10"/>
        <v>-5.2140000000000004</v>
      </c>
      <c r="AN150" s="348">
        <f t="shared" si="10"/>
        <v>-4.0259999999999998</v>
      </c>
      <c r="AO150" s="348">
        <f t="shared" si="10"/>
        <v>-4.0259999999999998</v>
      </c>
      <c r="AP150" s="349"/>
      <c r="AQ150" s="349"/>
    </row>
    <row r="151" spans="1:43" x14ac:dyDescent="0.25">
      <c r="E151" s="86"/>
      <c r="F151" s="293" t="s">
        <v>135</v>
      </c>
      <c r="G151" s="293" t="s">
        <v>183</v>
      </c>
      <c r="H151" s="416"/>
      <c r="I151" s="349"/>
      <c r="J151" s="350">
        <f t="shared" si="10"/>
        <v>1.115</v>
      </c>
      <c r="K151" s="350">
        <f t="shared" si="10"/>
        <v>1.115</v>
      </c>
      <c r="L151" s="350">
        <f t="shared" si="10"/>
        <v>0.98299999999999998</v>
      </c>
      <c r="M151" s="350">
        <f t="shared" si="10"/>
        <v>0.98299999999999998</v>
      </c>
      <c r="N151" s="350">
        <f t="shared" si="10"/>
        <v>0.98299999999999998</v>
      </c>
      <c r="O151" s="350">
        <f t="shared" si="10"/>
        <v>0.98299999999999998</v>
      </c>
      <c r="P151" s="350">
        <f t="shared" si="10"/>
        <v>0.98299999999999998</v>
      </c>
      <c r="Q151" s="350">
        <f t="shared" si="10"/>
        <v>0.98299999999999998</v>
      </c>
      <c r="R151" s="350">
        <f t="shared" si="10"/>
        <v>0.66200000000000003</v>
      </c>
      <c r="S151" s="350">
        <f t="shared" si="10"/>
        <v>0.66200000000000003</v>
      </c>
      <c r="T151" s="350">
        <f t="shared" si="10"/>
        <v>0.66200000000000003</v>
      </c>
      <c r="U151" s="350">
        <f t="shared" si="10"/>
        <v>0.66200000000000003</v>
      </c>
      <c r="V151" s="350">
        <f t="shared" si="10"/>
        <v>0.66200000000000003</v>
      </c>
      <c r="W151" s="350">
        <f t="shared" si="10"/>
        <v>0.29799999999999999</v>
      </c>
      <c r="X151" s="350">
        <f t="shared" si="10"/>
        <v>0.29799999999999999</v>
      </c>
      <c r="Y151" s="350">
        <f t="shared" si="10"/>
        <v>0.29799999999999999</v>
      </c>
      <c r="Z151" s="350">
        <f t="shared" si="10"/>
        <v>0.29799999999999999</v>
      </c>
      <c r="AA151" s="350">
        <f t="shared" si="10"/>
        <v>0.29799999999999999</v>
      </c>
      <c r="AB151" s="350">
        <f t="shared" si="10"/>
        <v>0.216</v>
      </c>
      <c r="AC151" s="350">
        <f t="shared" si="10"/>
        <v>0.216</v>
      </c>
      <c r="AD151" s="350">
        <f t="shared" si="10"/>
        <v>0.216</v>
      </c>
      <c r="AE151" s="350">
        <f t="shared" si="10"/>
        <v>0.216</v>
      </c>
      <c r="AF151" s="350">
        <f t="shared" si="10"/>
        <v>0.216</v>
      </c>
      <c r="AG151" s="350">
        <f t="shared" si="10"/>
        <v>3.58</v>
      </c>
      <c r="AH151" s="350">
        <f t="shared" si="10"/>
        <v>-0.75700000000000001</v>
      </c>
      <c r="AI151" s="350">
        <f t="shared" si="10"/>
        <v>-0.61899999999999999</v>
      </c>
      <c r="AJ151" s="350">
        <f t="shared" si="10"/>
        <v>-0.75700000000000001</v>
      </c>
      <c r="AK151" s="350">
        <f t="shared" si="10"/>
        <v>-0.75700000000000001</v>
      </c>
      <c r="AL151" s="350">
        <f t="shared" si="10"/>
        <v>-0.61899999999999999</v>
      </c>
      <c r="AM151" s="350">
        <f t="shared" si="10"/>
        <v>-0.61899999999999999</v>
      </c>
      <c r="AN151" s="350">
        <f t="shared" si="10"/>
        <v>-0.307</v>
      </c>
      <c r="AO151" s="350">
        <f t="shared" si="10"/>
        <v>-0.307</v>
      </c>
      <c r="AP151" s="349"/>
      <c r="AQ151" s="349"/>
    </row>
    <row r="152" spans="1:43" x14ac:dyDescent="0.25">
      <c r="E152" s="86"/>
      <c r="F152" s="293" t="s">
        <v>136</v>
      </c>
      <c r="G152" s="293" t="s">
        <v>183</v>
      </c>
      <c r="H152" s="416"/>
      <c r="I152" s="349"/>
      <c r="J152" s="350">
        <f t="shared" si="10"/>
        <v>5.3999999999999999E-2</v>
      </c>
      <c r="K152" s="350">
        <f t="shared" si="10"/>
        <v>5.3999999999999999E-2</v>
      </c>
      <c r="L152" s="350">
        <f t="shared" si="10"/>
        <v>4.8000000000000001E-2</v>
      </c>
      <c r="M152" s="350">
        <f t="shared" si="10"/>
        <v>4.8000000000000001E-2</v>
      </c>
      <c r="N152" s="350">
        <f t="shared" si="10"/>
        <v>4.8000000000000001E-2</v>
      </c>
      <c r="O152" s="350">
        <f t="shared" si="10"/>
        <v>4.8000000000000001E-2</v>
      </c>
      <c r="P152" s="350">
        <f t="shared" si="10"/>
        <v>4.8000000000000001E-2</v>
      </c>
      <c r="Q152" s="350">
        <f t="shared" si="10"/>
        <v>4.8000000000000001E-2</v>
      </c>
      <c r="R152" s="350">
        <f t="shared" si="10"/>
        <v>3.1E-2</v>
      </c>
      <c r="S152" s="350">
        <f t="shared" si="10"/>
        <v>3.1E-2</v>
      </c>
      <c r="T152" s="350">
        <f t="shared" si="10"/>
        <v>3.1E-2</v>
      </c>
      <c r="U152" s="350">
        <f t="shared" si="10"/>
        <v>3.1E-2</v>
      </c>
      <c r="V152" s="350">
        <f t="shared" si="10"/>
        <v>3.1E-2</v>
      </c>
      <c r="W152" s="350">
        <f t="shared" si="10"/>
        <v>1.2E-2</v>
      </c>
      <c r="X152" s="350">
        <f t="shared" si="10"/>
        <v>1.2E-2</v>
      </c>
      <c r="Y152" s="350">
        <f t="shared" si="10"/>
        <v>1.2E-2</v>
      </c>
      <c r="Z152" s="350">
        <f t="shared" si="10"/>
        <v>1.2E-2</v>
      </c>
      <c r="AA152" s="350">
        <f t="shared" si="10"/>
        <v>1.2E-2</v>
      </c>
      <c r="AB152" s="350">
        <f t="shared" si="10"/>
        <v>8.9999999999999993E-3</v>
      </c>
      <c r="AC152" s="350">
        <f t="shared" si="10"/>
        <v>8.9999999999999993E-3</v>
      </c>
      <c r="AD152" s="350">
        <f t="shared" si="10"/>
        <v>8.9999999999999993E-3</v>
      </c>
      <c r="AE152" s="350">
        <f t="shared" si="10"/>
        <v>8.9999999999999993E-3</v>
      </c>
      <c r="AF152" s="350">
        <f t="shared" si="10"/>
        <v>8.9999999999999993E-3</v>
      </c>
      <c r="AG152" s="350">
        <f t="shared" si="10"/>
        <v>2.738</v>
      </c>
      <c r="AH152" s="350">
        <f t="shared" si="10"/>
        <v>-3.6999999999999998E-2</v>
      </c>
      <c r="AI152" s="350">
        <f t="shared" si="10"/>
        <v>-2.9000000000000001E-2</v>
      </c>
      <c r="AJ152" s="350">
        <f t="shared" si="10"/>
        <v>-3.6999999999999998E-2</v>
      </c>
      <c r="AK152" s="350">
        <f t="shared" si="10"/>
        <v>-3.6999999999999998E-2</v>
      </c>
      <c r="AL152" s="350">
        <f t="shared" si="10"/>
        <v>-2.9000000000000001E-2</v>
      </c>
      <c r="AM152" s="350">
        <f t="shared" si="10"/>
        <v>-2.9000000000000001E-2</v>
      </c>
      <c r="AN152" s="350">
        <f t="shared" si="10"/>
        <v>-1.2999999999999999E-2</v>
      </c>
      <c r="AO152" s="350">
        <f t="shared" si="10"/>
        <v>-1.2999999999999999E-2</v>
      </c>
      <c r="AP152" s="349"/>
      <c r="AQ152" s="349"/>
    </row>
    <row r="153" spans="1:43" x14ac:dyDescent="0.25">
      <c r="E153" s="86"/>
      <c r="F153" s="293" t="s">
        <v>254</v>
      </c>
      <c r="G153" s="293" t="s">
        <v>252</v>
      </c>
      <c r="H153" s="380"/>
      <c r="J153" s="256">
        <f t="shared" si="10"/>
        <v>10.69</v>
      </c>
      <c r="K153" s="256">
        <f t="shared" si="10"/>
        <v>0</v>
      </c>
      <c r="L153" s="256">
        <f t="shared" si="10"/>
        <v>8.15</v>
      </c>
      <c r="M153" s="256">
        <f t="shared" si="10"/>
        <v>11.38</v>
      </c>
      <c r="N153" s="256">
        <f t="shared" si="10"/>
        <v>18.739999999999998</v>
      </c>
      <c r="O153" s="256">
        <f t="shared" si="10"/>
        <v>32.15</v>
      </c>
      <c r="P153" s="256">
        <f t="shared" si="10"/>
        <v>73.44</v>
      </c>
      <c r="Q153" s="256">
        <f t="shared" si="10"/>
        <v>0</v>
      </c>
      <c r="R153" s="256">
        <f t="shared" si="10"/>
        <v>17.27</v>
      </c>
      <c r="S153" s="256">
        <f t="shared" si="10"/>
        <v>137.04</v>
      </c>
      <c r="T153" s="256">
        <f t="shared" si="10"/>
        <v>239.9</v>
      </c>
      <c r="U153" s="256">
        <f t="shared" si="10"/>
        <v>361.82</v>
      </c>
      <c r="V153" s="256">
        <f t="shared" si="10"/>
        <v>898.33</v>
      </c>
      <c r="W153" s="256">
        <f t="shared" si="10"/>
        <v>40.26</v>
      </c>
      <c r="X153" s="256">
        <f t="shared" si="10"/>
        <v>160.04</v>
      </c>
      <c r="Y153" s="256">
        <f t="shared" si="10"/>
        <v>262.89999999999998</v>
      </c>
      <c r="Z153" s="256">
        <f t="shared" si="10"/>
        <v>384.81</v>
      </c>
      <c r="AA153" s="256">
        <f t="shared" si="10"/>
        <v>921.33</v>
      </c>
      <c r="AB153" s="256">
        <f t="shared" si="10"/>
        <v>174.35</v>
      </c>
      <c r="AC153" s="256">
        <f t="shared" si="10"/>
        <v>908.69</v>
      </c>
      <c r="AD153" s="256">
        <f t="shared" si="10"/>
        <v>2316.9</v>
      </c>
      <c r="AE153" s="256">
        <f t="shared" si="10"/>
        <v>4106.95</v>
      </c>
      <c r="AF153" s="256">
        <f t="shared" si="10"/>
        <v>10505.79</v>
      </c>
      <c r="AG153" s="256">
        <f t="shared" si="10"/>
        <v>0</v>
      </c>
      <c r="AH153" s="256">
        <f t="shared" si="10"/>
        <v>0</v>
      </c>
      <c r="AI153" s="256">
        <f t="shared" si="10"/>
        <v>0</v>
      </c>
      <c r="AJ153" s="256">
        <f t="shared" si="10"/>
        <v>0</v>
      </c>
      <c r="AK153" s="256">
        <f t="shared" si="10"/>
        <v>0</v>
      </c>
      <c r="AL153" s="256">
        <f t="shared" si="10"/>
        <v>0</v>
      </c>
      <c r="AM153" s="256">
        <f t="shared" si="10"/>
        <v>0</v>
      </c>
      <c r="AN153" s="256">
        <f t="shared" si="10"/>
        <v>348.55</v>
      </c>
      <c r="AO153" s="256">
        <f t="shared" si="10"/>
        <v>348.55</v>
      </c>
    </row>
    <row r="154" spans="1:43" x14ac:dyDescent="0.25">
      <c r="E154" s="86"/>
      <c r="F154" s="293" t="s">
        <v>255</v>
      </c>
      <c r="G154" s="293" t="s">
        <v>251</v>
      </c>
      <c r="H154" s="380"/>
      <c r="J154" s="256">
        <f t="shared" si="10"/>
        <v>0</v>
      </c>
      <c r="K154" s="256">
        <f t="shared" si="10"/>
        <v>0</v>
      </c>
      <c r="L154" s="256">
        <f t="shared" si="10"/>
        <v>0</v>
      </c>
      <c r="M154" s="256">
        <f t="shared" si="10"/>
        <v>0</v>
      </c>
      <c r="N154" s="256">
        <f t="shared" si="10"/>
        <v>0</v>
      </c>
      <c r="O154" s="256">
        <f t="shared" si="10"/>
        <v>0</v>
      </c>
      <c r="P154" s="256">
        <f t="shared" si="10"/>
        <v>0</v>
      </c>
      <c r="Q154" s="256">
        <f t="shared" si="10"/>
        <v>0</v>
      </c>
      <c r="R154" s="256">
        <f t="shared" si="10"/>
        <v>3.66</v>
      </c>
      <c r="S154" s="256">
        <f t="shared" si="10"/>
        <v>3.66</v>
      </c>
      <c r="T154" s="256">
        <f t="shared" si="10"/>
        <v>3.66</v>
      </c>
      <c r="U154" s="256">
        <f t="shared" si="10"/>
        <v>3.66</v>
      </c>
      <c r="V154" s="256">
        <f t="shared" si="10"/>
        <v>3.66</v>
      </c>
      <c r="W154" s="256">
        <f t="shared" si="10"/>
        <v>4.92</v>
      </c>
      <c r="X154" s="256">
        <f t="shared" si="10"/>
        <v>4.92</v>
      </c>
      <c r="Y154" s="256">
        <f t="shared" si="10"/>
        <v>4.92</v>
      </c>
      <c r="Z154" s="256">
        <f t="shared" si="10"/>
        <v>4.92</v>
      </c>
      <c r="AA154" s="256">
        <f t="shared" si="10"/>
        <v>4.92</v>
      </c>
      <c r="AB154" s="256">
        <f t="shared" si="10"/>
        <v>5.87</v>
      </c>
      <c r="AC154" s="256">
        <f t="shared" si="10"/>
        <v>5.87</v>
      </c>
      <c r="AD154" s="256">
        <f t="shared" si="10"/>
        <v>5.87</v>
      </c>
      <c r="AE154" s="256">
        <f t="shared" si="10"/>
        <v>5.87</v>
      </c>
      <c r="AF154" s="256">
        <f t="shared" si="10"/>
        <v>5.87</v>
      </c>
      <c r="AG154" s="256">
        <f t="shared" si="10"/>
        <v>0</v>
      </c>
      <c r="AH154" s="256">
        <f t="shared" si="10"/>
        <v>0</v>
      </c>
      <c r="AI154" s="256">
        <f t="shared" si="10"/>
        <v>0</v>
      </c>
      <c r="AJ154" s="256">
        <f t="shared" si="10"/>
        <v>0</v>
      </c>
      <c r="AK154" s="256">
        <f t="shared" si="10"/>
        <v>0</v>
      </c>
      <c r="AL154" s="256">
        <f t="shared" si="10"/>
        <v>0</v>
      </c>
      <c r="AM154" s="256">
        <f t="shared" si="10"/>
        <v>0</v>
      </c>
      <c r="AN154" s="256">
        <f t="shared" si="10"/>
        <v>0</v>
      </c>
      <c r="AO154" s="256">
        <f t="shared" si="10"/>
        <v>0</v>
      </c>
    </row>
    <row r="155" spans="1:43" x14ac:dyDescent="0.25">
      <c r="E155" s="86"/>
      <c r="F155" s="293" t="s">
        <v>256</v>
      </c>
      <c r="G155" s="293" t="s">
        <v>251</v>
      </c>
      <c r="H155" s="380"/>
      <c r="J155" s="256">
        <f t="shared" si="10"/>
        <v>0</v>
      </c>
      <c r="K155" s="256">
        <f t="shared" si="10"/>
        <v>0</v>
      </c>
      <c r="L155" s="256">
        <f t="shared" si="10"/>
        <v>0</v>
      </c>
      <c r="M155" s="256">
        <f t="shared" si="10"/>
        <v>0</v>
      </c>
      <c r="N155" s="256">
        <f t="shared" si="10"/>
        <v>0</v>
      </c>
      <c r="O155" s="256">
        <f t="shared" si="10"/>
        <v>0</v>
      </c>
      <c r="P155" s="256">
        <f t="shared" si="10"/>
        <v>0</v>
      </c>
      <c r="Q155" s="256">
        <f t="shared" si="10"/>
        <v>0</v>
      </c>
      <c r="R155" s="256">
        <f t="shared" si="10"/>
        <v>6.84</v>
      </c>
      <c r="S155" s="256">
        <f t="shared" si="10"/>
        <v>6.84</v>
      </c>
      <c r="T155" s="256">
        <f t="shared" si="10"/>
        <v>6.84</v>
      </c>
      <c r="U155" s="256">
        <f t="shared" si="10"/>
        <v>6.84</v>
      </c>
      <c r="V155" s="256">
        <f t="shared" si="10"/>
        <v>6.84</v>
      </c>
      <c r="W155" s="256">
        <f t="shared" si="10"/>
        <v>6.43</v>
      </c>
      <c r="X155" s="256">
        <f t="shared" si="10"/>
        <v>6.43</v>
      </c>
      <c r="Y155" s="256">
        <f t="shared" si="10"/>
        <v>6.43</v>
      </c>
      <c r="Z155" s="256">
        <f t="shared" si="10"/>
        <v>6.43</v>
      </c>
      <c r="AA155" s="256">
        <f t="shared" si="10"/>
        <v>6.43</v>
      </c>
      <c r="AB155" s="256">
        <f t="shared" si="10"/>
        <v>7.1</v>
      </c>
      <c r="AC155" s="256">
        <f t="shared" si="10"/>
        <v>7.1</v>
      </c>
      <c r="AD155" s="256">
        <f t="shared" si="10"/>
        <v>7.1</v>
      </c>
      <c r="AE155" s="256">
        <f t="shared" si="10"/>
        <v>7.1</v>
      </c>
      <c r="AF155" s="256">
        <f t="shared" si="10"/>
        <v>7.1</v>
      </c>
      <c r="AG155" s="256">
        <f t="shared" si="10"/>
        <v>0</v>
      </c>
      <c r="AH155" s="256">
        <f t="shared" si="10"/>
        <v>0</v>
      </c>
      <c r="AI155" s="256">
        <f t="shared" si="10"/>
        <v>0</v>
      </c>
      <c r="AJ155" s="256">
        <f t="shared" si="10"/>
        <v>0</v>
      </c>
      <c r="AK155" s="256">
        <f t="shared" si="10"/>
        <v>0</v>
      </c>
      <c r="AL155" s="256">
        <f t="shared" si="10"/>
        <v>0</v>
      </c>
      <c r="AM155" s="256">
        <f t="shared" si="10"/>
        <v>0</v>
      </c>
      <c r="AN155" s="256">
        <f t="shared" si="10"/>
        <v>0</v>
      </c>
      <c r="AO155" s="256">
        <f t="shared" si="10"/>
        <v>0</v>
      </c>
    </row>
    <row r="156" spans="1:43" x14ac:dyDescent="0.25">
      <c r="E156" s="86"/>
      <c r="F156" s="93" t="s">
        <v>257</v>
      </c>
      <c r="G156" s="93" t="s">
        <v>258</v>
      </c>
      <c r="H156" s="361"/>
      <c r="I156" s="351"/>
      <c r="J156" s="352">
        <f t="shared" si="10"/>
        <v>0</v>
      </c>
      <c r="K156" s="352">
        <f t="shared" si="10"/>
        <v>0</v>
      </c>
      <c r="L156" s="352">
        <f t="shared" si="10"/>
        <v>0</v>
      </c>
      <c r="M156" s="352">
        <f t="shared" si="10"/>
        <v>0</v>
      </c>
      <c r="N156" s="352">
        <f t="shared" si="10"/>
        <v>0</v>
      </c>
      <c r="O156" s="352">
        <f t="shared" si="10"/>
        <v>0</v>
      </c>
      <c r="P156" s="352">
        <f t="shared" si="10"/>
        <v>0</v>
      </c>
      <c r="Q156" s="352">
        <f t="shared" si="10"/>
        <v>0</v>
      </c>
      <c r="R156" s="352">
        <f t="shared" si="10"/>
        <v>0.22</v>
      </c>
      <c r="S156" s="352">
        <f t="shared" si="10"/>
        <v>0.22</v>
      </c>
      <c r="T156" s="352">
        <f t="shared" si="10"/>
        <v>0.22</v>
      </c>
      <c r="U156" s="352">
        <f t="shared" si="10"/>
        <v>0.22</v>
      </c>
      <c r="V156" s="352">
        <f t="shared" si="10"/>
        <v>0.22</v>
      </c>
      <c r="W156" s="352">
        <f t="shared" si="10"/>
        <v>0.123</v>
      </c>
      <c r="X156" s="352">
        <f t="shared" si="10"/>
        <v>0.123</v>
      </c>
      <c r="Y156" s="352">
        <f t="shared" si="10"/>
        <v>0.123</v>
      </c>
      <c r="Z156" s="352">
        <f t="shared" si="10"/>
        <v>0.123</v>
      </c>
      <c r="AA156" s="352">
        <f t="shared" si="10"/>
        <v>0.123</v>
      </c>
      <c r="AB156" s="352">
        <f t="shared" si="10"/>
        <v>9.2999999999999999E-2</v>
      </c>
      <c r="AC156" s="352">
        <f t="shared" si="10"/>
        <v>9.2999999999999999E-2</v>
      </c>
      <c r="AD156" s="352">
        <f t="shared" si="10"/>
        <v>9.2999999999999999E-2</v>
      </c>
      <c r="AE156" s="352">
        <f t="shared" si="10"/>
        <v>9.2999999999999999E-2</v>
      </c>
      <c r="AF156" s="352">
        <f t="shared" si="10"/>
        <v>9.2999999999999999E-2</v>
      </c>
      <c r="AG156" s="352">
        <f t="shared" si="10"/>
        <v>0</v>
      </c>
      <c r="AH156" s="352">
        <f t="shared" si="10"/>
        <v>0</v>
      </c>
      <c r="AI156" s="352">
        <f t="shared" si="10"/>
        <v>0</v>
      </c>
      <c r="AJ156" s="352">
        <f t="shared" si="10"/>
        <v>0.22800000000000001</v>
      </c>
      <c r="AK156" s="352">
        <f t="shared" si="10"/>
        <v>0</v>
      </c>
      <c r="AL156" s="352">
        <f t="shared" si="10"/>
        <v>0.191</v>
      </c>
      <c r="AM156" s="352">
        <f t="shared" si="10"/>
        <v>0</v>
      </c>
      <c r="AN156" s="352">
        <f t="shared" si="10"/>
        <v>0.16600000000000001</v>
      </c>
      <c r="AO156" s="352">
        <f t="shared" si="10"/>
        <v>0</v>
      </c>
      <c r="AP156" s="349"/>
      <c r="AQ156" s="349"/>
    </row>
    <row r="157" spans="1:43" x14ac:dyDescent="0.25">
      <c r="E157" s="96"/>
      <c r="J157" s="252"/>
      <c r="K157" s="252"/>
      <c r="L157" s="252"/>
      <c r="M157" s="252"/>
      <c r="N157" s="252"/>
      <c r="O157" s="252"/>
      <c r="P157" s="252"/>
      <c r="Q157" s="252"/>
      <c r="R157" s="252"/>
      <c r="S157" s="252"/>
      <c r="T157" s="252"/>
      <c r="U157" s="252"/>
      <c r="V157" s="252"/>
      <c r="W157" s="252"/>
      <c r="X157" s="252"/>
      <c r="Y157" s="252"/>
      <c r="Z157" s="252"/>
      <c r="AA157" s="252"/>
      <c r="AB157" s="252"/>
      <c r="AC157" s="252"/>
      <c r="AD157" s="252"/>
      <c r="AE157" s="252"/>
      <c r="AF157" s="252"/>
      <c r="AG157" s="252"/>
      <c r="AH157" s="252"/>
      <c r="AI157" s="252"/>
      <c r="AJ157" s="252"/>
      <c r="AK157" s="252"/>
      <c r="AL157" s="252"/>
      <c r="AM157" s="252"/>
      <c r="AN157" s="252"/>
      <c r="AO157" s="252"/>
    </row>
    <row r="158" spans="1:43" x14ac:dyDescent="0.25">
      <c r="E158" s="96" t="s">
        <v>774</v>
      </c>
      <c r="I158" s="293" t="s">
        <v>359</v>
      </c>
      <c r="J158" s="252"/>
      <c r="K158" s="252"/>
      <c r="L158" s="252"/>
      <c r="M158" s="252"/>
      <c r="N158" s="252"/>
      <c r="O158" s="252"/>
      <c r="P158" s="252"/>
      <c r="Q158" s="252"/>
      <c r="R158" s="252"/>
      <c r="S158" s="252"/>
      <c r="T158" s="252"/>
      <c r="U158" s="252"/>
      <c r="V158" s="252"/>
      <c r="W158" s="252"/>
      <c r="X158" s="252"/>
      <c r="Y158" s="252"/>
      <c r="Z158" s="252"/>
      <c r="AA158" s="252"/>
      <c r="AB158" s="252"/>
      <c r="AC158" s="252"/>
      <c r="AD158" s="252"/>
      <c r="AE158" s="252"/>
      <c r="AF158" s="252"/>
      <c r="AG158" s="252"/>
      <c r="AH158" s="252"/>
      <c r="AI158" s="252"/>
      <c r="AJ158" s="252"/>
      <c r="AK158" s="252"/>
      <c r="AL158" s="252"/>
      <c r="AM158" s="252"/>
      <c r="AN158" s="252"/>
      <c r="AO158" s="252"/>
      <c r="AQ158" s="293" t="s">
        <v>699</v>
      </c>
    </row>
    <row r="159" spans="1:43" x14ac:dyDescent="0.25">
      <c r="E159" s="86"/>
      <c r="F159" s="91" t="s">
        <v>134</v>
      </c>
      <c r="G159" s="91" t="s">
        <v>183</v>
      </c>
      <c r="H159" s="358"/>
      <c r="I159" s="347"/>
      <c r="J159" s="348">
        <f>ROUND(J130, $H95)</f>
        <v>5.5529999999999999</v>
      </c>
      <c r="K159" s="348">
        <f t="shared" ref="K159:AO165" si="11">ROUND(K130, $H95)</f>
        <v>5.5529999999999999</v>
      </c>
      <c r="L159" s="348">
        <f t="shared" si="11"/>
        <v>4.8949999999999996</v>
      </c>
      <c r="M159" s="348">
        <f t="shared" si="11"/>
        <v>4.8949999999999996</v>
      </c>
      <c r="N159" s="348">
        <f t="shared" si="11"/>
        <v>4.8949999999999996</v>
      </c>
      <c r="O159" s="348">
        <f t="shared" si="11"/>
        <v>4.8949999999999996</v>
      </c>
      <c r="P159" s="348">
        <f t="shared" si="11"/>
        <v>4.8949999999999996</v>
      </c>
      <c r="Q159" s="348">
        <f t="shared" si="11"/>
        <v>4.8949999999999996</v>
      </c>
      <c r="R159" s="348">
        <f t="shared" si="11"/>
        <v>3.823</v>
      </c>
      <c r="S159" s="348">
        <f t="shared" si="11"/>
        <v>3.823</v>
      </c>
      <c r="T159" s="348">
        <f t="shared" si="11"/>
        <v>3.823</v>
      </c>
      <c r="U159" s="348">
        <f t="shared" si="11"/>
        <v>3.823</v>
      </c>
      <c r="V159" s="348">
        <f t="shared" si="11"/>
        <v>3.823</v>
      </c>
      <c r="W159" s="359">
        <f t="shared" si="11"/>
        <v>0</v>
      </c>
      <c r="X159" s="359">
        <f t="shared" si="11"/>
        <v>0</v>
      </c>
      <c r="Y159" s="359">
        <f t="shared" si="11"/>
        <v>0</v>
      </c>
      <c r="Z159" s="359">
        <f t="shared" si="11"/>
        <v>0</v>
      </c>
      <c r="AA159" s="359">
        <f t="shared" si="11"/>
        <v>0</v>
      </c>
      <c r="AB159" s="359">
        <f t="shared" si="11"/>
        <v>0</v>
      </c>
      <c r="AC159" s="359">
        <f t="shared" si="11"/>
        <v>0</v>
      </c>
      <c r="AD159" s="359">
        <f t="shared" si="11"/>
        <v>0</v>
      </c>
      <c r="AE159" s="359">
        <f t="shared" si="11"/>
        <v>0</v>
      </c>
      <c r="AF159" s="359">
        <f t="shared" si="11"/>
        <v>0</v>
      </c>
      <c r="AG159" s="348">
        <f t="shared" si="11"/>
        <v>12.68</v>
      </c>
      <c r="AH159" s="348">
        <f t="shared" si="11"/>
        <v>-5.8360000000000003</v>
      </c>
      <c r="AI159" s="359">
        <f t="shared" si="11"/>
        <v>0</v>
      </c>
      <c r="AJ159" s="348">
        <f t="shared" si="11"/>
        <v>-5.8360000000000003</v>
      </c>
      <c r="AK159" s="359">
        <f t="shared" si="11"/>
        <v>0</v>
      </c>
      <c r="AL159" s="359">
        <f t="shared" si="11"/>
        <v>0</v>
      </c>
      <c r="AM159" s="359">
        <f t="shared" si="11"/>
        <v>0</v>
      </c>
      <c r="AN159" s="359">
        <f t="shared" si="11"/>
        <v>0</v>
      </c>
      <c r="AO159" s="359">
        <f t="shared" si="11"/>
        <v>0</v>
      </c>
      <c r="AP159" s="349"/>
      <c r="AQ159" s="349"/>
    </row>
    <row r="160" spans="1:43" x14ac:dyDescent="0.25">
      <c r="E160" s="86"/>
      <c r="F160" s="293" t="s">
        <v>135</v>
      </c>
      <c r="G160" s="293" t="s">
        <v>183</v>
      </c>
      <c r="H160" s="416"/>
      <c r="I160" s="349"/>
      <c r="J160" s="350">
        <f t="shared" ref="J160:J165" si="12">ROUND(J131, $H96)</f>
        <v>0.72</v>
      </c>
      <c r="K160" s="350">
        <f t="shared" si="11"/>
        <v>0.72</v>
      </c>
      <c r="L160" s="350">
        <f t="shared" si="11"/>
        <v>0.63500000000000001</v>
      </c>
      <c r="M160" s="350">
        <f t="shared" si="11"/>
        <v>0.63500000000000001</v>
      </c>
      <c r="N160" s="350">
        <f t="shared" si="11"/>
        <v>0.63500000000000001</v>
      </c>
      <c r="O160" s="350">
        <f t="shared" si="11"/>
        <v>0.63500000000000001</v>
      </c>
      <c r="P160" s="350">
        <f t="shared" si="11"/>
        <v>0.63500000000000001</v>
      </c>
      <c r="Q160" s="350">
        <f t="shared" si="11"/>
        <v>0.63500000000000001</v>
      </c>
      <c r="R160" s="350">
        <f t="shared" si="11"/>
        <v>0.42699999999999999</v>
      </c>
      <c r="S160" s="350">
        <f t="shared" si="11"/>
        <v>0.42699999999999999</v>
      </c>
      <c r="T160" s="350">
        <f t="shared" si="11"/>
        <v>0.42699999999999999</v>
      </c>
      <c r="U160" s="350">
        <f t="shared" si="11"/>
        <v>0.42699999999999999</v>
      </c>
      <c r="V160" s="350">
        <f t="shared" si="11"/>
        <v>0.42699999999999999</v>
      </c>
      <c r="W160" s="418">
        <f t="shared" si="11"/>
        <v>0</v>
      </c>
      <c r="X160" s="418">
        <f t="shared" si="11"/>
        <v>0</v>
      </c>
      <c r="Y160" s="418">
        <f t="shared" si="11"/>
        <v>0</v>
      </c>
      <c r="Z160" s="418">
        <f t="shared" si="11"/>
        <v>0</v>
      </c>
      <c r="AA160" s="418">
        <f t="shared" si="11"/>
        <v>0</v>
      </c>
      <c r="AB160" s="418">
        <f t="shared" si="11"/>
        <v>0</v>
      </c>
      <c r="AC160" s="418">
        <f t="shared" si="11"/>
        <v>0</v>
      </c>
      <c r="AD160" s="418">
        <f t="shared" si="11"/>
        <v>0</v>
      </c>
      <c r="AE160" s="418">
        <f t="shared" si="11"/>
        <v>0</v>
      </c>
      <c r="AF160" s="418">
        <f t="shared" si="11"/>
        <v>0</v>
      </c>
      <c r="AG160" s="350">
        <f t="shared" si="11"/>
        <v>2.3119999999999998</v>
      </c>
      <c r="AH160" s="350">
        <f t="shared" si="11"/>
        <v>-0.75700000000000001</v>
      </c>
      <c r="AI160" s="418">
        <f t="shared" si="11"/>
        <v>0</v>
      </c>
      <c r="AJ160" s="350">
        <f t="shared" si="11"/>
        <v>-0.75700000000000001</v>
      </c>
      <c r="AK160" s="418">
        <f t="shared" si="11"/>
        <v>0</v>
      </c>
      <c r="AL160" s="418">
        <f t="shared" si="11"/>
        <v>0</v>
      </c>
      <c r="AM160" s="418">
        <f t="shared" si="11"/>
        <v>0</v>
      </c>
      <c r="AN160" s="418">
        <f t="shared" si="11"/>
        <v>0</v>
      </c>
      <c r="AO160" s="418">
        <f t="shared" si="11"/>
        <v>0</v>
      </c>
      <c r="AP160" s="349"/>
      <c r="AQ160" s="349"/>
    </row>
    <row r="161" spans="2:43" x14ac:dyDescent="0.25">
      <c r="E161" s="86"/>
      <c r="F161" s="293" t="s">
        <v>136</v>
      </c>
      <c r="G161" s="293" t="s">
        <v>183</v>
      </c>
      <c r="H161" s="416"/>
      <c r="I161" s="349"/>
      <c r="J161" s="350">
        <f t="shared" si="12"/>
        <v>3.5000000000000003E-2</v>
      </c>
      <c r="K161" s="350">
        <f t="shared" si="11"/>
        <v>3.5000000000000003E-2</v>
      </c>
      <c r="L161" s="350">
        <f t="shared" si="11"/>
        <v>3.1E-2</v>
      </c>
      <c r="M161" s="350">
        <f t="shared" si="11"/>
        <v>3.1E-2</v>
      </c>
      <c r="N161" s="350">
        <f t="shared" si="11"/>
        <v>3.1E-2</v>
      </c>
      <c r="O161" s="350">
        <f t="shared" si="11"/>
        <v>3.1E-2</v>
      </c>
      <c r="P161" s="350">
        <f t="shared" si="11"/>
        <v>3.1E-2</v>
      </c>
      <c r="Q161" s="350">
        <f t="shared" si="11"/>
        <v>3.1E-2</v>
      </c>
      <c r="R161" s="350">
        <f t="shared" si="11"/>
        <v>0.02</v>
      </c>
      <c r="S161" s="350">
        <f t="shared" si="11"/>
        <v>0.02</v>
      </c>
      <c r="T161" s="350">
        <f t="shared" si="11"/>
        <v>0.02</v>
      </c>
      <c r="U161" s="350">
        <f t="shared" si="11"/>
        <v>0.02</v>
      </c>
      <c r="V161" s="350">
        <f t="shared" si="11"/>
        <v>0.02</v>
      </c>
      <c r="W161" s="418">
        <f t="shared" si="11"/>
        <v>0</v>
      </c>
      <c r="X161" s="418">
        <f t="shared" si="11"/>
        <v>0</v>
      </c>
      <c r="Y161" s="418">
        <f t="shared" si="11"/>
        <v>0</v>
      </c>
      <c r="Z161" s="418">
        <f t="shared" si="11"/>
        <v>0</v>
      </c>
      <c r="AA161" s="418">
        <f t="shared" si="11"/>
        <v>0</v>
      </c>
      <c r="AB161" s="418">
        <f t="shared" si="11"/>
        <v>0</v>
      </c>
      <c r="AC161" s="418">
        <f t="shared" si="11"/>
        <v>0</v>
      </c>
      <c r="AD161" s="418">
        <f t="shared" si="11"/>
        <v>0</v>
      </c>
      <c r="AE161" s="418">
        <f t="shared" si="11"/>
        <v>0</v>
      </c>
      <c r="AF161" s="418">
        <f t="shared" si="11"/>
        <v>0</v>
      </c>
      <c r="AG161" s="350">
        <f t="shared" si="11"/>
        <v>1.768</v>
      </c>
      <c r="AH161" s="350">
        <f t="shared" si="11"/>
        <v>-3.6999999999999998E-2</v>
      </c>
      <c r="AI161" s="418">
        <f t="shared" si="11"/>
        <v>0</v>
      </c>
      <c r="AJ161" s="350">
        <f t="shared" si="11"/>
        <v>-3.6999999999999998E-2</v>
      </c>
      <c r="AK161" s="418">
        <f t="shared" si="11"/>
        <v>0</v>
      </c>
      <c r="AL161" s="418">
        <f t="shared" si="11"/>
        <v>0</v>
      </c>
      <c r="AM161" s="418">
        <f t="shared" si="11"/>
        <v>0</v>
      </c>
      <c r="AN161" s="418">
        <f t="shared" si="11"/>
        <v>0</v>
      </c>
      <c r="AO161" s="418">
        <f t="shared" si="11"/>
        <v>0</v>
      </c>
      <c r="AP161" s="349"/>
      <c r="AQ161" s="349"/>
    </row>
    <row r="162" spans="2:43" x14ac:dyDescent="0.25">
      <c r="E162" s="86"/>
      <c r="F162" s="293" t="s">
        <v>254</v>
      </c>
      <c r="G162" s="293" t="s">
        <v>252</v>
      </c>
      <c r="H162" s="380"/>
      <c r="J162" s="256">
        <f t="shared" si="12"/>
        <v>6.99</v>
      </c>
      <c r="K162" s="256">
        <f t="shared" si="11"/>
        <v>0</v>
      </c>
      <c r="L162" s="256">
        <f t="shared" si="11"/>
        <v>5.32</v>
      </c>
      <c r="M162" s="256">
        <f t="shared" si="11"/>
        <v>7.41</v>
      </c>
      <c r="N162" s="256">
        <f t="shared" si="11"/>
        <v>12.16</v>
      </c>
      <c r="O162" s="256">
        <f t="shared" si="11"/>
        <v>20.82</v>
      </c>
      <c r="P162" s="256">
        <f t="shared" si="11"/>
        <v>47.49</v>
      </c>
      <c r="Q162" s="256">
        <f t="shared" si="11"/>
        <v>0</v>
      </c>
      <c r="R162" s="256">
        <f t="shared" si="11"/>
        <v>11.21</v>
      </c>
      <c r="S162" s="256">
        <f t="shared" si="11"/>
        <v>88.56</v>
      </c>
      <c r="T162" s="256">
        <f t="shared" si="11"/>
        <v>154.99</v>
      </c>
      <c r="U162" s="256">
        <f t="shared" si="11"/>
        <v>233.72</v>
      </c>
      <c r="V162" s="256">
        <f t="shared" si="11"/>
        <v>580.20000000000005</v>
      </c>
      <c r="W162" s="279">
        <f t="shared" si="11"/>
        <v>0</v>
      </c>
      <c r="X162" s="279">
        <f t="shared" si="11"/>
        <v>0</v>
      </c>
      <c r="Y162" s="279">
        <f t="shared" si="11"/>
        <v>0</v>
      </c>
      <c r="Z162" s="279">
        <f t="shared" si="11"/>
        <v>0</v>
      </c>
      <c r="AA162" s="279">
        <f t="shared" si="11"/>
        <v>0</v>
      </c>
      <c r="AB162" s="279">
        <f t="shared" si="11"/>
        <v>0</v>
      </c>
      <c r="AC162" s="279">
        <f t="shared" si="11"/>
        <v>0</v>
      </c>
      <c r="AD162" s="279">
        <f t="shared" si="11"/>
        <v>0</v>
      </c>
      <c r="AE162" s="279">
        <f t="shared" si="11"/>
        <v>0</v>
      </c>
      <c r="AF162" s="279">
        <f t="shared" si="11"/>
        <v>0</v>
      </c>
      <c r="AG162" s="256">
        <f t="shared" si="11"/>
        <v>0</v>
      </c>
      <c r="AH162" s="256">
        <f t="shared" si="11"/>
        <v>0</v>
      </c>
      <c r="AI162" s="279">
        <f t="shared" si="11"/>
        <v>0</v>
      </c>
      <c r="AJ162" s="256">
        <f t="shared" si="11"/>
        <v>0</v>
      </c>
      <c r="AK162" s="279">
        <f t="shared" si="11"/>
        <v>0</v>
      </c>
      <c r="AL162" s="279">
        <f t="shared" si="11"/>
        <v>0</v>
      </c>
      <c r="AM162" s="279">
        <f t="shared" si="11"/>
        <v>0</v>
      </c>
      <c r="AN162" s="279">
        <f t="shared" si="11"/>
        <v>0</v>
      </c>
      <c r="AO162" s="279">
        <f t="shared" si="11"/>
        <v>0</v>
      </c>
    </row>
    <row r="163" spans="2:43" x14ac:dyDescent="0.25">
      <c r="E163" s="86"/>
      <c r="F163" s="293" t="s">
        <v>255</v>
      </c>
      <c r="G163" s="293" t="s">
        <v>251</v>
      </c>
      <c r="H163" s="380"/>
      <c r="J163" s="256">
        <f t="shared" si="12"/>
        <v>0</v>
      </c>
      <c r="K163" s="256">
        <f t="shared" si="11"/>
        <v>0</v>
      </c>
      <c r="L163" s="256">
        <f t="shared" si="11"/>
        <v>0</v>
      </c>
      <c r="M163" s="256">
        <f t="shared" si="11"/>
        <v>0</v>
      </c>
      <c r="N163" s="256">
        <f t="shared" si="11"/>
        <v>0</v>
      </c>
      <c r="O163" s="256">
        <f t="shared" si="11"/>
        <v>0</v>
      </c>
      <c r="P163" s="256">
        <f t="shared" si="11"/>
        <v>0</v>
      </c>
      <c r="Q163" s="256">
        <f t="shared" si="11"/>
        <v>0</v>
      </c>
      <c r="R163" s="256">
        <f t="shared" si="11"/>
        <v>2.36</v>
      </c>
      <c r="S163" s="256">
        <f t="shared" si="11"/>
        <v>2.36</v>
      </c>
      <c r="T163" s="256">
        <f t="shared" si="11"/>
        <v>2.36</v>
      </c>
      <c r="U163" s="256">
        <f t="shared" si="11"/>
        <v>2.36</v>
      </c>
      <c r="V163" s="256">
        <f t="shared" si="11"/>
        <v>2.36</v>
      </c>
      <c r="W163" s="279">
        <f t="shared" si="11"/>
        <v>0</v>
      </c>
      <c r="X163" s="279">
        <f t="shared" si="11"/>
        <v>0</v>
      </c>
      <c r="Y163" s="279">
        <f t="shared" si="11"/>
        <v>0</v>
      </c>
      <c r="Z163" s="279">
        <f t="shared" si="11"/>
        <v>0</v>
      </c>
      <c r="AA163" s="279">
        <f t="shared" si="11"/>
        <v>0</v>
      </c>
      <c r="AB163" s="279">
        <f t="shared" si="11"/>
        <v>0</v>
      </c>
      <c r="AC163" s="279">
        <f t="shared" si="11"/>
        <v>0</v>
      </c>
      <c r="AD163" s="279">
        <f t="shared" si="11"/>
        <v>0</v>
      </c>
      <c r="AE163" s="279">
        <f t="shared" si="11"/>
        <v>0</v>
      </c>
      <c r="AF163" s="279">
        <f t="shared" si="11"/>
        <v>0</v>
      </c>
      <c r="AG163" s="256">
        <f t="shared" si="11"/>
        <v>0</v>
      </c>
      <c r="AH163" s="256">
        <f t="shared" si="11"/>
        <v>0</v>
      </c>
      <c r="AI163" s="279">
        <f t="shared" si="11"/>
        <v>0</v>
      </c>
      <c r="AJ163" s="256">
        <f t="shared" si="11"/>
        <v>0</v>
      </c>
      <c r="AK163" s="279">
        <f t="shared" si="11"/>
        <v>0</v>
      </c>
      <c r="AL163" s="279">
        <f t="shared" si="11"/>
        <v>0</v>
      </c>
      <c r="AM163" s="279">
        <f t="shared" si="11"/>
        <v>0</v>
      </c>
      <c r="AN163" s="279">
        <f t="shared" si="11"/>
        <v>0</v>
      </c>
      <c r="AO163" s="279">
        <f t="shared" si="11"/>
        <v>0</v>
      </c>
    </row>
    <row r="164" spans="2:43" x14ac:dyDescent="0.25">
      <c r="E164" s="86"/>
      <c r="F164" s="293" t="s">
        <v>256</v>
      </c>
      <c r="G164" s="293" t="s">
        <v>251</v>
      </c>
      <c r="H164" s="380"/>
      <c r="J164" s="256">
        <f t="shared" si="12"/>
        <v>0</v>
      </c>
      <c r="K164" s="256">
        <f t="shared" si="11"/>
        <v>0</v>
      </c>
      <c r="L164" s="256">
        <f t="shared" si="11"/>
        <v>0</v>
      </c>
      <c r="M164" s="256">
        <f t="shared" si="11"/>
        <v>0</v>
      </c>
      <c r="N164" s="256">
        <f t="shared" si="11"/>
        <v>0</v>
      </c>
      <c r="O164" s="256">
        <f t="shared" si="11"/>
        <v>0</v>
      </c>
      <c r="P164" s="256">
        <f t="shared" si="11"/>
        <v>0</v>
      </c>
      <c r="Q164" s="256">
        <f t="shared" si="11"/>
        <v>0</v>
      </c>
      <c r="R164" s="256">
        <f t="shared" si="11"/>
        <v>4.42</v>
      </c>
      <c r="S164" s="256">
        <f t="shared" si="11"/>
        <v>4.42</v>
      </c>
      <c r="T164" s="256">
        <f t="shared" si="11"/>
        <v>4.42</v>
      </c>
      <c r="U164" s="256">
        <f t="shared" si="11"/>
        <v>4.42</v>
      </c>
      <c r="V164" s="256">
        <f t="shared" si="11"/>
        <v>4.42</v>
      </c>
      <c r="W164" s="279">
        <f t="shared" si="11"/>
        <v>0</v>
      </c>
      <c r="X164" s="279">
        <f t="shared" si="11"/>
        <v>0</v>
      </c>
      <c r="Y164" s="279">
        <f t="shared" si="11"/>
        <v>0</v>
      </c>
      <c r="Z164" s="279">
        <f t="shared" si="11"/>
        <v>0</v>
      </c>
      <c r="AA164" s="279">
        <f t="shared" si="11"/>
        <v>0</v>
      </c>
      <c r="AB164" s="279">
        <f t="shared" si="11"/>
        <v>0</v>
      </c>
      <c r="AC164" s="279">
        <f t="shared" si="11"/>
        <v>0</v>
      </c>
      <c r="AD164" s="279">
        <f t="shared" si="11"/>
        <v>0</v>
      </c>
      <c r="AE164" s="279">
        <f t="shared" si="11"/>
        <v>0</v>
      </c>
      <c r="AF164" s="279">
        <f t="shared" si="11"/>
        <v>0</v>
      </c>
      <c r="AG164" s="256">
        <f t="shared" si="11"/>
        <v>0</v>
      </c>
      <c r="AH164" s="256">
        <f t="shared" si="11"/>
        <v>0</v>
      </c>
      <c r="AI164" s="279">
        <f t="shared" si="11"/>
        <v>0</v>
      </c>
      <c r="AJ164" s="256">
        <f t="shared" si="11"/>
        <v>0</v>
      </c>
      <c r="AK164" s="279">
        <f t="shared" si="11"/>
        <v>0</v>
      </c>
      <c r="AL164" s="279">
        <f t="shared" si="11"/>
        <v>0</v>
      </c>
      <c r="AM164" s="279">
        <f t="shared" si="11"/>
        <v>0</v>
      </c>
      <c r="AN164" s="279">
        <f t="shared" si="11"/>
        <v>0</v>
      </c>
      <c r="AO164" s="279">
        <f t="shared" si="11"/>
        <v>0</v>
      </c>
    </row>
    <row r="165" spans="2:43" x14ac:dyDescent="0.25">
      <c r="E165" s="86"/>
      <c r="F165" s="93" t="s">
        <v>257</v>
      </c>
      <c r="G165" s="93" t="s">
        <v>258</v>
      </c>
      <c r="H165" s="361"/>
      <c r="I165" s="351"/>
      <c r="J165" s="352">
        <f t="shared" si="12"/>
        <v>0</v>
      </c>
      <c r="K165" s="352">
        <f t="shared" si="11"/>
        <v>0</v>
      </c>
      <c r="L165" s="352">
        <f t="shared" si="11"/>
        <v>0</v>
      </c>
      <c r="M165" s="352">
        <f t="shared" si="11"/>
        <v>0</v>
      </c>
      <c r="N165" s="352">
        <f t="shared" si="11"/>
        <v>0</v>
      </c>
      <c r="O165" s="352">
        <f t="shared" si="11"/>
        <v>0</v>
      </c>
      <c r="P165" s="352">
        <f t="shared" si="11"/>
        <v>0</v>
      </c>
      <c r="Q165" s="352">
        <f t="shared" si="11"/>
        <v>0</v>
      </c>
      <c r="R165" s="352">
        <f t="shared" si="11"/>
        <v>0.14199999999999999</v>
      </c>
      <c r="S165" s="352">
        <f t="shared" si="11"/>
        <v>0.14199999999999999</v>
      </c>
      <c r="T165" s="352">
        <f t="shared" si="11"/>
        <v>0.14199999999999999</v>
      </c>
      <c r="U165" s="352">
        <f t="shared" si="11"/>
        <v>0.14199999999999999</v>
      </c>
      <c r="V165" s="352">
        <f t="shared" si="11"/>
        <v>0.14199999999999999</v>
      </c>
      <c r="W165" s="356">
        <f t="shared" si="11"/>
        <v>0</v>
      </c>
      <c r="X165" s="356">
        <f t="shared" si="11"/>
        <v>0</v>
      </c>
      <c r="Y165" s="356">
        <f t="shared" si="11"/>
        <v>0</v>
      </c>
      <c r="Z165" s="356">
        <f t="shared" si="11"/>
        <v>0</v>
      </c>
      <c r="AA165" s="356">
        <f t="shared" si="11"/>
        <v>0</v>
      </c>
      <c r="AB165" s="356">
        <f t="shared" si="11"/>
        <v>0</v>
      </c>
      <c r="AC165" s="356">
        <f t="shared" si="11"/>
        <v>0</v>
      </c>
      <c r="AD165" s="356">
        <f t="shared" si="11"/>
        <v>0</v>
      </c>
      <c r="AE165" s="356">
        <f t="shared" si="11"/>
        <v>0</v>
      </c>
      <c r="AF165" s="356">
        <f t="shared" si="11"/>
        <v>0</v>
      </c>
      <c r="AG165" s="352">
        <f t="shared" si="11"/>
        <v>0</v>
      </c>
      <c r="AH165" s="352">
        <f t="shared" si="11"/>
        <v>0</v>
      </c>
      <c r="AI165" s="356">
        <f t="shared" si="11"/>
        <v>0</v>
      </c>
      <c r="AJ165" s="352">
        <f t="shared" si="11"/>
        <v>0.22800000000000001</v>
      </c>
      <c r="AK165" s="356">
        <f t="shared" si="11"/>
        <v>0</v>
      </c>
      <c r="AL165" s="356">
        <f t="shared" si="11"/>
        <v>0</v>
      </c>
      <c r="AM165" s="356">
        <f t="shared" si="11"/>
        <v>0</v>
      </c>
      <c r="AN165" s="356">
        <f t="shared" si="11"/>
        <v>0</v>
      </c>
      <c r="AO165" s="356">
        <f t="shared" si="11"/>
        <v>0</v>
      </c>
      <c r="AP165" s="349"/>
      <c r="AQ165" s="349"/>
    </row>
    <row r="166" spans="2:43" x14ac:dyDescent="0.25">
      <c r="E166" s="86"/>
      <c r="J166" s="252"/>
      <c r="K166" s="252"/>
      <c r="L166" s="252"/>
      <c r="M166" s="252"/>
      <c r="N166" s="252"/>
      <c r="O166" s="252"/>
      <c r="P166" s="252"/>
      <c r="Q166" s="252"/>
      <c r="R166" s="252"/>
      <c r="S166" s="252"/>
      <c r="T166" s="252"/>
      <c r="U166" s="252"/>
      <c r="V166" s="252"/>
      <c r="W166" s="252"/>
      <c r="X166" s="252"/>
      <c r="Y166" s="252"/>
      <c r="Z166" s="252"/>
      <c r="AA166" s="252"/>
      <c r="AB166" s="252"/>
      <c r="AC166" s="252"/>
      <c r="AD166" s="252"/>
      <c r="AE166" s="252"/>
      <c r="AF166" s="252"/>
      <c r="AG166" s="252"/>
      <c r="AH166" s="252"/>
      <c r="AI166" s="252"/>
      <c r="AJ166" s="252"/>
      <c r="AK166" s="252"/>
      <c r="AL166" s="252"/>
      <c r="AM166" s="252"/>
      <c r="AN166" s="252"/>
      <c r="AO166" s="252"/>
    </row>
    <row r="167" spans="2:43" x14ac:dyDescent="0.25">
      <c r="E167" s="96" t="s">
        <v>775</v>
      </c>
      <c r="I167" s="293" t="s">
        <v>359</v>
      </c>
      <c r="J167" s="252"/>
      <c r="K167" s="252"/>
      <c r="L167" s="252"/>
      <c r="M167" s="252"/>
      <c r="N167" s="252"/>
      <c r="O167" s="252"/>
      <c r="P167" s="252"/>
      <c r="Q167" s="252"/>
      <c r="R167" s="252"/>
      <c r="S167" s="252"/>
      <c r="T167" s="252"/>
      <c r="U167" s="252"/>
      <c r="V167" s="252"/>
      <c r="W167" s="252"/>
      <c r="X167" s="252"/>
      <c r="Y167" s="252"/>
      <c r="Z167" s="252"/>
      <c r="AA167" s="252"/>
      <c r="AB167" s="252"/>
      <c r="AC167" s="252"/>
      <c r="AD167" s="252"/>
      <c r="AE167" s="252"/>
      <c r="AF167" s="252"/>
      <c r="AG167" s="252"/>
      <c r="AH167" s="252"/>
      <c r="AI167" s="252"/>
      <c r="AJ167" s="252"/>
      <c r="AK167" s="252"/>
      <c r="AL167" s="252"/>
      <c r="AM167" s="252"/>
      <c r="AN167" s="252"/>
      <c r="AO167" s="252"/>
      <c r="AQ167" s="293" t="s">
        <v>699</v>
      </c>
    </row>
    <row r="168" spans="2:43" x14ac:dyDescent="0.25">
      <c r="C168" s="86"/>
      <c r="F168" s="91" t="s">
        <v>134</v>
      </c>
      <c r="G168" s="91" t="s">
        <v>183</v>
      </c>
      <c r="H168" s="358"/>
      <c r="I168" s="347"/>
      <c r="J168" s="348">
        <f t="shared" ref="J168:AO174" si="13">ROUND( J139, $H95)</f>
        <v>3.9830000000000001</v>
      </c>
      <c r="K168" s="348">
        <f t="shared" si="13"/>
        <v>3.9830000000000001</v>
      </c>
      <c r="L168" s="348">
        <f t="shared" si="13"/>
        <v>3.5110000000000001</v>
      </c>
      <c r="M168" s="348">
        <f t="shared" si="13"/>
        <v>3.5110000000000001</v>
      </c>
      <c r="N168" s="348">
        <f t="shared" si="13"/>
        <v>3.5110000000000001</v>
      </c>
      <c r="O168" s="348">
        <f t="shared" si="13"/>
        <v>3.5110000000000001</v>
      </c>
      <c r="P168" s="348">
        <f t="shared" si="13"/>
        <v>3.5110000000000001</v>
      </c>
      <c r="Q168" s="348">
        <f t="shared" si="13"/>
        <v>3.5110000000000001</v>
      </c>
      <c r="R168" s="348">
        <f t="shared" si="13"/>
        <v>2.742</v>
      </c>
      <c r="S168" s="348">
        <f t="shared" si="13"/>
        <v>2.742</v>
      </c>
      <c r="T168" s="348">
        <f t="shared" si="13"/>
        <v>2.742</v>
      </c>
      <c r="U168" s="348">
        <f t="shared" si="13"/>
        <v>2.742</v>
      </c>
      <c r="V168" s="348">
        <f t="shared" si="13"/>
        <v>2.742</v>
      </c>
      <c r="W168" s="348">
        <f t="shared" si="13"/>
        <v>2.8889999999999998</v>
      </c>
      <c r="X168" s="348">
        <f t="shared" si="13"/>
        <v>2.8889999999999998</v>
      </c>
      <c r="Y168" s="348">
        <f t="shared" si="13"/>
        <v>2.8889999999999998</v>
      </c>
      <c r="Z168" s="348">
        <f t="shared" si="13"/>
        <v>2.8889999999999998</v>
      </c>
      <c r="AA168" s="348">
        <f t="shared" si="13"/>
        <v>2.8889999999999998</v>
      </c>
      <c r="AB168" s="348">
        <f t="shared" si="13"/>
        <v>2.6970000000000001</v>
      </c>
      <c r="AC168" s="348">
        <f t="shared" si="13"/>
        <v>2.6970000000000001</v>
      </c>
      <c r="AD168" s="348">
        <f t="shared" si="13"/>
        <v>2.6970000000000001</v>
      </c>
      <c r="AE168" s="348">
        <f t="shared" si="13"/>
        <v>2.6970000000000001</v>
      </c>
      <c r="AF168" s="348">
        <f t="shared" si="13"/>
        <v>2.6970000000000001</v>
      </c>
      <c r="AG168" s="348">
        <f t="shared" si="13"/>
        <v>9.0950000000000006</v>
      </c>
      <c r="AH168" s="348">
        <f t="shared" si="13"/>
        <v>-5.8360000000000003</v>
      </c>
      <c r="AI168" s="348">
        <f t="shared" si="13"/>
        <v>-5.2140000000000004</v>
      </c>
      <c r="AJ168" s="348">
        <f t="shared" si="13"/>
        <v>-5.8360000000000003</v>
      </c>
      <c r="AK168" s="359">
        <f t="shared" si="13"/>
        <v>0</v>
      </c>
      <c r="AL168" s="348">
        <f t="shared" si="13"/>
        <v>-5.2140000000000004</v>
      </c>
      <c r="AM168" s="359">
        <f t="shared" si="13"/>
        <v>0</v>
      </c>
      <c r="AN168" s="348">
        <f t="shared" si="13"/>
        <v>-4.0259999999999998</v>
      </c>
      <c r="AO168" s="359">
        <f t="shared" si="13"/>
        <v>0</v>
      </c>
      <c r="AP168" s="349"/>
      <c r="AQ168" s="349"/>
    </row>
    <row r="169" spans="2:43" x14ac:dyDescent="0.25">
      <c r="C169" s="86"/>
      <c r="F169" s="293" t="s">
        <v>135</v>
      </c>
      <c r="G169" s="293" t="s">
        <v>183</v>
      </c>
      <c r="H169" s="416"/>
      <c r="I169" s="349"/>
      <c r="J169" s="350">
        <f t="shared" si="13"/>
        <v>0.51700000000000002</v>
      </c>
      <c r="K169" s="350">
        <f t="shared" si="13"/>
        <v>0.51700000000000002</v>
      </c>
      <c r="L169" s="350">
        <f t="shared" si="13"/>
        <v>0.45500000000000002</v>
      </c>
      <c r="M169" s="350">
        <f t="shared" si="13"/>
        <v>0.45500000000000002</v>
      </c>
      <c r="N169" s="350">
        <f t="shared" si="13"/>
        <v>0.45500000000000002</v>
      </c>
      <c r="O169" s="350">
        <f t="shared" si="13"/>
        <v>0.45500000000000002</v>
      </c>
      <c r="P169" s="350">
        <f t="shared" si="13"/>
        <v>0.45500000000000002</v>
      </c>
      <c r="Q169" s="350">
        <f t="shared" si="13"/>
        <v>0.45500000000000002</v>
      </c>
      <c r="R169" s="350">
        <f t="shared" si="13"/>
        <v>0.307</v>
      </c>
      <c r="S169" s="350">
        <f t="shared" si="13"/>
        <v>0.307</v>
      </c>
      <c r="T169" s="350">
        <f t="shared" si="13"/>
        <v>0.307</v>
      </c>
      <c r="U169" s="350">
        <f t="shared" si="13"/>
        <v>0.307</v>
      </c>
      <c r="V169" s="350">
        <f t="shared" si="13"/>
        <v>0.307</v>
      </c>
      <c r="W169" s="350">
        <f t="shared" si="13"/>
        <v>0.221</v>
      </c>
      <c r="X169" s="350">
        <f t="shared" si="13"/>
        <v>0.221</v>
      </c>
      <c r="Y169" s="350">
        <f t="shared" si="13"/>
        <v>0.221</v>
      </c>
      <c r="Z169" s="350">
        <f t="shared" si="13"/>
        <v>0.221</v>
      </c>
      <c r="AA169" s="350">
        <f t="shared" si="13"/>
        <v>0.221</v>
      </c>
      <c r="AB169" s="350">
        <f t="shared" si="13"/>
        <v>0.183</v>
      </c>
      <c r="AC169" s="350">
        <f t="shared" si="13"/>
        <v>0.183</v>
      </c>
      <c r="AD169" s="350">
        <f t="shared" si="13"/>
        <v>0.183</v>
      </c>
      <c r="AE169" s="350">
        <f t="shared" si="13"/>
        <v>0.183</v>
      </c>
      <c r="AF169" s="350">
        <f t="shared" si="13"/>
        <v>0.183</v>
      </c>
      <c r="AG169" s="350">
        <f t="shared" si="13"/>
        <v>1.6579999999999999</v>
      </c>
      <c r="AH169" s="350">
        <f t="shared" si="13"/>
        <v>-0.75700000000000001</v>
      </c>
      <c r="AI169" s="350">
        <f t="shared" si="13"/>
        <v>-0.61899999999999999</v>
      </c>
      <c r="AJ169" s="350">
        <f t="shared" si="13"/>
        <v>-0.75700000000000001</v>
      </c>
      <c r="AK169" s="418">
        <f t="shared" si="13"/>
        <v>0</v>
      </c>
      <c r="AL169" s="350">
        <f t="shared" si="13"/>
        <v>-0.61899999999999999</v>
      </c>
      <c r="AM169" s="418">
        <f t="shared" si="13"/>
        <v>0</v>
      </c>
      <c r="AN169" s="350">
        <f t="shared" si="13"/>
        <v>-0.307</v>
      </c>
      <c r="AO169" s="418">
        <f t="shared" si="13"/>
        <v>0</v>
      </c>
      <c r="AP169" s="349"/>
      <c r="AQ169" s="349"/>
    </row>
    <row r="170" spans="2:43" x14ac:dyDescent="0.25">
      <c r="C170" s="86"/>
      <c r="F170" s="293" t="s">
        <v>136</v>
      </c>
      <c r="G170" s="293" t="s">
        <v>183</v>
      </c>
      <c r="H170" s="416"/>
      <c r="I170" s="349"/>
      <c r="J170" s="350">
        <f t="shared" si="13"/>
        <v>2.5000000000000001E-2</v>
      </c>
      <c r="K170" s="350">
        <f t="shared" si="13"/>
        <v>2.5000000000000001E-2</v>
      </c>
      <c r="L170" s="350">
        <f t="shared" si="13"/>
        <v>2.1999999999999999E-2</v>
      </c>
      <c r="M170" s="350">
        <f t="shared" si="13"/>
        <v>2.1999999999999999E-2</v>
      </c>
      <c r="N170" s="350">
        <f t="shared" si="13"/>
        <v>2.1999999999999999E-2</v>
      </c>
      <c r="O170" s="350">
        <f t="shared" si="13"/>
        <v>2.1999999999999999E-2</v>
      </c>
      <c r="P170" s="350">
        <f t="shared" si="13"/>
        <v>2.1999999999999999E-2</v>
      </c>
      <c r="Q170" s="350">
        <f t="shared" si="13"/>
        <v>2.1999999999999999E-2</v>
      </c>
      <c r="R170" s="350">
        <f t="shared" si="13"/>
        <v>1.4E-2</v>
      </c>
      <c r="S170" s="350">
        <f t="shared" si="13"/>
        <v>1.4E-2</v>
      </c>
      <c r="T170" s="350">
        <f t="shared" si="13"/>
        <v>1.4E-2</v>
      </c>
      <c r="U170" s="350">
        <f t="shared" si="13"/>
        <v>1.4E-2</v>
      </c>
      <c r="V170" s="350">
        <f t="shared" si="13"/>
        <v>1.4E-2</v>
      </c>
      <c r="W170" s="350">
        <f t="shared" si="13"/>
        <v>8.9999999999999993E-3</v>
      </c>
      <c r="X170" s="350">
        <f t="shared" si="13"/>
        <v>8.9999999999999993E-3</v>
      </c>
      <c r="Y170" s="350">
        <f t="shared" si="13"/>
        <v>8.9999999999999993E-3</v>
      </c>
      <c r="Z170" s="350">
        <f t="shared" si="13"/>
        <v>8.9999999999999993E-3</v>
      </c>
      <c r="AA170" s="350">
        <f t="shared" si="13"/>
        <v>8.9999999999999993E-3</v>
      </c>
      <c r="AB170" s="350">
        <f t="shared" si="13"/>
        <v>8.0000000000000002E-3</v>
      </c>
      <c r="AC170" s="350">
        <f t="shared" si="13"/>
        <v>8.0000000000000002E-3</v>
      </c>
      <c r="AD170" s="350">
        <f t="shared" si="13"/>
        <v>8.0000000000000002E-3</v>
      </c>
      <c r="AE170" s="350">
        <f t="shared" si="13"/>
        <v>8.0000000000000002E-3</v>
      </c>
      <c r="AF170" s="350">
        <f t="shared" si="13"/>
        <v>8.0000000000000002E-3</v>
      </c>
      <c r="AG170" s="350">
        <f t="shared" si="13"/>
        <v>1.268</v>
      </c>
      <c r="AH170" s="350">
        <f t="shared" si="13"/>
        <v>-3.6999999999999998E-2</v>
      </c>
      <c r="AI170" s="350">
        <f t="shared" si="13"/>
        <v>-2.9000000000000001E-2</v>
      </c>
      <c r="AJ170" s="350">
        <f t="shared" si="13"/>
        <v>-3.6999999999999998E-2</v>
      </c>
      <c r="AK170" s="418">
        <f t="shared" si="13"/>
        <v>0</v>
      </c>
      <c r="AL170" s="350">
        <f t="shared" si="13"/>
        <v>-2.9000000000000001E-2</v>
      </c>
      <c r="AM170" s="418">
        <f t="shared" si="13"/>
        <v>0</v>
      </c>
      <c r="AN170" s="350">
        <f t="shared" si="13"/>
        <v>-1.2999999999999999E-2</v>
      </c>
      <c r="AO170" s="418">
        <f t="shared" si="13"/>
        <v>0</v>
      </c>
      <c r="AP170" s="349"/>
      <c r="AQ170" s="349"/>
    </row>
    <row r="171" spans="2:43" x14ac:dyDescent="0.25">
      <c r="C171" s="86"/>
      <c r="F171" s="293" t="s">
        <v>254</v>
      </c>
      <c r="G171" s="293" t="s">
        <v>252</v>
      </c>
      <c r="H171" s="380"/>
      <c r="J171" s="256">
        <f t="shared" si="13"/>
        <v>5.09</v>
      </c>
      <c r="K171" s="256">
        <f t="shared" si="13"/>
        <v>0</v>
      </c>
      <c r="L171" s="256">
        <f t="shared" si="13"/>
        <v>3.87</v>
      </c>
      <c r="M171" s="256">
        <f t="shared" si="13"/>
        <v>5.36</v>
      </c>
      <c r="N171" s="256">
        <f t="shared" si="13"/>
        <v>8.77</v>
      </c>
      <c r="O171" s="256">
        <f t="shared" si="13"/>
        <v>14.98</v>
      </c>
      <c r="P171" s="256">
        <f t="shared" si="13"/>
        <v>34.11</v>
      </c>
      <c r="Q171" s="256">
        <f t="shared" si="13"/>
        <v>0</v>
      </c>
      <c r="R171" s="256">
        <f t="shared" si="13"/>
        <v>8.09</v>
      </c>
      <c r="S171" s="256">
        <f t="shared" si="13"/>
        <v>63.57</v>
      </c>
      <c r="T171" s="256">
        <f t="shared" si="13"/>
        <v>111.22</v>
      </c>
      <c r="U171" s="256">
        <f t="shared" si="13"/>
        <v>167.69</v>
      </c>
      <c r="V171" s="256">
        <f t="shared" si="13"/>
        <v>416.21</v>
      </c>
      <c r="W171" s="256">
        <f t="shared" si="13"/>
        <v>29.84</v>
      </c>
      <c r="X171" s="256">
        <f t="shared" si="13"/>
        <v>118.46</v>
      </c>
      <c r="Y171" s="256">
        <f t="shared" si="13"/>
        <v>194.57</v>
      </c>
      <c r="Z171" s="256">
        <f t="shared" si="13"/>
        <v>284.77</v>
      </c>
      <c r="AA171" s="256">
        <f t="shared" si="13"/>
        <v>681.76</v>
      </c>
      <c r="AB171" s="256">
        <f t="shared" si="13"/>
        <v>147.81</v>
      </c>
      <c r="AC171" s="256">
        <f t="shared" si="13"/>
        <v>770.29</v>
      </c>
      <c r="AD171" s="256">
        <f t="shared" si="13"/>
        <v>1963.98</v>
      </c>
      <c r="AE171" s="256">
        <f t="shared" si="13"/>
        <v>3481.34</v>
      </c>
      <c r="AF171" s="256">
        <f t="shared" si="13"/>
        <v>8905.42</v>
      </c>
      <c r="AG171" s="256">
        <f t="shared" si="13"/>
        <v>0</v>
      </c>
      <c r="AH171" s="256">
        <f t="shared" si="13"/>
        <v>0</v>
      </c>
      <c r="AI171" s="256">
        <f t="shared" si="13"/>
        <v>0</v>
      </c>
      <c r="AJ171" s="256">
        <f t="shared" si="13"/>
        <v>0</v>
      </c>
      <c r="AK171" s="279">
        <f t="shared" si="13"/>
        <v>0</v>
      </c>
      <c r="AL171" s="256">
        <f t="shared" si="13"/>
        <v>0</v>
      </c>
      <c r="AM171" s="279">
        <f t="shared" si="13"/>
        <v>0</v>
      </c>
      <c r="AN171" s="256">
        <f t="shared" si="13"/>
        <v>0</v>
      </c>
      <c r="AO171" s="279">
        <f t="shared" si="13"/>
        <v>0</v>
      </c>
    </row>
    <row r="172" spans="2:43" x14ac:dyDescent="0.25">
      <c r="C172" s="86"/>
      <c r="F172" s="293" t="s">
        <v>255</v>
      </c>
      <c r="G172" s="293" t="s">
        <v>251</v>
      </c>
      <c r="H172" s="380"/>
      <c r="J172" s="256">
        <f t="shared" si="13"/>
        <v>0</v>
      </c>
      <c r="K172" s="256">
        <f t="shared" si="13"/>
        <v>0</v>
      </c>
      <c r="L172" s="256">
        <f t="shared" si="13"/>
        <v>0</v>
      </c>
      <c r="M172" s="256">
        <f t="shared" si="13"/>
        <v>0</v>
      </c>
      <c r="N172" s="256">
        <f t="shared" si="13"/>
        <v>0</v>
      </c>
      <c r="O172" s="256">
        <f t="shared" si="13"/>
        <v>0</v>
      </c>
      <c r="P172" s="256">
        <f t="shared" si="13"/>
        <v>0</v>
      </c>
      <c r="Q172" s="256">
        <f t="shared" si="13"/>
        <v>0</v>
      </c>
      <c r="R172" s="256">
        <f t="shared" si="13"/>
        <v>1.7</v>
      </c>
      <c r="S172" s="256">
        <f t="shared" si="13"/>
        <v>1.7</v>
      </c>
      <c r="T172" s="256">
        <f t="shared" si="13"/>
        <v>1.7</v>
      </c>
      <c r="U172" s="256">
        <f t="shared" si="13"/>
        <v>1.7</v>
      </c>
      <c r="V172" s="256">
        <f t="shared" si="13"/>
        <v>1.7</v>
      </c>
      <c r="W172" s="256">
        <f t="shared" si="13"/>
        <v>3.64</v>
      </c>
      <c r="X172" s="256">
        <f t="shared" si="13"/>
        <v>3.64</v>
      </c>
      <c r="Y172" s="256">
        <f t="shared" si="13"/>
        <v>3.64</v>
      </c>
      <c r="Z172" s="256">
        <f t="shared" si="13"/>
        <v>3.64</v>
      </c>
      <c r="AA172" s="256">
        <f t="shared" si="13"/>
        <v>3.64</v>
      </c>
      <c r="AB172" s="256">
        <f t="shared" si="13"/>
        <v>4.9800000000000004</v>
      </c>
      <c r="AC172" s="256">
        <f t="shared" si="13"/>
        <v>4.9800000000000004</v>
      </c>
      <c r="AD172" s="256">
        <f t="shared" si="13"/>
        <v>4.9800000000000004</v>
      </c>
      <c r="AE172" s="256">
        <f t="shared" si="13"/>
        <v>4.9800000000000004</v>
      </c>
      <c r="AF172" s="256">
        <f t="shared" si="13"/>
        <v>4.9800000000000004</v>
      </c>
      <c r="AG172" s="256">
        <f t="shared" si="13"/>
        <v>0</v>
      </c>
      <c r="AH172" s="256">
        <f t="shared" si="13"/>
        <v>0</v>
      </c>
      <c r="AI172" s="256">
        <f t="shared" si="13"/>
        <v>0</v>
      </c>
      <c r="AJ172" s="256">
        <f t="shared" si="13"/>
        <v>0</v>
      </c>
      <c r="AK172" s="279">
        <f t="shared" si="13"/>
        <v>0</v>
      </c>
      <c r="AL172" s="256">
        <f t="shared" si="13"/>
        <v>0</v>
      </c>
      <c r="AM172" s="279">
        <f t="shared" si="13"/>
        <v>0</v>
      </c>
      <c r="AN172" s="256">
        <f t="shared" si="13"/>
        <v>0</v>
      </c>
      <c r="AO172" s="279">
        <f t="shared" si="13"/>
        <v>0</v>
      </c>
    </row>
    <row r="173" spans="2:43" x14ac:dyDescent="0.25">
      <c r="C173" s="86"/>
      <c r="F173" s="293" t="s">
        <v>256</v>
      </c>
      <c r="G173" s="293" t="s">
        <v>251</v>
      </c>
      <c r="H173" s="380"/>
      <c r="J173" s="256">
        <f t="shared" si="13"/>
        <v>0</v>
      </c>
      <c r="K173" s="256">
        <f t="shared" si="13"/>
        <v>0</v>
      </c>
      <c r="L173" s="256">
        <f t="shared" si="13"/>
        <v>0</v>
      </c>
      <c r="M173" s="256">
        <f t="shared" si="13"/>
        <v>0</v>
      </c>
      <c r="N173" s="256">
        <f t="shared" si="13"/>
        <v>0</v>
      </c>
      <c r="O173" s="256">
        <f t="shared" si="13"/>
        <v>0</v>
      </c>
      <c r="P173" s="256">
        <f t="shared" si="13"/>
        <v>0</v>
      </c>
      <c r="Q173" s="256">
        <f t="shared" si="13"/>
        <v>0</v>
      </c>
      <c r="R173" s="256">
        <f t="shared" si="13"/>
        <v>3.17</v>
      </c>
      <c r="S173" s="256">
        <f t="shared" si="13"/>
        <v>3.17</v>
      </c>
      <c r="T173" s="256">
        <f t="shared" si="13"/>
        <v>3.17</v>
      </c>
      <c r="U173" s="256">
        <f t="shared" si="13"/>
        <v>3.17</v>
      </c>
      <c r="V173" s="256">
        <f t="shared" si="13"/>
        <v>3.17</v>
      </c>
      <c r="W173" s="256">
        <f t="shared" si="13"/>
        <v>4.75</v>
      </c>
      <c r="X173" s="256">
        <f t="shared" si="13"/>
        <v>4.75</v>
      </c>
      <c r="Y173" s="256">
        <f t="shared" si="13"/>
        <v>4.75</v>
      </c>
      <c r="Z173" s="256">
        <f t="shared" si="13"/>
        <v>4.75</v>
      </c>
      <c r="AA173" s="256">
        <f t="shared" si="13"/>
        <v>4.75</v>
      </c>
      <c r="AB173" s="256">
        <f t="shared" si="13"/>
        <v>6.02</v>
      </c>
      <c r="AC173" s="256">
        <f t="shared" si="13"/>
        <v>6.02</v>
      </c>
      <c r="AD173" s="256">
        <f t="shared" si="13"/>
        <v>6.02</v>
      </c>
      <c r="AE173" s="256">
        <f t="shared" si="13"/>
        <v>6.02</v>
      </c>
      <c r="AF173" s="256">
        <f t="shared" si="13"/>
        <v>6.02</v>
      </c>
      <c r="AG173" s="256">
        <f t="shared" si="13"/>
        <v>0</v>
      </c>
      <c r="AH173" s="256">
        <f t="shared" si="13"/>
        <v>0</v>
      </c>
      <c r="AI173" s="256">
        <f t="shared" si="13"/>
        <v>0</v>
      </c>
      <c r="AJ173" s="256">
        <f t="shared" si="13"/>
        <v>0</v>
      </c>
      <c r="AK173" s="279">
        <f t="shared" si="13"/>
        <v>0</v>
      </c>
      <c r="AL173" s="256">
        <f t="shared" si="13"/>
        <v>0</v>
      </c>
      <c r="AM173" s="279">
        <f t="shared" si="13"/>
        <v>0</v>
      </c>
      <c r="AN173" s="256">
        <f t="shared" si="13"/>
        <v>0</v>
      </c>
      <c r="AO173" s="279">
        <f t="shared" si="13"/>
        <v>0</v>
      </c>
    </row>
    <row r="174" spans="2:43" x14ac:dyDescent="0.25">
      <c r="C174" s="86"/>
      <c r="F174" s="93" t="s">
        <v>257</v>
      </c>
      <c r="G174" s="93" t="s">
        <v>258</v>
      </c>
      <c r="H174" s="361"/>
      <c r="I174" s="351"/>
      <c r="J174" s="352">
        <f t="shared" si="13"/>
        <v>0</v>
      </c>
      <c r="K174" s="352">
        <f t="shared" si="13"/>
        <v>0</v>
      </c>
      <c r="L174" s="352">
        <f t="shared" si="13"/>
        <v>0</v>
      </c>
      <c r="M174" s="352">
        <f t="shared" si="13"/>
        <v>0</v>
      </c>
      <c r="N174" s="352">
        <f t="shared" si="13"/>
        <v>0</v>
      </c>
      <c r="O174" s="352">
        <f t="shared" si="13"/>
        <v>0</v>
      </c>
      <c r="P174" s="352">
        <f t="shared" si="13"/>
        <v>0</v>
      </c>
      <c r="Q174" s="352">
        <f t="shared" si="13"/>
        <v>0</v>
      </c>
      <c r="R174" s="352">
        <f t="shared" si="13"/>
        <v>0.10199999999999999</v>
      </c>
      <c r="S174" s="352">
        <f t="shared" si="13"/>
        <v>0.10199999999999999</v>
      </c>
      <c r="T174" s="352">
        <f t="shared" si="13"/>
        <v>0.10199999999999999</v>
      </c>
      <c r="U174" s="352">
        <f t="shared" si="13"/>
        <v>0.10199999999999999</v>
      </c>
      <c r="V174" s="352">
        <f t="shared" si="13"/>
        <v>0.10199999999999999</v>
      </c>
      <c r="W174" s="352">
        <f t="shared" si="13"/>
        <v>9.0999999999999998E-2</v>
      </c>
      <c r="X174" s="352">
        <f t="shared" si="13"/>
        <v>9.0999999999999998E-2</v>
      </c>
      <c r="Y174" s="352">
        <f t="shared" si="13"/>
        <v>9.0999999999999998E-2</v>
      </c>
      <c r="Z174" s="352">
        <f t="shared" si="13"/>
        <v>9.0999999999999998E-2</v>
      </c>
      <c r="AA174" s="352">
        <f t="shared" si="13"/>
        <v>9.0999999999999998E-2</v>
      </c>
      <c r="AB174" s="352">
        <f t="shared" si="13"/>
        <v>7.9000000000000001E-2</v>
      </c>
      <c r="AC174" s="352">
        <f t="shared" si="13"/>
        <v>7.9000000000000001E-2</v>
      </c>
      <c r="AD174" s="352">
        <f t="shared" si="13"/>
        <v>7.9000000000000001E-2</v>
      </c>
      <c r="AE174" s="352">
        <f t="shared" si="13"/>
        <v>7.9000000000000001E-2</v>
      </c>
      <c r="AF174" s="352">
        <f t="shared" si="13"/>
        <v>7.9000000000000001E-2</v>
      </c>
      <c r="AG174" s="352">
        <f t="shared" si="13"/>
        <v>0</v>
      </c>
      <c r="AH174" s="352">
        <f t="shared" si="13"/>
        <v>0</v>
      </c>
      <c r="AI174" s="352">
        <f t="shared" si="13"/>
        <v>0</v>
      </c>
      <c r="AJ174" s="352">
        <f t="shared" si="13"/>
        <v>0.22800000000000001</v>
      </c>
      <c r="AK174" s="356">
        <f t="shared" si="13"/>
        <v>0</v>
      </c>
      <c r="AL174" s="352">
        <f t="shared" si="13"/>
        <v>0.191</v>
      </c>
      <c r="AM174" s="356">
        <f t="shared" si="13"/>
        <v>0</v>
      </c>
      <c r="AN174" s="352">
        <f t="shared" si="13"/>
        <v>0.16600000000000001</v>
      </c>
      <c r="AO174" s="356">
        <f t="shared" si="13"/>
        <v>0</v>
      </c>
      <c r="AP174" s="349"/>
      <c r="AQ174" s="349"/>
    </row>
    <row r="175" spans="2:43" x14ac:dyDescent="0.25">
      <c r="C175" s="86"/>
    </row>
    <row r="176" spans="2:43" x14ac:dyDescent="0.25">
      <c r="B176" s="95" t="s">
        <v>109</v>
      </c>
      <c r="C176" s="95"/>
      <c r="D176" s="95"/>
      <c r="E176" s="95"/>
      <c r="F176" s="95"/>
      <c r="G176" s="95"/>
      <c r="H176" s="95"/>
      <c r="I176" s="95"/>
      <c r="J176" s="95"/>
      <c r="K176" s="95"/>
      <c r="L176" s="95"/>
      <c r="M176" s="95"/>
      <c r="N176" s="95"/>
      <c r="O176" s="95"/>
      <c r="P176" s="95"/>
      <c r="Q176" s="95"/>
      <c r="R176" s="95"/>
      <c r="S176" s="95"/>
      <c r="T176" s="95"/>
      <c r="U176" s="95"/>
      <c r="V176" s="95"/>
      <c r="W176" s="95"/>
      <c r="X176" s="95"/>
      <c r="Y176" s="95"/>
      <c r="Z176" s="95"/>
      <c r="AA176" s="95"/>
      <c r="AB176" s="95"/>
      <c r="AC176" s="95"/>
      <c r="AD176" s="95"/>
      <c r="AE176" s="95"/>
      <c r="AF176" s="95"/>
      <c r="AG176" s="95"/>
      <c r="AH176" s="95"/>
      <c r="AI176" s="95"/>
      <c r="AJ176" s="95"/>
      <c r="AK176" s="95"/>
      <c r="AL176" s="95"/>
      <c r="AM176" s="95"/>
      <c r="AN176" s="95"/>
      <c r="AO176" s="95"/>
      <c r="AP176" s="95"/>
      <c r="AQ176" s="95"/>
    </row>
    <row r="178" spans="2:43" x14ac:dyDescent="0.25">
      <c r="E178" s="293" t="s">
        <v>415</v>
      </c>
      <c r="G178" s="122" t="s">
        <v>588</v>
      </c>
      <c r="H178" s="310">
        <f t="array" ref="H178">SUM(IF(ISERROR(H20:AO174), 1))</f>
        <v>0</v>
      </c>
    </row>
    <row r="180" spans="2:43" x14ac:dyDescent="0.25">
      <c r="B180" s="95" t="s">
        <v>110</v>
      </c>
      <c r="C180" s="95"/>
      <c r="D180" s="95"/>
      <c r="E180" s="95"/>
      <c r="F180" s="95"/>
      <c r="G180" s="95"/>
      <c r="H180" s="95"/>
      <c r="I180" s="95"/>
      <c r="J180" s="95"/>
      <c r="K180" s="95"/>
      <c r="L180" s="95"/>
      <c r="M180" s="95"/>
      <c r="N180" s="95"/>
      <c r="O180" s="95"/>
      <c r="P180" s="95"/>
      <c r="Q180" s="95"/>
      <c r="R180" s="95"/>
      <c r="S180" s="95"/>
      <c r="T180" s="95"/>
      <c r="U180" s="95"/>
      <c r="V180" s="95"/>
      <c r="W180" s="95"/>
      <c r="X180" s="95"/>
      <c r="Y180" s="95"/>
      <c r="Z180" s="95"/>
      <c r="AA180" s="95"/>
      <c r="AB180" s="95"/>
      <c r="AC180" s="95"/>
      <c r="AD180" s="95"/>
      <c r="AE180" s="95"/>
      <c r="AF180" s="95"/>
      <c r="AG180" s="95"/>
      <c r="AH180" s="95"/>
      <c r="AI180" s="95"/>
      <c r="AJ180" s="95"/>
      <c r="AK180" s="95"/>
      <c r="AL180" s="95"/>
      <c r="AM180" s="95"/>
      <c r="AN180" s="95"/>
      <c r="AO180" s="95"/>
      <c r="AP180" s="95"/>
      <c r="AQ180" s="95"/>
    </row>
  </sheetData>
  <sheetProtection sheet="1" objects="1" formatCells="0" formatColumns="0" formatRows="0" sort="0" autoFilter="0"/>
  <conditionalFormatting sqref="H178">
    <cfRule type="cellIs" dxfId="23" priority="10" operator="greaterThan">
      <formula>0</formula>
    </cfRule>
  </conditionalFormatting>
  <conditionalFormatting sqref="A4:I4 AP4:XFD4">
    <cfRule type="expression" dxfId="22" priority="9">
      <formula>LEFT($A$4,1) &lt;&gt; "0"</formula>
    </cfRule>
  </conditionalFormatting>
  <conditionalFormatting sqref="R4:AF4">
    <cfRule type="expression" dxfId="21" priority="8">
      <formula>LEFT($A$4,1) &lt;&gt; "0"</formula>
    </cfRule>
  </conditionalFormatting>
  <conditionalFormatting sqref="L4:Q4">
    <cfRule type="expression" dxfId="20" priority="7">
      <formula>LEFT($A$4,1) &lt;&gt; "0"</formula>
    </cfRule>
  </conditionalFormatting>
  <conditionalFormatting sqref="J4:K4">
    <cfRule type="expression" dxfId="19" priority="6">
      <formula>LEFT($A$4,1) &lt;&gt; "0"</formula>
    </cfRule>
  </conditionalFormatting>
  <conditionalFormatting sqref="AG4">
    <cfRule type="expression" dxfId="18" priority="5">
      <formula>LEFT($A$4,1) &lt;&gt; "0"</formula>
    </cfRule>
  </conditionalFormatting>
  <conditionalFormatting sqref="AH4:AI4">
    <cfRule type="expression" dxfId="17" priority="4">
      <formula>LEFT($A$4,1) &lt;&gt; "0"</formula>
    </cfRule>
  </conditionalFormatting>
  <conditionalFormatting sqref="AJ4:AK4">
    <cfRule type="expression" dxfId="16" priority="3">
      <formula>LEFT($A$4,1) &lt;&gt; "0"</formula>
    </cfRule>
  </conditionalFormatting>
  <conditionalFormatting sqref="AL4:AM4">
    <cfRule type="expression" dxfId="15" priority="2">
      <formula>LEFT($A$4,1) &lt;&gt; "0"</formula>
    </cfRule>
  </conditionalFormatting>
  <conditionalFormatting sqref="AN4:AO4">
    <cfRule type="expression" dxfId="14" priority="1">
      <formula>LEFT($A$4,1) &lt;&gt; "0"</formula>
    </cfRule>
  </conditionalFormatting>
  <hyperlinks>
    <hyperlink ref="B5:F5" location="'Model map'!A1" display="Click here to return to model map" xr:uid="{24E9F55A-FDBF-42C9-84A0-B89F64C9E05C}"/>
    <hyperlink ref="AQ94" location="'Aggreg'!B314" display="x1 = 3308. Unit rate 1 p/kWh (total) (in Summary of charges before revenue matching)" xr:uid="{5381EC9F-9FC3-49B2-AA39-D15F7B806ED5}"/>
  </hyperlinks>
  <pageMargins left="0.7" right="0.7" top="0.75" bottom="0.75" header="0.3" footer="0.3"/>
  <pageSetup paperSize="9" scale="32" fitToHeight="0" orientation="portrait" r:id="rId1"/>
  <headerFooter>
    <oddHeader>&amp;L&amp;A&amp;C&amp;R&amp;P of &amp;N</oddHeader>
    <oddFooter>&amp;F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232701-D5D2-4A24-A444-DAFC2A2376D2}">
  <sheetPr codeName="Sheet59">
    <tabColor theme="4" tint="0.59999389629810485"/>
  </sheetPr>
  <dimension ref="A1:CB148"/>
  <sheetViews>
    <sheetView showGridLines="0" zoomScale="80" zoomScaleNormal="80" workbookViewId="0">
      <pane xSplit="9" ySplit="5" topLeftCell="J6" activePane="bottomRight" state="frozen"/>
      <selection pane="topRight"/>
      <selection pane="bottomLeft"/>
      <selection pane="bottomRight"/>
    </sheetView>
  </sheetViews>
  <sheetFormatPr defaultColWidth="0" defaultRowHeight="15" x14ac:dyDescent="0.25"/>
  <cols>
    <col min="1" max="5" width="2.5703125" style="293" customWidth="1"/>
    <col min="6" max="6" width="59.5703125" style="293" customWidth="1"/>
    <col min="7" max="8" width="20.5703125" style="293" customWidth="1"/>
    <col min="9" max="9" width="2.42578125" style="293" customWidth="1"/>
    <col min="10" max="41" width="17" style="293" customWidth="1"/>
    <col min="42" max="42" width="2.42578125" style="293" customWidth="1"/>
    <col min="43" max="43" width="50.5703125" style="293" customWidth="1"/>
    <col min="44" max="44" width="2.42578125" style="293" customWidth="1"/>
    <col min="45" max="80" width="0" style="293" hidden="1" customWidth="1"/>
    <col min="81" max="16384" width="9.42578125" style="293" hidden="1"/>
  </cols>
  <sheetData>
    <row r="1" spans="1:43" s="10" customFormat="1" x14ac:dyDescent="0.25">
      <c r="A1" s="10" t="str">
        <f ca="1">MID(CELL("filename",A1),FIND("]",CELL("filename",A1))+1,255)</f>
        <v>Net revenue summary</v>
      </c>
    </row>
    <row r="2" spans="1:43" s="10" customFormat="1" x14ac:dyDescent="0.25">
      <c r="A2" s="10" t="str">
        <f>Cover!D21&amp;" - "&amp;Cover!D23</f>
        <v>Southern Electric Power Distribution plc - Final</v>
      </c>
    </row>
    <row r="3" spans="1:43" s="46" customFormat="1" x14ac:dyDescent="0.25">
      <c r="A3" s="46" t="str">
        <f>Cover!D2&amp;" - "&amp;Cover!D8&amp;" v"&amp;Cover!D10&amp;" - "&amp;Cover!D19</f>
        <v>ARP model - Release for charge setting v7 - 2023/24</v>
      </c>
    </row>
    <row r="4" spans="1:43" x14ac:dyDescent="0.25">
      <c r="A4" s="366" t="str">
        <f>H146 &amp; IF(H146 = 1, " issue", " issues") &amp;" identified in checks on this sheet"</f>
        <v>0 issues identified in checks on this sheet</v>
      </c>
      <c r="B4" s="108"/>
      <c r="C4" s="108"/>
      <c r="D4" s="108"/>
      <c r="E4" s="108"/>
      <c r="F4" s="108"/>
      <c r="G4" s="108"/>
      <c r="H4" s="111"/>
      <c r="I4" s="111"/>
    </row>
    <row r="5" spans="1:43" ht="60" x14ac:dyDescent="0.25">
      <c r="B5" s="367" t="s">
        <v>451</v>
      </c>
      <c r="C5" s="368"/>
      <c r="D5" s="368"/>
      <c r="E5" s="368"/>
      <c r="F5" s="368"/>
      <c r="G5" s="1" t="s">
        <v>91</v>
      </c>
      <c r="H5" s="2" t="s">
        <v>92</v>
      </c>
      <c r="J5" s="383" t="s">
        <v>1002</v>
      </c>
      <c r="K5" s="383" t="s">
        <v>927</v>
      </c>
      <c r="L5" s="383" t="s">
        <v>1003</v>
      </c>
      <c r="M5" s="383" t="s">
        <v>1004</v>
      </c>
      <c r="N5" s="383" t="s">
        <v>1005</v>
      </c>
      <c r="O5" s="383" t="s">
        <v>1006</v>
      </c>
      <c r="P5" s="383" t="s">
        <v>1007</v>
      </c>
      <c r="Q5" s="383" t="s">
        <v>929</v>
      </c>
      <c r="R5" s="383" t="s">
        <v>1008</v>
      </c>
      <c r="S5" s="383" t="s">
        <v>1009</v>
      </c>
      <c r="T5" s="383" t="s">
        <v>1010</v>
      </c>
      <c r="U5" s="383" t="s">
        <v>1011</v>
      </c>
      <c r="V5" s="383" t="s">
        <v>1012</v>
      </c>
      <c r="W5" s="383" t="s">
        <v>1013</v>
      </c>
      <c r="X5" s="383" t="s">
        <v>1014</v>
      </c>
      <c r="Y5" s="383" t="s">
        <v>1015</v>
      </c>
      <c r="Z5" s="383" t="s">
        <v>1016</v>
      </c>
      <c r="AA5" s="383" t="s">
        <v>1017</v>
      </c>
      <c r="AB5" s="383" t="s">
        <v>1018</v>
      </c>
      <c r="AC5" s="383" t="s">
        <v>1019</v>
      </c>
      <c r="AD5" s="383" t="s">
        <v>1020</v>
      </c>
      <c r="AE5" s="383" t="s">
        <v>1021</v>
      </c>
      <c r="AF5" s="383" t="s">
        <v>1022</v>
      </c>
      <c r="AG5" s="383" t="s">
        <v>933</v>
      </c>
      <c r="AH5" s="383" t="s">
        <v>934</v>
      </c>
      <c r="AI5" s="383" t="s">
        <v>935</v>
      </c>
      <c r="AJ5" s="383" t="s">
        <v>936</v>
      </c>
      <c r="AK5" s="383" t="s">
        <v>937</v>
      </c>
      <c r="AL5" s="383" t="s">
        <v>938</v>
      </c>
      <c r="AM5" s="383" t="s">
        <v>939</v>
      </c>
      <c r="AN5" s="383" t="s">
        <v>940</v>
      </c>
      <c r="AO5" s="383" t="s">
        <v>941</v>
      </c>
      <c r="AQ5" s="1" t="s">
        <v>93</v>
      </c>
    </row>
    <row r="7" spans="1:43" x14ac:dyDescent="0.25">
      <c r="B7" s="95" t="s">
        <v>90</v>
      </c>
      <c r="C7" s="95"/>
      <c r="D7" s="95"/>
      <c r="E7" s="95"/>
      <c r="F7" s="95"/>
      <c r="G7" s="95"/>
      <c r="H7" s="95"/>
      <c r="I7" s="95"/>
      <c r="J7" s="95"/>
      <c r="K7" s="95"/>
      <c r="L7" s="95"/>
      <c r="M7" s="95"/>
      <c r="N7" s="95"/>
      <c r="O7" s="95"/>
      <c r="P7" s="95"/>
      <c r="Q7" s="95"/>
      <c r="R7" s="95"/>
      <c r="S7" s="95"/>
      <c r="T7" s="95"/>
      <c r="U7" s="95"/>
      <c r="V7" s="95"/>
      <c r="W7" s="95"/>
      <c r="X7" s="95"/>
      <c r="Y7" s="95"/>
      <c r="Z7" s="95"/>
      <c r="AA7" s="95"/>
      <c r="AB7" s="95"/>
      <c r="AC7" s="95"/>
      <c r="AD7" s="95"/>
      <c r="AE7" s="95"/>
      <c r="AF7" s="95"/>
      <c r="AG7" s="95"/>
      <c r="AH7" s="95"/>
      <c r="AI7" s="95"/>
      <c r="AJ7" s="95"/>
      <c r="AK7" s="95"/>
      <c r="AL7" s="95"/>
      <c r="AM7" s="95"/>
      <c r="AN7" s="95"/>
      <c r="AO7" s="95"/>
      <c r="AP7" s="95"/>
      <c r="AQ7" s="95"/>
    </row>
    <row r="9" spans="1:43" x14ac:dyDescent="0.25">
      <c r="C9" s="82" t="s">
        <v>643</v>
      </c>
    </row>
    <row r="10" spans="1:43" x14ac:dyDescent="0.25">
      <c r="C10" s="14"/>
    </row>
    <row r="11" spans="1:43" x14ac:dyDescent="0.25">
      <c r="B11" s="95" t="s">
        <v>682</v>
      </c>
      <c r="C11" s="95"/>
      <c r="D11" s="95"/>
      <c r="E11" s="95"/>
      <c r="F11" s="95"/>
      <c r="G11" s="95"/>
      <c r="H11" s="95"/>
      <c r="I11" s="95"/>
      <c r="J11" s="95"/>
      <c r="K11" s="95"/>
      <c r="L11" s="95"/>
      <c r="M11" s="95"/>
      <c r="N11" s="95"/>
      <c r="O11" s="95"/>
      <c r="P11" s="95"/>
      <c r="Q11" s="95"/>
      <c r="R11" s="95"/>
      <c r="S11" s="95"/>
      <c r="T11" s="95"/>
      <c r="U11" s="95"/>
      <c r="V11" s="95"/>
      <c r="W11" s="95"/>
      <c r="X11" s="95"/>
      <c r="Y11" s="95"/>
      <c r="Z11" s="95"/>
      <c r="AA11" s="95"/>
      <c r="AB11" s="95"/>
      <c r="AC11" s="95"/>
      <c r="AD11" s="95"/>
      <c r="AE11" s="95"/>
      <c r="AF11" s="95"/>
      <c r="AG11" s="95"/>
      <c r="AH11" s="95"/>
      <c r="AI11" s="95"/>
      <c r="AJ11" s="95"/>
      <c r="AK11" s="95"/>
      <c r="AL11" s="95"/>
      <c r="AM11" s="95"/>
      <c r="AN11" s="95"/>
      <c r="AO11" s="95"/>
      <c r="AP11" s="95"/>
      <c r="AQ11" s="95"/>
    </row>
    <row r="12" spans="1:43" x14ac:dyDescent="0.25">
      <c r="D12" s="98"/>
      <c r="E12" s="98"/>
    </row>
    <row r="13" spans="1:43" x14ac:dyDescent="0.25">
      <c r="C13" s="7" t="str">
        <f ca="1">INDEX('Version control'!$H$35:$H$61,MATCH($A$1,'Version control'!$F$35:$F$61,0),1)&amp;"-A: Volume forecasts"</f>
        <v>Section 521-A: Volume forecasts</v>
      </c>
      <c r="D13" s="7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</row>
    <row r="14" spans="1:43" x14ac:dyDescent="0.25">
      <c r="D14" s="96"/>
    </row>
    <row r="15" spans="1:43" x14ac:dyDescent="0.25">
      <c r="C15" s="380"/>
      <c r="D15" s="380"/>
      <c r="E15" s="512" t="s">
        <v>1029</v>
      </c>
      <c r="G15" s="512" t="s">
        <v>426</v>
      </c>
      <c r="J15" s="380">
        <f>'Fixed inputs'!J170</f>
        <v>1</v>
      </c>
      <c r="K15" s="380">
        <f>'Fixed inputs'!K170</f>
        <v>2</v>
      </c>
      <c r="L15" s="380">
        <f>'Fixed inputs'!L170</f>
        <v>3</v>
      </c>
      <c r="M15" s="380">
        <f>'Fixed inputs'!M170</f>
        <v>3</v>
      </c>
      <c r="N15" s="380">
        <f>'Fixed inputs'!N170</f>
        <v>3</v>
      </c>
      <c r="O15" s="380">
        <f>'Fixed inputs'!O170</f>
        <v>3</v>
      </c>
      <c r="P15" s="380">
        <f>'Fixed inputs'!P170</f>
        <v>3</v>
      </c>
      <c r="Q15" s="380">
        <f>'Fixed inputs'!Q170</f>
        <v>4</v>
      </c>
      <c r="R15" s="380">
        <f>'Fixed inputs'!R170</f>
        <v>5</v>
      </c>
      <c r="S15" s="380">
        <f>'Fixed inputs'!S170</f>
        <v>5</v>
      </c>
      <c r="T15" s="380">
        <f>'Fixed inputs'!T170</f>
        <v>5</v>
      </c>
      <c r="U15" s="380">
        <f>'Fixed inputs'!U170</f>
        <v>5</v>
      </c>
      <c r="V15" s="380">
        <f>'Fixed inputs'!V170</f>
        <v>5</v>
      </c>
      <c r="W15" s="380">
        <f>'Fixed inputs'!W170</f>
        <v>6</v>
      </c>
      <c r="X15" s="380">
        <f>'Fixed inputs'!X170</f>
        <v>6</v>
      </c>
      <c r="Y15" s="380">
        <f>'Fixed inputs'!Y170</f>
        <v>6</v>
      </c>
      <c r="Z15" s="380">
        <f>'Fixed inputs'!Z170</f>
        <v>6</v>
      </c>
      <c r="AA15" s="380">
        <f>'Fixed inputs'!AA170</f>
        <v>6</v>
      </c>
      <c r="AB15" s="380">
        <f>'Fixed inputs'!AB170</f>
        <v>7</v>
      </c>
      <c r="AC15" s="380">
        <f>'Fixed inputs'!AC170</f>
        <v>7</v>
      </c>
      <c r="AD15" s="380">
        <f>'Fixed inputs'!AD170</f>
        <v>7</v>
      </c>
      <c r="AE15" s="380">
        <f>'Fixed inputs'!AE170</f>
        <v>7</v>
      </c>
      <c r="AF15" s="380">
        <f>'Fixed inputs'!AF170</f>
        <v>7</v>
      </c>
      <c r="AG15" s="380">
        <f>'Fixed inputs'!AG170</f>
        <v>8</v>
      </c>
      <c r="AH15" s="380">
        <f>'Fixed inputs'!AH170</f>
        <v>9</v>
      </c>
      <c r="AI15" s="380">
        <f>'Fixed inputs'!AI170</f>
        <v>10</v>
      </c>
      <c r="AJ15" s="380">
        <f>'Fixed inputs'!AJ170</f>
        <v>11</v>
      </c>
      <c r="AK15" s="380">
        <f>'Fixed inputs'!AK170</f>
        <v>12</v>
      </c>
      <c r="AL15" s="380">
        <f>'Fixed inputs'!AL170</f>
        <v>13</v>
      </c>
      <c r="AM15" s="380">
        <f>'Fixed inputs'!AM170</f>
        <v>14</v>
      </c>
      <c r="AN15" s="380">
        <f>'Fixed inputs'!AN170</f>
        <v>15</v>
      </c>
      <c r="AO15" s="380">
        <f>'Fixed inputs'!AO170</f>
        <v>16</v>
      </c>
    </row>
    <row r="16" spans="1:43" x14ac:dyDescent="0.25">
      <c r="E16" s="14"/>
      <c r="G16" s="14"/>
    </row>
    <row r="17" spans="3:43" x14ac:dyDescent="0.25">
      <c r="C17" s="380"/>
      <c r="D17" s="380"/>
      <c r="E17" s="512" t="s">
        <v>1028</v>
      </c>
      <c r="G17" s="512" t="s">
        <v>426</v>
      </c>
      <c r="J17" s="380">
        <f>'Fixed inputs'!J169</f>
        <v>1</v>
      </c>
      <c r="K17" s="380">
        <f>'Fixed inputs'!K169</f>
        <v>0</v>
      </c>
      <c r="L17" s="380">
        <f>'Fixed inputs'!L169</f>
        <v>0</v>
      </c>
      <c r="M17" s="380">
        <f>'Fixed inputs'!M169</f>
        <v>1</v>
      </c>
      <c r="N17" s="380">
        <f>'Fixed inputs'!N169</f>
        <v>2</v>
      </c>
      <c r="O17" s="380">
        <f>'Fixed inputs'!O169</f>
        <v>3</v>
      </c>
      <c r="P17" s="380">
        <f>'Fixed inputs'!P169</f>
        <v>4</v>
      </c>
      <c r="Q17" s="380">
        <f>'Fixed inputs'!Q169</f>
        <v>0</v>
      </c>
      <c r="R17" s="380">
        <f>'Fixed inputs'!R169</f>
        <v>0</v>
      </c>
      <c r="S17" s="380">
        <f>'Fixed inputs'!S169</f>
        <v>1</v>
      </c>
      <c r="T17" s="380">
        <f>'Fixed inputs'!T169</f>
        <v>2</v>
      </c>
      <c r="U17" s="380">
        <f>'Fixed inputs'!U169</f>
        <v>3</v>
      </c>
      <c r="V17" s="380">
        <f>'Fixed inputs'!V169</f>
        <v>4</v>
      </c>
      <c r="W17" s="380">
        <f>'Fixed inputs'!W169</f>
        <v>0</v>
      </c>
      <c r="X17" s="380">
        <f>'Fixed inputs'!X169</f>
        <v>1</v>
      </c>
      <c r="Y17" s="380">
        <f>'Fixed inputs'!Y169</f>
        <v>2</v>
      </c>
      <c r="Z17" s="380">
        <f>'Fixed inputs'!Z169</f>
        <v>3</v>
      </c>
      <c r="AA17" s="380">
        <f>'Fixed inputs'!AA169</f>
        <v>4</v>
      </c>
      <c r="AB17" s="380">
        <f>'Fixed inputs'!AB169</f>
        <v>0</v>
      </c>
      <c r="AC17" s="380">
        <f>'Fixed inputs'!AC169</f>
        <v>1</v>
      </c>
      <c r="AD17" s="380">
        <f>'Fixed inputs'!AD169</f>
        <v>2</v>
      </c>
      <c r="AE17" s="380">
        <f>'Fixed inputs'!AE169</f>
        <v>3</v>
      </c>
      <c r="AF17" s="380">
        <f>'Fixed inputs'!AF169</f>
        <v>4</v>
      </c>
      <c r="AG17" s="380">
        <f>'Fixed inputs'!AG169</f>
        <v>1</v>
      </c>
      <c r="AH17" s="380">
        <f>'Fixed inputs'!AH169</f>
        <v>0</v>
      </c>
      <c r="AI17" s="380">
        <f>'Fixed inputs'!AI169</f>
        <v>0</v>
      </c>
      <c r="AJ17" s="380">
        <f>'Fixed inputs'!AJ169</f>
        <v>0</v>
      </c>
      <c r="AK17" s="380">
        <f>'Fixed inputs'!AK169</f>
        <v>0</v>
      </c>
      <c r="AL17" s="380">
        <f>'Fixed inputs'!AL169</f>
        <v>0</v>
      </c>
      <c r="AM17" s="380">
        <f>'Fixed inputs'!AM169</f>
        <v>0</v>
      </c>
      <c r="AN17" s="380">
        <f>'Fixed inputs'!AN169</f>
        <v>0</v>
      </c>
      <c r="AO17" s="380">
        <f>'Fixed inputs'!AO169</f>
        <v>0</v>
      </c>
    </row>
    <row r="18" spans="3:43" x14ac:dyDescent="0.25">
      <c r="D18" s="96"/>
    </row>
    <row r="19" spans="3:43" x14ac:dyDescent="0.25">
      <c r="E19" s="96" t="s">
        <v>900</v>
      </c>
      <c r="I19" s="293" t="s">
        <v>359</v>
      </c>
      <c r="AQ19" s="293" t="s">
        <v>692</v>
      </c>
    </row>
    <row r="20" spans="3:43" x14ac:dyDescent="0.25">
      <c r="E20" s="96"/>
      <c r="F20" s="82" t="s">
        <v>1110</v>
      </c>
    </row>
    <row r="21" spans="3:43" x14ac:dyDescent="0.25">
      <c r="E21" s="96"/>
      <c r="F21" s="82" t="s">
        <v>1111</v>
      </c>
    </row>
    <row r="22" spans="3:43" x14ac:dyDescent="0.25">
      <c r="F22" s="40" t="s">
        <v>199</v>
      </c>
      <c r="G22" s="40" t="s">
        <v>120</v>
      </c>
      <c r="H22" s="455">
        <v>0</v>
      </c>
      <c r="I22" s="91"/>
      <c r="J22" s="283">
        <f>INDEX('Volume adjustments'!$J$527:$Y$567,J$17 + 1 + $H22*$H$28, J$15)</f>
        <v>1519528.9909572054</v>
      </c>
      <c r="K22" s="283">
        <f>INDEX('Volume adjustments'!$J$527:$Y$567,K$17 + 1 + $H22*$H$28, K$15)</f>
        <v>352.09798476122353</v>
      </c>
      <c r="L22" s="283">
        <f>INDEX('Volume adjustments'!$J$527:$Y$567,L$17 + 1 + $H22*$H$28, L$15)</f>
        <v>17.674829368275692</v>
      </c>
      <c r="M22" s="283">
        <f>INDEX('Volume adjustments'!$J$527:$Y$567,M$17 + 1 + $H22*$H$28, M$15)</f>
        <v>22037.121295722271</v>
      </c>
      <c r="N22" s="283">
        <f>INDEX('Volume adjustments'!$J$527:$Y$567,N$17 + 1 + $H22*$H$28, N$15)</f>
        <v>54395.390759272494</v>
      </c>
      <c r="O22" s="283">
        <f>INDEX('Volume adjustments'!$J$527:$Y$567,O$17 + 1 + $H22*$H$28, O$15)</f>
        <v>65264.684853173239</v>
      </c>
      <c r="P22" s="283">
        <f>INDEX('Volume adjustments'!$J$527:$Y$567,P$17 + 1 + $H22*$H$28, P$15)</f>
        <v>164259.89680995391</v>
      </c>
      <c r="Q22" s="283">
        <f>INDEX('Volume adjustments'!$J$527:$Y$567,Q$17 + 1 + $H22*$H$28, Q$15)</f>
        <v>551.63967583646206</v>
      </c>
      <c r="R22" s="283">
        <f>INDEX('Volume adjustments'!$J$527:$Y$567,R$17 + 1 + $H22*$H$28, R$15)</f>
        <v>97.441843836801354</v>
      </c>
      <c r="S22" s="283">
        <f>INDEX('Volume adjustments'!$J$527:$Y$567,S$17 + 1 + $H22*$H$28, S$15)</f>
        <v>97145.713871124273</v>
      </c>
      <c r="T22" s="283">
        <f>INDEX('Volume adjustments'!$J$527:$Y$567,T$17 + 1 + $H22*$H$28, T$15)</f>
        <v>92277.527057135914</v>
      </c>
      <c r="U22" s="283">
        <f>INDEX('Volume adjustments'!$J$527:$Y$567,U$17 + 1 + $H22*$H$28, U$15)</f>
        <v>76024.94322921471</v>
      </c>
      <c r="V22" s="283">
        <f>INDEX('Volume adjustments'!$J$527:$Y$567,V$17 + 1 + $H22*$H$28, V$15)</f>
        <v>250114.31594746836</v>
      </c>
      <c r="W22" s="283">
        <f>INDEX('Volume adjustments'!$J$527:$Y$567,W$17 + 1 + $H22*$H$28, W$15)</f>
        <v>0</v>
      </c>
      <c r="X22" s="283">
        <f>INDEX('Volume adjustments'!$J$527:$Y$567,X$17 + 1 + $H22*$H$28, X$15)</f>
        <v>138.89808368080392</v>
      </c>
      <c r="Y22" s="283">
        <f>INDEX('Volume adjustments'!$J$527:$Y$567,Y$17 + 1 + $H22*$H$28, Y$15)</f>
        <v>1761.4553753775297</v>
      </c>
      <c r="Z22" s="283">
        <f>INDEX('Volume adjustments'!$J$527:$Y$567,Z$17 + 1 + $H22*$H$28, Z$15)</f>
        <v>2173.7766138556271</v>
      </c>
      <c r="AA22" s="283">
        <f>INDEX('Volume adjustments'!$J$527:$Y$567,AA$17 + 1 + $H22*$H$28, AA$15)</f>
        <v>28919.487278232933</v>
      </c>
      <c r="AB22" s="283">
        <f>INDEX('Volume adjustments'!$J$527:$Y$567,AB$17 + 1 + $H22*$H$28, AB$15)</f>
        <v>282.51298224599748</v>
      </c>
      <c r="AC22" s="283">
        <f>INDEX('Volume adjustments'!$J$527:$Y$567,AC$17 + 1 + $H22*$H$28, AC$15)</f>
        <v>28861.873179192746</v>
      </c>
      <c r="AD22" s="283">
        <f>INDEX('Volume adjustments'!$J$527:$Y$567,AD$17 + 1 + $H22*$H$28, AD$15)</f>
        <v>100107.75475771216</v>
      </c>
      <c r="AE22" s="283">
        <f>INDEX('Volume adjustments'!$J$527:$Y$567,AE$17 + 1 + $H22*$H$28, AE$15)</f>
        <v>79456.951208523518</v>
      </c>
      <c r="AF22" s="283">
        <f>INDEX('Volume adjustments'!$J$527:$Y$567,AF$17 + 1 + $H22*$H$28, AF$15)</f>
        <v>210995.36369946759</v>
      </c>
      <c r="AG22" s="283">
        <f>INDEX('Volume adjustments'!$J$527:$Y$567,AG$17 + 1 + $H22*$H$28, AG$15)</f>
        <v>11517.961391048839</v>
      </c>
      <c r="AH22" s="283">
        <f>INDEX('Volume adjustments'!$J$527:$Y$567,AH$17 + 1 + $H22*$H$28, AH$15)</f>
        <v>674.85025217285374</v>
      </c>
      <c r="AI22" s="283">
        <f>INDEX('Volume adjustments'!$J$527:$Y$567,AI$17 + 1 + $H22*$H$28, AI$15)</f>
        <v>25.768606153818535</v>
      </c>
      <c r="AJ22" s="283">
        <f>INDEX('Volume adjustments'!$J$527:$Y$567,AJ$17 + 1 + $H22*$H$28, AJ$15)</f>
        <v>3471.0598153050755</v>
      </c>
      <c r="AK22" s="283">
        <f>INDEX('Volume adjustments'!$J$527:$Y$567,AK$17 + 1 + $H22*$H$28, AK$15)</f>
        <v>0</v>
      </c>
      <c r="AL22" s="283">
        <f>INDEX('Volume adjustments'!$J$527:$Y$567,AL$17 + 1 + $H22*$H$28, AL$15)</f>
        <v>0</v>
      </c>
      <c r="AM22" s="283">
        <f>INDEX('Volume adjustments'!$J$527:$Y$567,AM$17 + 1 + $H22*$H$28, AM$15)</f>
        <v>0</v>
      </c>
      <c r="AN22" s="283">
        <f>INDEX('Volume adjustments'!$J$527:$Y$567,AN$17 + 1 + $H22*$H$28, AN$15)</f>
        <v>86090.420132224855</v>
      </c>
      <c r="AO22" s="283">
        <f>INDEX('Volume adjustments'!$J$527:$Y$567,AO$17 + 1 + $H22*$H$28, AO$15)</f>
        <v>0</v>
      </c>
    </row>
    <row r="23" spans="3:43" x14ac:dyDescent="0.25">
      <c r="E23" s="14"/>
      <c r="F23" s="109" t="s">
        <v>200</v>
      </c>
      <c r="G23" s="109" t="s">
        <v>120</v>
      </c>
      <c r="H23" s="490">
        <v>1</v>
      </c>
      <c r="J23" s="488">
        <f>INDEX('Volume adjustments'!$J$527:$Y$567,J$17 + 1 + $H23*$H$28, J$15)</f>
        <v>6704922.9381034765</v>
      </c>
      <c r="K23" s="488">
        <f>INDEX('Volume adjustments'!$J$527:$Y$567,K$17 + 1 + $H23*$H$28, K$15)</f>
        <v>43149.740797225757</v>
      </c>
      <c r="L23" s="488">
        <f>INDEX('Volume adjustments'!$J$527:$Y$567,L$17 + 1 + $H23*$H$28, L$15)</f>
        <v>111.15518056847273</v>
      </c>
      <c r="M23" s="488">
        <f>INDEX('Volume adjustments'!$J$527:$Y$567,M$17 + 1 + $H23*$H$28, M$15)</f>
        <v>138589.18498143979</v>
      </c>
      <c r="N23" s="488">
        <f>INDEX('Volume adjustments'!$J$527:$Y$567,N$17 + 1 + $H23*$H$28, N$15)</f>
        <v>342087.00723255862</v>
      </c>
      <c r="O23" s="488">
        <f>INDEX('Volume adjustments'!$J$527:$Y$567,O$17 + 1 + $H23*$H$28, O$15)</f>
        <v>410442.87774681178</v>
      </c>
      <c r="P23" s="488">
        <f>INDEX('Volume adjustments'!$J$527:$Y$567,P$17 + 1 + $H23*$H$28, P$15)</f>
        <v>1033013.5646367689</v>
      </c>
      <c r="Q23" s="488">
        <f>INDEX('Volume adjustments'!$J$527:$Y$567,Q$17 + 1 + $H23*$H$28, Q$15)</f>
        <v>7964.6066273601509</v>
      </c>
      <c r="R23" s="488">
        <f>INDEX('Volume adjustments'!$J$527:$Y$567,R$17 + 1 + $H23*$H$28, R$15)</f>
        <v>556.03409177375033</v>
      </c>
      <c r="S23" s="488">
        <f>INDEX('Volume adjustments'!$J$527:$Y$567,S$17 + 1 + $H23*$H$28, S$15)</f>
        <v>554344.28018943733</v>
      </c>
      <c r="T23" s="488">
        <f>INDEX('Volume adjustments'!$J$527:$Y$567,T$17 + 1 + $H23*$H$28, T$15)</f>
        <v>526564.8609264507</v>
      </c>
      <c r="U23" s="488">
        <f>INDEX('Volume adjustments'!$J$527:$Y$567,U$17 + 1 + $H23*$H$28, U$15)</f>
        <v>433822.45856725133</v>
      </c>
      <c r="V23" s="488">
        <f>INDEX('Volume adjustments'!$J$527:$Y$567,V$17 + 1 + $H23*$H$28, V$15)</f>
        <v>1427231.6802664949</v>
      </c>
      <c r="W23" s="488">
        <f>INDEX('Volume adjustments'!$J$527:$Y$567,W$17 + 1 + $H23*$H$28, W$15)</f>
        <v>0</v>
      </c>
      <c r="X23" s="488">
        <f>INDEX('Volume adjustments'!$J$527:$Y$567,X$17 + 1 + $H23*$H$28, X$15)</f>
        <v>759.30740603700929</v>
      </c>
      <c r="Y23" s="488">
        <f>INDEX('Volume adjustments'!$J$527:$Y$567,Y$17 + 1 + $H23*$H$28, Y$15)</f>
        <v>9629.2625246110765</v>
      </c>
      <c r="Z23" s="488">
        <f>INDEX('Volume adjustments'!$J$527:$Y$567,Z$17 + 1 + $H23*$H$28, Z$15)</f>
        <v>11883.279007388797</v>
      </c>
      <c r="AA23" s="488">
        <f>INDEX('Volume adjustments'!$J$527:$Y$567,AA$17 + 1 + $H23*$H$28, AA$15)</f>
        <v>158092.75612194854</v>
      </c>
      <c r="AB23" s="488">
        <f>INDEX('Volume adjustments'!$J$527:$Y$567,AB$17 + 1 + $H23*$H$28, AB$15)</f>
        <v>4354.8781058513705</v>
      </c>
      <c r="AC23" s="488">
        <f>INDEX('Volume adjustments'!$J$527:$Y$567,AC$17 + 1 + $H23*$H$28, AC$15)</f>
        <v>161071.9650958328</v>
      </c>
      <c r="AD23" s="488">
        <f>INDEX('Volume adjustments'!$J$527:$Y$567,AD$17 + 1 + $H23*$H$28, AD$15)</f>
        <v>558680.05101557309</v>
      </c>
      <c r="AE23" s="488">
        <f>INDEX('Volume adjustments'!$J$527:$Y$567,AE$17 + 1 + $H23*$H$28, AE$15)</f>
        <v>443432.31612933561</v>
      </c>
      <c r="AF23" s="488">
        <f>INDEX('Volume adjustments'!$J$527:$Y$567,AF$17 + 1 + $H23*$H$28, AF$15)</f>
        <v>1177520.1715488152</v>
      </c>
      <c r="AG23" s="488">
        <f>INDEX('Volume adjustments'!$J$527:$Y$567,AG$17 + 1 + $H23*$H$28, AG$15)</f>
        <v>73125.948651823521</v>
      </c>
      <c r="AH23" s="488">
        <f>INDEX('Volume adjustments'!$J$527:$Y$567,AH$17 + 1 + $H23*$H$28, AH$15)</f>
        <v>5290.0415585937481</v>
      </c>
      <c r="AI23" s="488">
        <f>INDEX('Volume adjustments'!$J$527:$Y$567,AI$17 + 1 + $H23*$H$28, AI$15)</f>
        <v>199.9475994029803</v>
      </c>
      <c r="AJ23" s="488">
        <f>INDEX('Volume adjustments'!$J$527:$Y$567,AJ$17 + 1 + $H23*$H$28, AJ$15)</f>
        <v>32553.160713646485</v>
      </c>
      <c r="AK23" s="488">
        <f>INDEX('Volume adjustments'!$J$527:$Y$567,AK$17 + 1 + $H23*$H$28, AK$15)</f>
        <v>0</v>
      </c>
      <c r="AL23" s="488">
        <f>INDEX('Volume adjustments'!$J$527:$Y$567,AL$17 + 1 + $H23*$H$28, AL$15)</f>
        <v>0</v>
      </c>
      <c r="AM23" s="488">
        <f>INDEX('Volume adjustments'!$J$527:$Y$567,AM$17 + 1 + $H23*$H$28, AM$15)</f>
        <v>0</v>
      </c>
      <c r="AN23" s="488">
        <f>INDEX('Volume adjustments'!$J$527:$Y$567,AN$17 + 1 + $H23*$H$28, AN$15)</f>
        <v>532778.46099718625</v>
      </c>
      <c r="AO23" s="488">
        <f>INDEX('Volume adjustments'!$J$527:$Y$567,AO$17 + 1 + $H23*$H$28, AO$15)</f>
        <v>0</v>
      </c>
    </row>
    <row r="24" spans="3:43" x14ac:dyDescent="0.25">
      <c r="E24" s="14"/>
      <c r="F24" s="109" t="s">
        <v>201</v>
      </c>
      <c r="G24" s="109" t="s">
        <v>120</v>
      </c>
      <c r="H24" s="490">
        <v>2</v>
      </c>
      <c r="J24" s="488">
        <f>INDEX('Volume adjustments'!$J$527:$Y$567,J$17 + 1 + $H24*$H$28, J$15)</f>
        <v>3714187.4425115269</v>
      </c>
      <c r="K24" s="488">
        <f>INDEX('Volume adjustments'!$J$527:$Y$567,K$17 + 1 + $H24*$H$28, K$15)</f>
        <v>106119.38059189059</v>
      </c>
      <c r="L24" s="488">
        <f>INDEX('Volume adjustments'!$J$527:$Y$567,L$17 + 1 + $H24*$H$28, L$15)</f>
        <v>49.387219902662743</v>
      </c>
      <c r="M24" s="488">
        <f>INDEX('Volume adjustments'!$J$527:$Y$567,M$17 + 1 + $H24*$H$28, M$15)</f>
        <v>61576.388251133903</v>
      </c>
      <c r="N24" s="488">
        <f>INDEX('Volume adjustments'!$J$527:$Y$567,N$17 + 1 + $H24*$H$28, N$15)</f>
        <v>151992.25232359575</v>
      </c>
      <c r="O24" s="488">
        <f>INDEX('Volume adjustments'!$J$527:$Y$567,O$17 + 1 + $H24*$H$28, O$15)</f>
        <v>182363.36405640218</v>
      </c>
      <c r="P24" s="488">
        <f>INDEX('Volume adjustments'!$J$527:$Y$567,P$17 + 1 + $H24*$H$28, P$15)</f>
        <v>458976.97091789806</v>
      </c>
      <c r="Q24" s="488">
        <f>INDEX('Volume adjustments'!$J$527:$Y$567,Q$17 + 1 + $H24*$H$28, Q$15)</f>
        <v>22951.54492456152</v>
      </c>
      <c r="R24" s="488">
        <f>INDEX('Volume adjustments'!$J$527:$Y$567,R$17 + 1 + $H24*$H$28, R$15)</f>
        <v>291.55105418687663</v>
      </c>
      <c r="S24" s="488">
        <f>INDEX('Volume adjustments'!$J$527:$Y$567,S$17 + 1 + $H24*$H$28, S$15)</f>
        <v>290665.01795983157</v>
      </c>
      <c r="T24" s="488">
        <f>INDEX('Volume adjustments'!$J$527:$Y$567,T$17 + 1 + $H24*$H$28, T$15)</f>
        <v>276099.15034371696</v>
      </c>
      <c r="U24" s="488">
        <f>INDEX('Volume adjustments'!$J$527:$Y$567,U$17 + 1 + $H24*$H$28, U$15)</f>
        <v>227470.57598887279</v>
      </c>
      <c r="V24" s="488">
        <f>INDEX('Volume adjustments'!$J$527:$Y$567,V$17 + 1 + $H24*$H$28, V$15)</f>
        <v>748355.01474956132</v>
      </c>
      <c r="W24" s="488">
        <f>INDEX('Volume adjustments'!$J$527:$Y$567,W$17 + 1 + $H24*$H$28, W$15)</f>
        <v>0</v>
      </c>
      <c r="X24" s="488">
        <f>INDEX('Volume adjustments'!$J$527:$Y$567,X$17 + 1 + $H24*$H$28, X$15)</f>
        <v>497.0286309247079</v>
      </c>
      <c r="Y24" s="488">
        <f>INDEX('Volume adjustments'!$J$527:$Y$567,Y$17 + 1 + $H24*$H$28, Y$15)</f>
        <v>6303.1377428561063</v>
      </c>
      <c r="Z24" s="488">
        <f>INDEX('Volume adjustments'!$J$527:$Y$567,Z$17 + 1 + $H24*$H$28, Z$15)</f>
        <v>7778.5753819591955</v>
      </c>
      <c r="AA24" s="488">
        <f>INDEX('Volume adjustments'!$J$527:$Y$567,AA$17 + 1 + $H24*$H$28, AA$15)</f>
        <v>103484.60387672807</v>
      </c>
      <c r="AB24" s="488">
        <f>INDEX('Volume adjustments'!$J$527:$Y$567,AB$17 + 1 + $H24*$H$28, AB$15)</f>
        <v>3610.6522415063591</v>
      </c>
      <c r="AC24" s="488">
        <f>INDEX('Volume adjustments'!$J$527:$Y$567,AC$17 + 1 + $H24*$H$28, AC$15)</f>
        <v>110373.66410769592</v>
      </c>
      <c r="AD24" s="488">
        <f>INDEX('Volume adjustments'!$J$527:$Y$567,AD$17 + 1 + $H24*$H$28, AD$15)</f>
        <v>382832.38338698726</v>
      </c>
      <c r="AE24" s="488">
        <f>INDEX('Volume adjustments'!$J$527:$Y$567,AE$17 + 1 + $H24*$H$28, AE$15)</f>
        <v>303859.51699190616</v>
      </c>
      <c r="AF24" s="488">
        <f>INDEX('Volume adjustments'!$J$527:$Y$567,AF$17 + 1 + $H24*$H$28, AF$15)</f>
        <v>806889.11827231373</v>
      </c>
      <c r="AG24" s="488">
        <f>INDEX('Volume adjustments'!$J$527:$Y$567,AG$17 + 1 + $H24*$H$28, AG$15)</f>
        <v>109990.23751551715</v>
      </c>
      <c r="AH24" s="488">
        <f>INDEX('Volume adjustments'!$J$527:$Y$567,AH$17 + 1 + $H24*$H$28, AH$15)</f>
        <v>705.96883393295752</v>
      </c>
      <c r="AI24" s="488">
        <f>INDEX('Volume adjustments'!$J$527:$Y$567,AI$17 + 1 + $H24*$H$28, AI$15)</f>
        <v>28.789763351391056</v>
      </c>
      <c r="AJ24" s="488">
        <f>INDEX('Volume adjustments'!$J$527:$Y$567,AJ$17 + 1 + $H24*$H$28, AJ$15)</f>
        <v>8516.1143309833551</v>
      </c>
      <c r="AK24" s="488">
        <f>INDEX('Volume adjustments'!$J$527:$Y$567,AK$17 + 1 + $H24*$H$28, AK$15)</f>
        <v>0</v>
      </c>
      <c r="AL24" s="488">
        <f>INDEX('Volume adjustments'!$J$527:$Y$567,AL$17 + 1 + $H24*$H$28, AL$15)</f>
        <v>0</v>
      </c>
      <c r="AM24" s="488">
        <f>INDEX('Volume adjustments'!$J$527:$Y$567,AM$17 + 1 + $H24*$H$28, AM$15)</f>
        <v>0</v>
      </c>
      <c r="AN24" s="488">
        <f>INDEX('Volume adjustments'!$J$527:$Y$567,AN$17 + 1 + $H24*$H$28, AN$15)</f>
        <v>260951.76676867288</v>
      </c>
      <c r="AO24" s="488">
        <f>INDEX('Volume adjustments'!$J$527:$Y$567,AO$17 + 1 + $H24*$H$28, AO$15)</f>
        <v>0</v>
      </c>
    </row>
    <row r="25" spans="3:43" x14ac:dyDescent="0.25">
      <c r="E25" s="14"/>
      <c r="F25" s="109" t="s">
        <v>74</v>
      </c>
      <c r="G25" s="109" t="s">
        <v>74</v>
      </c>
      <c r="H25" s="490">
        <v>3</v>
      </c>
      <c r="J25" s="488">
        <f>INDEX('Volume adjustments'!$J$527:$Y$567,J$17 + 1 + $H25*$H$28, J$15)</f>
        <v>2901359.4971160064</v>
      </c>
      <c r="K25" s="488">
        <f>INDEX('Volume adjustments'!$J$527:$Y$567,K$17 + 1 + $H25*$H$28, K$15)</f>
        <v>33762.707811624095</v>
      </c>
      <c r="L25" s="488">
        <f>INDEX('Volume adjustments'!$J$527:$Y$567,L$17 + 1 + $H25*$H$28, L$15)</f>
        <v>8.4395178124941772</v>
      </c>
      <c r="M25" s="488">
        <f>INDEX('Volume adjustments'!$J$527:$Y$567,M$17 + 1 + $H25*$H$28, M$15)</f>
        <v>92485.136554492579</v>
      </c>
      <c r="N25" s="488">
        <f>INDEX('Volume adjustments'!$J$527:$Y$567,N$17 + 1 + $H25*$H$28, N$15)</f>
        <v>69496.230336396038</v>
      </c>
      <c r="O25" s="488">
        <f>INDEX('Volume adjustments'!$J$527:$Y$567,O$17 + 1 + $H25*$H$28, O$15)</f>
        <v>36790.20623631154</v>
      </c>
      <c r="P25" s="488">
        <f>INDEX('Volume adjustments'!$J$527:$Y$567,P$17 + 1 + $H25*$H$28, P$15)</f>
        <v>34033.274397354267</v>
      </c>
      <c r="Q25" s="488">
        <f>INDEX('Volume adjustments'!$J$527:$Y$567,Q$17 + 1 + $H25*$H$28, Q$15)</f>
        <v>4756.0967741935474</v>
      </c>
      <c r="R25" s="488">
        <f>INDEX('Volume adjustments'!$J$527:$Y$567,R$17 + 1 + $H25*$H$28, R$15)</f>
        <v>12.633774818491784</v>
      </c>
      <c r="S25" s="488">
        <f>INDEX('Volume adjustments'!$J$527:$Y$567,S$17 + 1 + $H25*$H$28, S$15)</f>
        <v>10434.139529663622</v>
      </c>
      <c r="T25" s="488">
        <f>INDEX('Volume adjustments'!$J$527:$Y$567,T$17 + 1 + $H25*$H$28, T$15)</f>
        <v>5393.602994688049</v>
      </c>
      <c r="U25" s="488">
        <f>INDEX('Volume adjustments'!$J$527:$Y$567,U$17 + 1 + $H25*$H$28, U$15)</f>
        <v>2872.553606714172</v>
      </c>
      <c r="V25" s="488">
        <f>INDEX('Volume adjustments'!$J$527:$Y$567,V$17 + 1 + $H25*$H$28, V$15)</f>
        <v>3909.270300556323</v>
      </c>
      <c r="W25" s="488">
        <f>INDEX('Volume adjustments'!$J$527:$Y$567,W$17 + 1 + $H25*$H$28, W$15)</f>
        <v>0</v>
      </c>
      <c r="X25" s="488">
        <f>INDEX('Volume adjustments'!$J$527:$Y$567,X$17 + 1 + $H25*$H$28, X$15)</f>
        <v>5.0576923076923084</v>
      </c>
      <c r="Y25" s="488">
        <f>INDEX('Volume adjustments'!$J$527:$Y$567,Y$17 + 1 + $H25*$H$28, Y$15)</f>
        <v>38.438461538461539</v>
      </c>
      <c r="Z25" s="488">
        <f>INDEX('Volume adjustments'!$J$527:$Y$567,Z$17 + 1 + $H25*$H$28, Z$15)</f>
        <v>45.519230769230766</v>
      </c>
      <c r="AA25" s="488">
        <f>INDEX('Volume adjustments'!$J$527:$Y$567,AA$17 + 1 + $H25*$H$28, AA$15)</f>
        <v>173.98461538461538</v>
      </c>
      <c r="AB25" s="488">
        <f>INDEX('Volume adjustments'!$J$527:$Y$567,AB$17 + 1 + $H25*$H$28, AB$15)</f>
        <v>85.104651202741692</v>
      </c>
      <c r="AC25" s="488">
        <f>INDEX('Volume adjustments'!$J$527:$Y$567,AC$17 + 1 + $H25*$H$28, AC$15)</f>
        <v>542.87534104429005</v>
      </c>
      <c r="AD25" s="488">
        <f>INDEX('Volume adjustments'!$J$527:$Y$567,AD$17 + 1 + $H25*$H$28, AD$15)</f>
        <v>645.37581682166717</v>
      </c>
      <c r="AE25" s="488">
        <f>INDEX('Volume adjustments'!$J$527:$Y$567,AE$17 + 1 + $H25*$H$28, AE$15)</f>
        <v>279.08054008462864</v>
      </c>
      <c r="AF25" s="488">
        <f>INDEX('Volume adjustments'!$J$527:$Y$567,AF$17 + 1 + $H25*$H$28, AF$15)</f>
        <v>282.09136748803127</v>
      </c>
      <c r="AG25" s="488">
        <f>INDEX('Volume adjustments'!$J$527:$Y$567,AG$17 + 1 + $H25*$H$28, AG$15)</f>
        <v>4004.5</v>
      </c>
      <c r="AH25" s="488">
        <f>INDEX('Volume adjustments'!$J$527:$Y$567,AH$17 + 1 + $H25*$H$28, AH$15)</f>
        <v>1884.9999999999998</v>
      </c>
      <c r="AI25" s="488">
        <f>INDEX('Volume adjustments'!$J$527:$Y$567,AI$17 + 1 + $H25*$H$28, AI$15)</f>
        <v>38.935483870967744</v>
      </c>
      <c r="AJ25" s="488">
        <f>INDEX('Volume adjustments'!$J$527:$Y$567,AJ$17 + 1 + $H25*$H$28, AJ$15)</f>
        <v>836.76967715751107</v>
      </c>
      <c r="AK25" s="488">
        <f>INDEX('Volume adjustments'!$J$527:$Y$567,AK$17 + 1 + $H25*$H$28, AK$15)</f>
        <v>0</v>
      </c>
      <c r="AL25" s="488">
        <f>INDEX('Volume adjustments'!$J$527:$Y$567,AL$17 + 1 + $H25*$H$28, AL$15)</f>
        <v>1</v>
      </c>
      <c r="AM25" s="488">
        <f>INDEX('Volume adjustments'!$J$527:$Y$567,AM$17 + 1 + $H25*$H$28, AM$15)</f>
        <v>0</v>
      </c>
      <c r="AN25" s="488">
        <f>INDEX('Volume adjustments'!$J$527:$Y$567,AN$17 + 1 + $H25*$H$28, AN$15)</f>
        <v>232.35483870967744</v>
      </c>
      <c r="AO25" s="488">
        <f>INDEX('Volume adjustments'!$J$527:$Y$567,AO$17 + 1 + $H25*$H$28, AO$15)</f>
        <v>0</v>
      </c>
    </row>
    <row r="26" spans="3:43" x14ac:dyDescent="0.25">
      <c r="E26" s="14"/>
      <c r="F26" s="109" t="s">
        <v>202</v>
      </c>
      <c r="G26" s="109" t="s">
        <v>169</v>
      </c>
      <c r="H26" s="490">
        <v>4</v>
      </c>
      <c r="J26" s="488">
        <f>INDEX('Volume adjustments'!$J$527:$Y$567,J$17 + 1 + $H26*$H$28, J$15)</f>
        <v>0</v>
      </c>
      <c r="K26" s="488">
        <f>INDEX('Volume adjustments'!$J$527:$Y$567,K$17 + 1 + $H26*$H$28, K$15)</f>
        <v>0</v>
      </c>
      <c r="L26" s="488">
        <f>INDEX('Volume adjustments'!$J$527:$Y$567,L$17 + 1 + $H26*$H$28, L$15)</f>
        <v>0</v>
      </c>
      <c r="M26" s="488">
        <f>INDEX('Volume adjustments'!$J$527:$Y$567,M$17 + 1 + $H26*$H$28, M$15)</f>
        <v>0</v>
      </c>
      <c r="N26" s="488">
        <f>INDEX('Volume adjustments'!$J$527:$Y$567,N$17 + 1 + $H26*$H$28, N$15)</f>
        <v>0</v>
      </c>
      <c r="O26" s="488">
        <f>INDEX('Volume adjustments'!$J$527:$Y$567,O$17 + 1 + $H26*$H$28, O$15)</f>
        <v>0</v>
      </c>
      <c r="P26" s="488">
        <f>INDEX('Volume adjustments'!$J$527:$Y$567,P$17 + 1 + $H26*$H$28, P$15)</f>
        <v>0</v>
      </c>
      <c r="Q26" s="488">
        <f>INDEX('Volume adjustments'!$J$527:$Y$567,Q$17 + 1 + $H26*$H$28, Q$15)</f>
        <v>0</v>
      </c>
      <c r="R26" s="488">
        <f>INDEX('Volume adjustments'!$J$527:$Y$567,R$17 + 1 + $H26*$H$28, R$15)</f>
        <v>626.42426685731766</v>
      </c>
      <c r="S26" s="488">
        <f>INDEX('Volume adjustments'!$J$527:$Y$567,S$17 + 1 + $H26*$H$28, S$15)</f>
        <v>624520.53649529349</v>
      </c>
      <c r="T26" s="488">
        <f>INDEX('Volume adjustments'!$J$527:$Y$567,T$17 + 1 + $H26*$H$28, T$15)</f>
        <v>593224.42965042905</v>
      </c>
      <c r="U26" s="488">
        <f>INDEX('Volume adjustments'!$J$527:$Y$567,U$17 + 1 + $H26*$H$28, U$15)</f>
        <v>488741.46311303356</v>
      </c>
      <c r="V26" s="488">
        <f>INDEX('Volume adjustments'!$J$527:$Y$567,V$17 + 1 + $H26*$H$28, V$15)</f>
        <v>1607909.6087336058</v>
      </c>
      <c r="W26" s="488">
        <f>INDEX('Volume adjustments'!$J$527:$Y$567,W$17 + 1 + $H26*$H$28, W$15)</f>
        <v>0</v>
      </c>
      <c r="X26" s="488">
        <f>INDEX('Volume adjustments'!$J$527:$Y$567,X$17 + 1 + $H26*$H$28, X$15)</f>
        <v>489.98849305434084</v>
      </c>
      <c r="Y26" s="488">
        <f>INDEX('Volume adjustments'!$J$527:$Y$567,Y$17 + 1 + $H26*$H$28, Y$15)</f>
        <v>6213.8572548426428</v>
      </c>
      <c r="Z26" s="488">
        <f>INDEX('Volume adjustments'!$J$527:$Y$567,Z$17 + 1 + $H26*$H$28, Z$15)</f>
        <v>7668.3961292627218</v>
      </c>
      <c r="AA26" s="488">
        <f>INDEX('Volume adjustments'!$J$527:$Y$567,AA$17 + 1 + $H26*$H$28, AA$15)</f>
        <v>102018.80123796046</v>
      </c>
      <c r="AB26" s="488">
        <f>INDEX('Volume adjustments'!$J$527:$Y$567,AB$17 + 1 + $H26*$H$28, AB$15)</f>
        <v>8729.7065907776232</v>
      </c>
      <c r="AC26" s="488">
        <f>INDEX('Volume adjustments'!$J$527:$Y$567,AC$17 + 1 + $H26*$H$28, AC$15)</f>
        <v>136200.89602449993</v>
      </c>
      <c r="AD26" s="488">
        <f>INDEX('Volume adjustments'!$J$527:$Y$567,AD$17 + 1 + $H26*$H$28, AD$15)</f>
        <v>472414.44837443682</v>
      </c>
      <c r="AE26" s="488">
        <f>INDEX('Volume adjustments'!$J$527:$Y$567,AE$17 + 1 + $H26*$H$28, AE$15)</f>
        <v>374962.07826794166</v>
      </c>
      <c r="AF26" s="488">
        <f>INDEX('Volume adjustments'!$J$527:$Y$567,AF$17 + 1 + $H26*$H$28, AF$15)</f>
        <v>995699.66974979674</v>
      </c>
      <c r="AG26" s="488">
        <f>INDEX('Volume adjustments'!$J$527:$Y$567,AG$17 + 1 + $H26*$H$28, AG$15)</f>
        <v>0</v>
      </c>
      <c r="AH26" s="488">
        <f>INDEX('Volume adjustments'!$J$527:$Y$567,AH$17 + 1 + $H26*$H$28, AH$15)</f>
        <v>0</v>
      </c>
      <c r="AI26" s="488">
        <f>INDEX('Volume adjustments'!$J$527:$Y$567,AI$17 + 1 + $H26*$H$28, AI$15)</f>
        <v>0</v>
      </c>
      <c r="AJ26" s="488">
        <f>INDEX('Volume adjustments'!$J$527:$Y$567,AJ$17 + 1 + $H26*$H$28, AJ$15)</f>
        <v>0</v>
      </c>
      <c r="AK26" s="488">
        <f>INDEX('Volume adjustments'!$J$527:$Y$567,AK$17 + 1 + $H26*$H$28, AK$15)</f>
        <v>0</v>
      </c>
      <c r="AL26" s="488">
        <f>INDEX('Volume adjustments'!$J$527:$Y$567,AL$17 + 1 + $H26*$H$28, AL$15)</f>
        <v>0</v>
      </c>
      <c r="AM26" s="488">
        <f>INDEX('Volume adjustments'!$J$527:$Y$567,AM$17 + 1 + $H26*$H$28, AM$15)</f>
        <v>0</v>
      </c>
      <c r="AN26" s="488">
        <f>INDEX('Volume adjustments'!$J$527:$Y$567,AN$17 + 1 + $H26*$H$28, AN$15)</f>
        <v>0</v>
      </c>
      <c r="AO26" s="488">
        <f>INDEX('Volume adjustments'!$J$527:$Y$567,AO$17 + 1 + $H26*$H$28, AO$15)</f>
        <v>0</v>
      </c>
    </row>
    <row r="27" spans="3:43" x14ac:dyDescent="0.25">
      <c r="E27" s="14"/>
      <c r="F27" s="109" t="s">
        <v>203</v>
      </c>
      <c r="G27" s="109" t="s">
        <v>169</v>
      </c>
      <c r="H27" s="490">
        <v>5</v>
      </c>
      <c r="J27" s="488">
        <f>INDEX('Volume adjustments'!$J$527:$Y$567,J$17 + 1 + $H27*$H$28, J$15)</f>
        <v>0</v>
      </c>
      <c r="K27" s="488">
        <f>INDEX('Volume adjustments'!$J$527:$Y$567,K$17 + 1 + $H27*$H$28, K$15)</f>
        <v>0</v>
      </c>
      <c r="L27" s="488">
        <f>INDEX('Volume adjustments'!$J$527:$Y$567,L$17 + 1 + $H27*$H$28, L$15)</f>
        <v>0</v>
      </c>
      <c r="M27" s="488">
        <f>INDEX('Volume adjustments'!$J$527:$Y$567,M$17 + 1 + $H27*$H$28, M$15)</f>
        <v>0</v>
      </c>
      <c r="N27" s="488">
        <f>INDEX('Volume adjustments'!$J$527:$Y$567,N$17 + 1 + $H27*$H$28, N$15)</f>
        <v>0</v>
      </c>
      <c r="O27" s="488">
        <f>INDEX('Volume adjustments'!$J$527:$Y$567,O$17 + 1 + $H27*$H$28, O$15)</f>
        <v>0</v>
      </c>
      <c r="P27" s="488">
        <f>INDEX('Volume adjustments'!$J$527:$Y$567,P$17 + 1 + $H27*$H$28, P$15)</f>
        <v>0</v>
      </c>
      <c r="Q27" s="488">
        <f>INDEX('Volume adjustments'!$J$527:$Y$567,Q$17 + 1 + $H27*$H$28, Q$15)</f>
        <v>0</v>
      </c>
      <c r="R27" s="488">
        <f>INDEX('Volume adjustments'!$J$527:$Y$567,R$17 + 1 + $H27*$H$28, R$15)</f>
        <v>8.5416436780123615</v>
      </c>
      <c r="S27" s="488">
        <f>INDEX('Volume adjustments'!$J$527:$Y$567,S$17 + 1 + $H27*$H$28, S$15)</f>
        <v>8515.6852545097026</v>
      </c>
      <c r="T27" s="488">
        <f>INDEX('Volume adjustments'!$J$527:$Y$567,T$17 + 1 + $H27*$H$28, T$15)</f>
        <v>8088.9454116888892</v>
      </c>
      <c r="U27" s="488">
        <f>INDEX('Volume adjustments'!$J$527:$Y$567,U$17 + 1 + $H27*$H$28, U$15)</f>
        <v>6664.2619857714217</v>
      </c>
      <c r="V27" s="488">
        <f>INDEX('Volume adjustments'!$J$527:$Y$567,V$17 + 1 + $H27*$H$28, V$15)</f>
        <v>21924.742815531772</v>
      </c>
      <c r="W27" s="488">
        <f>INDEX('Volume adjustments'!$J$527:$Y$567,W$17 + 1 + $H27*$H$28, W$15)</f>
        <v>0</v>
      </c>
      <c r="X27" s="488">
        <f>INDEX('Volume adjustments'!$J$527:$Y$567,X$17 + 1 + $H27*$H$28, X$15)</f>
        <v>3.3466469995676156</v>
      </c>
      <c r="Y27" s="488">
        <f>INDEX('Volume adjustments'!$J$527:$Y$567,Y$17 + 1 + $H27*$H$28, Y$15)</f>
        <v>42.440969599166309</v>
      </c>
      <c r="Z27" s="488">
        <f>INDEX('Volume adjustments'!$J$527:$Y$567,Z$17 + 1 + $H27*$H$28, Z$15)</f>
        <v>52.375546081746194</v>
      </c>
      <c r="AA27" s="488">
        <f>INDEX('Volume adjustments'!$J$527:$Y$567,AA$17 + 1 + $H27*$H$28, AA$15)</f>
        <v>696.79374087799431</v>
      </c>
      <c r="AB27" s="488">
        <f>INDEX('Volume adjustments'!$J$527:$Y$567,AB$17 + 1 + $H27*$H$28, AB$15)</f>
        <v>14.746655548020247</v>
      </c>
      <c r="AC27" s="488">
        <f>INDEX('Volume adjustments'!$J$527:$Y$567,AC$17 + 1 + $H27*$H$28, AC$15)</f>
        <v>1633.3227080899942</v>
      </c>
      <c r="AD27" s="488">
        <f>INDEX('Volume adjustments'!$J$527:$Y$567,AD$17 + 1 + $H27*$H$28, AD$15)</f>
        <v>5665.1994860663681</v>
      </c>
      <c r="AE27" s="488">
        <f>INDEX('Volume adjustments'!$J$527:$Y$567,AE$17 + 1 + $H27*$H$28, AE$15)</f>
        <v>4496.5495454411821</v>
      </c>
      <c r="AF27" s="488">
        <f>INDEX('Volume adjustments'!$J$527:$Y$567,AF$17 + 1 + $H27*$H$28, AF$15)</f>
        <v>11940.441865723931</v>
      </c>
      <c r="AG27" s="488">
        <f>INDEX('Volume adjustments'!$J$527:$Y$567,AG$17 + 1 + $H27*$H$28, AG$15)</f>
        <v>0</v>
      </c>
      <c r="AH27" s="488">
        <f>INDEX('Volume adjustments'!$J$527:$Y$567,AH$17 + 1 + $H27*$H$28, AH$15)</f>
        <v>0</v>
      </c>
      <c r="AI27" s="488">
        <f>INDEX('Volume adjustments'!$J$527:$Y$567,AI$17 + 1 + $H27*$H$28, AI$15)</f>
        <v>0</v>
      </c>
      <c r="AJ27" s="488">
        <f>INDEX('Volume adjustments'!$J$527:$Y$567,AJ$17 + 1 + $H27*$H$28, AJ$15)</f>
        <v>0</v>
      </c>
      <c r="AK27" s="488">
        <f>INDEX('Volume adjustments'!$J$527:$Y$567,AK$17 + 1 + $H27*$H$28, AK$15)</f>
        <v>0</v>
      </c>
      <c r="AL27" s="488">
        <f>INDEX('Volume adjustments'!$J$527:$Y$567,AL$17 + 1 + $H27*$H$28, AL$15)</f>
        <v>0</v>
      </c>
      <c r="AM27" s="488">
        <f>INDEX('Volume adjustments'!$J$527:$Y$567,AM$17 + 1 + $H27*$H$28, AM$15)</f>
        <v>0</v>
      </c>
      <c r="AN27" s="488">
        <f>INDEX('Volume adjustments'!$J$527:$Y$567,AN$17 + 1 + $H27*$H$28, AN$15)</f>
        <v>0</v>
      </c>
      <c r="AO27" s="488">
        <f>INDEX('Volume adjustments'!$J$527:$Y$567,AO$17 + 1 + $H27*$H$28, AO$15)</f>
        <v>0</v>
      </c>
    </row>
    <row r="28" spans="3:43" x14ac:dyDescent="0.25">
      <c r="E28" s="14"/>
      <c r="F28" s="36" t="s">
        <v>204</v>
      </c>
      <c r="G28" s="36" t="s">
        <v>170</v>
      </c>
      <c r="H28" s="456">
        <v>6</v>
      </c>
      <c r="I28" s="93"/>
      <c r="J28" s="284">
        <f>INDEX('Volume adjustments'!$J$527:$Y$567,J$17 + 1 + $H28*$H$28, J$15)</f>
        <v>0</v>
      </c>
      <c r="K28" s="284">
        <f>INDEX('Volume adjustments'!$J$527:$Y$567,K$17 + 1 + $H28*$H$28, K$15)</f>
        <v>0</v>
      </c>
      <c r="L28" s="284">
        <f>INDEX('Volume adjustments'!$J$527:$Y$567,L$17 + 1 + $H28*$H$28, L$15)</f>
        <v>0</v>
      </c>
      <c r="M28" s="284">
        <f>INDEX('Volume adjustments'!$J$527:$Y$567,M$17 + 1 + $H28*$H$28, M$15)</f>
        <v>0</v>
      </c>
      <c r="N28" s="284">
        <f>INDEX('Volume adjustments'!$J$527:$Y$567,N$17 + 1 + $H28*$H$28, N$15)</f>
        <v>0</v>
      </c>
      <c r="O28" s="284">
        <f>INDEX('Volume adjustments'!$J$527:$Y$567,O$17 + 1 + $H28*$H$28, O$15)</f>
        <v>0</v>
      </c>
      <c r="P28" s="284">
        <f>INDEX('Volume adjustments'!$J$527:$Y$567,P$17 + 1 + $H28*$H$28, P$15)</f>
        <v>0</v>
      </c>
      <c r="Q28" s="284">
        <f>INDEX('Volume adjustments'!$J$527:$Y$567,Q$17 + 1 + $H28*$H$28, Q$15)</f>
        <v>0</v>
      </c>
      <c r="R28" s="284">
        <f>INDEX('Volume adjustments'!$J$527:$Y$567,R$17 + 1 + $H28*$H$28, R$15)</f>
        <v>79.281923184762576</v>
      </c>
      <c r="S28" s="284">
        <f>INDEX('Volume adjustments'!$J$527:$Y$567,S$17 + 1 + $H28*$H$28, S$15)</f>
        <v>79040.982001108074</v>
      </c>
      <c r="T28" s="284">
        <f>INDEX('Volume adjustments'!$J$527:$Y$567,T$17 + 1 + $H28*$H$28, T$15)</f>
        <v>75080.063387107744</v>
      </c>
      <c r="U28" s="284">
        <f>INDEX('Volume adjustments'!$J$527:$Y$567,U$17 + 1 + $H28*$H$28, U$15)</f>
        <v>61856.420936773538</v>
      </c>
      <c r="V28" s="284">
        <f>INDEX('Volume adjustments'!$J$527:$Y$567,V$17 + 1 + $H28*$H$28, V$15)</f>
        <v>203501.32144017884</v>
      </c>
      <c r="W28" s="284">
        <f>INDEX('Volume adjustments'!$J$527:$Y$567,W$17 + 1 + $H28*$H$28, W$15)</f>
        <v>0</v>
      </c>
      <c r="X28" s="284">
        <f>INDEX('Volume adjustments'!$J$527:$Y$567,X$17 + 1 + $H28*$H$28, X$15)</f>
        <v>98.050691999600616</v>
      </c>
      <c r="Y28" s="284">
        <f>INDEX('Volume adjustments'!$J$527:$Y$567,Y$17 + 1 + $H28*$H$28, Y$15)</f>
        <v>1243.4434940015826</v>
      </c>
      <c r="Z28" s="284">
        <f>INDEX('Volume adjustments'!$J$527:$Y$567,Z$17 + 1 + $H28*$H$28, Z$15)</f>
        <v>1534.5085806288153</v>
      </c>
      <c r="AA28" s="284">
        <f>INDEX('Volume adjustments'!$J$527:$Y$567,AA$17 + 1 + $H28*$H$28, AA$15)</f>
        <v>20414.793816887406</v>
      </c>
      <c r="AB28" s="284">
        <f>INDEX('Volume adjustments'!$J$527:$Y$567,AB$17 + 1 + $H28*$H$28, AB$15)</f>
        <v>433.70015170933488</v>
      </c>
      <c r="AC28" s="284">
        <f>INDEX('Volume adjustments'!$J$527:$Y$567,AC$17 + 1 + $H28*$H$28, AC$15)</f>
        <v>21119.515591500556</v>
      </c>
      <c r="AD28" s="284">
        <f>INDEX('Volume adjustments'!$J$527:$Y$567,AD$17 + 1 + $H28*$H$28, AD$15)</f>
        <v>73253.29420960162</v>
      </c>
      <c r="AE28" s="284">
        <f>INDEX('Volume adjustments'!$J$527:$Y$567,AE$17 + 1 + $H28*$H$28, AE$15)</f>
        <v>58142.183270048139</v>
      </c>
      <c r="AF28" s="284">
        <f>INDEX('Volume adjustments'!$J$527:$Y$567,AF$17 + 1 + $H28*$H$28, AF$15)</f>
        <v>154394.68691858038</v>
      </c>
      <c r="AG28" s="284">
        <f>INDEX('Volume adjustments'!$J$527:$Y$567,AG$17 + 1 + $H28*$H$28, AG$15)</f>
        <v>0</v>
      </c>
      <c r="AH28" s="284">
        <f>INDEX('Volume adjustments'!$J$527:$Y$567,AH$17 + 1 + $H28*$H$28, AH$15)</f>
        <v>0</v>
      </c>
      <c r="AI28" s="284">
        <f>INDEX('Volume adjustments'!$J$527:$Y$567,AI$17 + 1 + $H28*$H$28, AI$15)</f>
        <v>0</v>
      </c>
      <c r="AJ28" s="284">
        <f>INDEX('Volume adjustments'!$J$527:$Y$567,AJ$17 + 1 + $H28*$H$28, AJ$15)</f>
        <v>5486.7326098670592</v>
      </c>
      <c r="AK28" s="284">
        <f>INDEX('Volume adjustments'!$J$527:$Y$567,AK$17 + 1 + $H28*$H$28, AK$15)</f>
        <v>0</v>
      </c>
      <c r="AL28" s="284">
        <f>INDEX('Volume adjustments'!$J$527:$Y$567,AL$17 + 1 + $H28*$H$28, AL$15)</f>
        <v>0</v>
      </c>
      <c r="AM28" s="284">
        <f>INDEX('Volume adjustments'!$J$527:$Y$567,AM$17 + 1 + $H28*$H$28, AM$15)</f>
        <v>0</v>
      </c>
      <c r="AN28" s="284">
        <f>INDEX('Volume adjustments'!$J$527:$Y$567,AN$17 + 1 + $H28*$H$28, AN$15)</f>
        <v>37970.304935278305</v>
      </c>
      <c r="AO28" s="284">
        <f>INDEX('Volume adjustments'!$J$527:$Y$567,AO$17 + 1 + $H28*$H$28, AO$15)</f>
        <v>0</v>
      </c>
    </row>
    <row r="29" spans="3:43" s="375" customFormat="1" x14ac:dyDescent="0.25">
      <c r="E29" s="423"/>
      <c r="F29" s="377"/>
      <c r="G29" s="377"/>
      <c r="J29" s="424"/>
      <c r="K29" s="424"/>
      <c r="L29" s="424"/>
      <c r="M29" s="424"/>
      <c r="N29" s="424"/>
      <c r="O29" s="424"/>
      <c r="P29" s="424"/>
      <c r="Q29" s="424"/>
      <c r="R29" s="424"/>
      <c r="S29" s="424"/>
      <c r="T29" s="424"/>
      <c r="U29" s="424"/>
      <c r="V29" s="424"/>
      <c r="W29" s="424"/>
      <c r="X29" s="424"/>
      <c r="Y29" s="424"/>
      <c r="Z29" s="424"/>
      <c r="AA29" s="424"/>
      <c r="AB29" s="424"/>
      <c r="AC29" s="424"/>
      <c r="AD29" s="424"/>
      <c r="AE29" s="424"/>
      <c r="AF29" s="424"/>
      <c r="AG29" s="424"/>
      <c r="AH29" s="424"/>
      <c r="AI29" s="424"/>
      <c r="AJ29" s="424"/>
      <c r="AK29" s="424"/>
      <c r="AL29" s="424"/>
      <c r="AM29" s="424"/>
      <c r="AN29" s="424"/>
      <c r="AO29" s="424"/>
    </row>
    <row r="30" spans="3:43" x14ac:dyDescent="0.25">
      <c r="E30" s="96" t="s">
        <v>901</v>
      </c>
      <c r="F30" s="39"/>
      <c r="G30" s="39"/>
      <c r="I30" s="293" t="s">
        <v>359</v>
      </c>
      <c r="J30" s="252"/>
      <c r="K30" s="252"/>
      <c r="L30" s="252"/>
      <c r="M30" s="252"/>
      <c r="N30" s="252"/>
      <c r="O30" s="252"/>
      <c r="P30" s="252"/>
      <c r="Q30" s="252"/>
      <c r="R30" s="252"/>
      <c r="S30" s="252"/>
      <c r="T30" s="252"/>
      <c r="U30" s="252"/>
      <c r="V30" s="252"/>
      <c r="W30" s="252"/>
      <c r="X30" s="252"/>
      <c r="Y30" s="252"/>
      <c r="Z30" s="252"/>
      <c r="AA30" s="252"/>
      <c r="AB30" s="252"/>
      <c r="AC30" s="252"/>
      <c r="AD30" s="252"/>
      <c r="AE30" s="252"/>
      <c r="AF30" s="252"/>
      <c r="AG30" s="252"/>
      <c r="AH30" s="252"/>
      <c r="AI30" s="252"/>
      <c r="AJ30" s="252"/>
      <c r="AK30" s="252"/>
      <c r="AL30" s="252"/>
      <c r="AM30" s="252"/>
      <c r="AN30" s="252"/>
      <c r="AO30" s="252"/>
      <c r="AQ30" s="293" t="s">
        <v>692</v>
      </c>
    </row>
    <row r="31" spans="3:43" x14ac:dyDescent="0.25">
      <c r="E31" s="96"/>
      <c r="F31" s="82" t="s">
        <v>1110</v>
      </c>
    </row>
    <row r="32" spans="3:43" x14ac:dyDescent="0.25">
      <c r="E32" s="96"/>
      <c r="F32" s="513" t="s">
        <v>1111</v>
      </c>
      <c r="G32" s="93"/>
    </row>
    <row r="33" spans="5:43" x14ac:dyDescent="0.25">
      <c r="F33" s="109" t="s">
        <v>199</v>
      </c>
      <c r="G33" s="109" t="s">
        <v>120</v>
      </c>
      <c r="H33" s="455">
        <v>0</v>
      </c>
      <c r="I33" s="91"/>
      <c r="J33" s="283">
        <f>INDEX('Volume adjustments'!$J$571:$Y$611,J$17 + 1 + $H33*$H$39, J$15)</f>
        <v>12427.22138594751</v>
      </c>
      <c r="K33" s="283">
        <f>INDEX('Volume adjustments'!$J$571:$Y$611,K$17 + 1 + $H33*$H$39, K$15)</f>
        <v>0</v>
      </c>
      <c r="L33" s="283">
        <f>INDEX('Volume adjustments'!$J$571:$Y$611,L$17 + 1 + $H33*$H$39, L$15)</f>
        <v>3.0375372524205455E-2</v>
      </c>
      <c r="M33" s="283">
        <f>INDEX('Volume adjustments'!$J$571:$Y$611,M$17 + 1 + $H33*$H$39, M$15)</f>
        <v>37.872262004414956</v>
      </c>
      <c r="N33" s="283">
        <f>INDEX('Volume adjustments'!$J$571:$Y$611,N$17 + 1 + $H33*$H$39, N$15)</f>
        <v>93.482105172584014</v>
      </c>
      <c r="O33" s="283">
        <f>INDEX('Volume adjustments'!$J$571:$Y$611,O$17 + 1 + $H33*$H$39, O$15)</f>
        <v>112.16171165127392</v>
      </c>
      <c r="P33" s="283">
        <f>INDEX('Volume adjustments'!$J$571:$Y$611,P$17 + 1 + $H33*$H$39, P$15)</f>
        <v>282.29158270378559</v>
      </c>
      <c r="Q33" s="283">
        <f>INDEX('Volume adjustments'!$J$571:$Y$611,Q$17 + 1 + $H33*$H$39, Q$15)</f>
        <v>29.268702844790479</v>
      </c>
      <c r="R33" s="283">
        <f>INDEX('Volume adjustments'!$J$571:$Y$611,R$17 + 1 + $H33*$H$39, R$15)</f>
        <v>0.31107049755657146</v>
      </c>
      <c r="S33" s="283">
        <f>INDEX('Volume adjustments'!$J$571:$Y$611,S$17 + 1 + $H33*$H$39, S$15)</f>
        <v>310.12514089933438</v>
      </c>
      <c r="T33" s="283">
        <f>INDEX('Volume adjustments'!$J$571:$Y$611,T$17 + 1 + $H33*$H$39, T$15)</f>
        <v>294.58408343574632</v>
      </c>
      <c r="U33" s="283">
        <f>INDEX('Volume adjustments'!$J$571:$Y$611,U$17 + 1 + $H33*$H$39, U$15)</f>
        <v>242.69980929989586</v>
      </c>
      <c r="V33" s="283">
        <f>INDEX('Volume adjustments'!$J$571:$Y$611,V$17 + 1 + $H33*$H$39, V$15)</f>
        <v>798.45764041685936</v>
      </c>
      <c r="W33" s="283">
        <f>INDEX('Volume adjustments'!$J$571:$Y$611,W$17 + 1 + $H33*$H$39, W$15)</f>
        <v>0</v>
      </c>
      <c r="X33" s="283">
        <f>INDEX('Volume adjustments'!$J$571:$Y$611,X$17 + 1 + $H33*$H$39, X$15)</f>
        <v>0</v>
      </c>
      <c r="Y33" s="283">
        <f>INDEX('Volume adjustments'!$J$571:$Y$611,Y$17 + 1 + $H33*$H$39, Y$15)</f>
        <v>0</v>
      </c>
      <c r="Z33" s="283">
        <f>INDEX('Volume adjustments'!$J$571:$Y$611,Z$17 + 1 + $H33*$H$39, Z$15)</f>
        <v>0</v>
      </c>
      <c r="AA33" s="283">
        <f>INDEX('Volume adjustments'!$J$571:$Y$611,AA$17 + 1 + $H33*$H$39, AA$15)</f>
        <v>0</v>
      </c>
      <c r="AB33" s="283">
        <f>INDEX('Volume adjustments'!$J$571:$Y$611,AB$17 + 1 + $H33*$H$39, AB$15)</f>
        <v>0</v>
      </c>
      <c r="AC33" s="283">
        <f>INDEX('Volume adjustments'!$J$571:$Y$611,AC$17 + 1 + $H33*$H$39, AC$15)</f>
        <v>0</v>
      </c>
      <c r="AD33" s="283">
        <f>INDEX('Volume adjustments'!$J$571:$Y$611,AD$17 + 1 + $H33*$H$39, AD$15)</f>
        <v>0</v>
      </c>
      <c r="AE33" s="283">
        <f>INDEX('Volume adjustments'!$J$571:$Y$611,AE$17 + 1 + $H33*$H$39, AE$15)</f>
        <v>0</v>
      </c>
      <c r="AF33" s="283">
        <f>INDEX('Volume adjustments'!$J$571:$Y$611,AF$17 + 1 + $H33*$H$39, AF$15)</f>
        <v>0</v>
      </c>
      <c r="AG33" s="283">
        <f>INDEX('Volume adjustments'!$J$571:$Y$611,AG$17 + 1 + $H33*$H$39, AG$15)</f>
        <v>8.385521972809924</v>
      </c>
      <c r="AH33" s="283">
        <f>INDEX('Volume adjustments'!$J$571:$Y$611,AH$17 + 1 + $H33*$H$39, AH$15)</f>
        <v>26.613504917281357</v>
      </c>
      <c r="AI33" s="283">
        <f>INDEX('Volume adjustments'!$J$571:$Y$611,AI$17 + 1 + $H33*$H$39, AI$15)</f>
        <v>0</v>
      </c>
      <c r="AJ33" s="283">
        <f>INDEX('Volume adjustments'!$J$571:$Y$611,AJ$17 + 1 + $H33*$H$39, AJ$15)</f>
        <v>0</v>
      </c>
      <c r="AK33" s="283">
        <f>INDEX('Volume adjustments'!$J$571:$Y$611,AK$17 + 1 + $H33*$H$39, AK$15)</f>
        <v>0</v>
      </c>
      <c r="AL33" s="283">
        <f>INDEX('Volume adjustments'!$J$571:$Y$611,AL$17 + 1 + $H33*$H$39, AL$15)</f>
        <v>0</v>
      </c>
      <c r="AM33" s="283">
        <f>INDEX('Volume adjustments'!$J$571:$Y$611,AM$17 + 1 + $H33*$H$39, AM$15)</f>
        <v>0</v>
      </c>
      <c r="AN33" s="283">
        <f>INDEX('Volume adjustments'!$J$571:$Y$611,AN$17 + 1 + $H33*$H$39, AN$15)</f>
        <v>0</v>
      </c>
      <c r="AO33" s="283">
        <f>INDEX('Volume adjustments'!$J$571:$Y$611,AO$17 + 1 + $H33*$H$39, AO$15)</f>
        <v>0</v>
      </c>
    </row>
    <row r="34" spans="5:43" x14ac:dyDescent="0.25">
      <c r="E34" s="14"/>
      <c r="F34" s="109" t="s">
        <v>200</v>
      </c>
      <c r="G34" s="109" t="s">
        <v>120</v>
      </c>
      <c r="H34" s="490">
        <v>1</v>
      </c>
      <c r="J34" s="488">
        <f>INDEX('Volume adjustments'!$J$571:$Y$611,J$17 + 1 + $H34*$H$39, J$15)</f>
        <v>51168.232381723828</v>
      </c>
      <c r="K34" s="488">
        <f>INDEX('Volume adjustments'!$J$571:$Y$611,K$17 + 1 + $H34*$H$39, K$15)</f>
        <v>0</v>
      </c>
      <c r="L34" s="488">
        <f>INDEX('Volume adjustments'!$J$571:$Y$611,L$17 + 1 + $H34*$H$39, L$15)</f>
        <v>0.19289983188688145</v>
      </c>
      <c r="M34" s="488">
        <f>INDEX('Volume adjustments'!$J$571:$Y$611,M$17 + 1 + $H34*$H$39, M$15)</f>
        <v>240.50908241556351</v>
      </c>
      <c r="N34" s="488">
        <f>INDEX('Volume adjustments'!$J$571:$Y$611,N$17 + 1 + $H34*$H$39, N$15)</f>
        <v>593.66127470052868</v>
      </c>
      <c r="O34" s="488">
        <f>INDEX('Volume adjustments'!$J$571:$Y$611,O$17 + 1 + $H34*$H$39, O$15)</f>
        <v>712.28674823442532</v>
      </c>
      <c r="P34" s="488">
        <f>INDEX('Volume adjustments'!$J$571:$Y$611,P$17 + 1 + $H34*$H$39, P$15)</f>
        <v>1792.7022558570684</v>
      </c>
      <c r="Q34" s="488">
        <f>INDEX('Volume adjustments'!$J$571:$Y$611,Q$17 + 1 + $H34*$H$39, Q$15)</f>
        <v>179.17889035465157</v>
      </c>
      <c r="R34" s="488">
        <f>INDEX('Volume adjustments'!$J$571:$Y$611,R$17 + 1 + $H34*$H$39, R$15)</f>
        <v>1.8226331011284325</v>
      </c>
      <c r="S34" s="488">
        <f>INDEX('Volume adjustments'!$J$571:$Y$611,S$17 + 1 + $H34*$H$39, S$15)</f>
        <v>1817.0940405316005</v>
      </c>
      <c r="T34" s="488">
        <f>INDEX('Volume adjustments'!$J$571:$Y$611,T$17 + 1 + $H34*$H$39, T$15)</f>
        <v>1726.0354349030699</v>
      </c>
      <c r="U34" s="488">
        <f>INDEX('Volume adjustments'!$J$571:$Y$611,U$17 + 1 + $H34*$H$39, U$15)</f>
        <v>1422.0336211314986</v>
      </c>
      <c r="V34" s="488">
        <f>INDEX('Volume adjustments'!$J$571:$Y$611,V$17 + 1 + $H34*$H$39, V$15)</f>
        <v>4678.3457020317728</v>
      </c>
      <c r="W34" s="488">
        <f>INDEX('Volume adjustments'!$J$571:$Y$611,W$17 + 1 + $H34*$H$39, W$15)</f>
        <v>0</v>
      </c>
      <c r="X34" s="488">
        <f>INDEX('Volume adjustments'!$J$571:$Y$611,X$17 + 1 + $H34*$H$39, X$15)</f>
        <v>0</v>
      </c>
      <c r="Y34" s="488">
        <f>INDEX('Volume adjustments'!$J$571:$Y$611,Y$17 + 1 + $H34*$H$39, Y$15)</f>
        <v>0</v>
      </c>
      <c r="Z34" s="488">
        <f>INDEX('Volume adjustments'!$J$571:$Y$611,Z$17 + 1 + $H34*$H$39, Z$15)</f>
        <v>0</v>
      </c>
      <c r="AA34" s="488">
        <f>INDEX('Volume adjustments'!$J$571:$Y$611,AA$17 + 1 + $H34*$H$39, AA$15)</f>
        <v>0</v>
      </c>
      <c r="AB34" s="488">
        <f>INDEX('Volume adjustments'!$J$571:$Y$611,AB$17 + 1 + $H34*$H$39, AB$15)</f>
        <v>0</v>
      </c>
      <c r="AC34" s="488">
        <f>INDEX('Volume adjustments'!$J$571:$Y$611,AC$17 + 1 + $H34*$H$39, AC$15)</f>
        <v>0</v>
      </c>
      <c r="AD34" s="488">
        <f>INDEX('Volume adjustments'!$J$571:$Y$611,AD$17 + 1 + $H34*$H$39, AD$15)</f>
        <v>0</v>
      </c>
      <c r="AE34" s="488">
        <f>INDEX('Volume adjustments'!$J$571:$Y$611,AE$17 + 1 + $H34*$H$39, AE$15)</f>
        <v>0</v>
      </c>
      <c r="AF34" s="488">
        <f>INDEX('Volume adjustments'!$J$571:$Y$611,AF$17 + 1 + $H34*$H$39, AF$15)</f>
        <v>0</v>
      </c>
      <c r="AG34" s="488">
        <f>INDEX('Volume adjustments'!$J$571:$Y$611,AG$17 + 1 + $H34*$H$39, AG$15)</f>
        <v>52.712365653495674</v>
      </c>
      <c r="AH34" s="488">
        <f>INDEX('Volume adjustments'!$J$571:$Y$611,AH$17 + 1 + $H34*$H$39, AH$15)</f>
        <v>222.99704050037963</v>
      </c>
      <c r="AI34" s="488">
        <f>INDEX('Volume adjustments'!$J$571:$Y$611,AI$17 + 1 + $H34*$H$39, AI$15)</f>
        <v>0</v>
      </c>
      <c r="AJ34" s="488">
        <f>INDEX('Volume adjustments'!$J$571:$Y$611,AJ$17 + 1 + $H34*$H$39, AJ$15)</f>
        <v>0</v>
      </c>
      <c r="AK34" s="488">
        <f>INDEX('Volume adjustments'!$J$571:$Y$611,AK$17 + 1 + $H34*$H$39, AK$15)</f>
        <v>0</v>
      </c>
      <c r="AL34" s="488">
        <f>INDEX('Volume adjustments'!$J$571:$Y$611,AL$17 + 1 + $H34*$H$39, AL$15)</f>
        <v>0</v>
      </c>
      <c r="AM34" s="488">
        <f>INDEX('Volume adjustments'!$J$571:$Y$611,AM$17 + 1 + $H34*$H$39, AM$15)</f>
        <v>0</v>
      </c>
      <c r="AN34" s="488">
        <f>INDEX('Volume adjustments'!$J$571:$Y$611,AN$17 + 1 + $H34*$H$39, AN$15)</f>
        <v>0</v>
      </c>
      <c r="AO34" s="488">
        <f>INDEX('Volume adjustments'!$J$571:$Y$611,AO$17 + 1 + $H34*$H$39, AO$15)</f>
        <v>0</v>
      </c>
    </row>
    <row r="35" spans="5:43" x14ac:dyDescent="0.25">
      <c r="E35" s="14"/>
      <c r="F35" s="109" t="s">
        <v>201</v>
      </c>
      <c r="G35" s="109" t="s">
        <v>120</v>
      </c>
      <c r="H35" s="490">
        <v>2</v>
      </c>
      <c r="J35" s="488">
        <f>INDEX('Volume adjustments'!$J$571:$Y$611,J$17 + 1 + $H35*$H$39, J$15)</f>
        <v>24902.513907975921</v>
      </c>
      <c r="K35" s="488">
        <f>INDEX('Volume adjustments'!$J$571:$Y$611,K$17 + 1 + $H35*$H$39, K$15)</f>
        <v>0</v>
      </c>
      <c r="L35" s="488">
        <f>INDEX('Volume adjustments'!$J$571:$Y$611,L$17 + 1 + $H35*$H$39, L$15)</f>
        <v>8.6786395358914928E-2</v>
      </c>
      <c r="M35" s="488">
        <f>INDEX('Volume adjustments'!$J$571:$Y$611,M$17 + 1 + $H35*$H$39, M$15)</f>
        <v>108.20598499104474</v>
      </c>
      <c r="N35" s="488">
        <f>INDEX('Volume adjustments'!$J$571:$Y$611,N$17 + 1 + $H35*$H$39, N$15)</f>
        <v>267.09054949125294</v>
      </c>
      <c r="O35" s="488">
        <f>INDEX('Volume adjustments'!$J$571:$Y$611,O$17 + 1 + $H35*$H$39, O$15)</f>
        <v>320.46061801359565</v>
      </c>
      <c r="P35" s="488">
        <f>INDEX('Volume adjustments'!$J$571:$Y$611,P$17 + 1 + $H35*$H$39, P$15)</f>
        <v>806.54381714995623</v>
      </c>
      <c r="Q35" s="488">
        <f>INDEX('Volume adjustments'!$J$571:$Y$611,Q$17 + 1 + $H35*$H$39, Q$15)</f>
        <v>94.027914478237506</v>
      </c>
      <c r="R35" s="488">
        <f>INDEX('Volume adjustments'!$J$571:$Y$611,R$17 + 1 + $H35*$H$39, R$15)</f>
        <v>1.0806857353958756</v>
      </c>
      <c r="S35" s="488">
        <f>INDEX('Volume adjustments'!$J$571:$Y$611,S$17 + 1 + $H35*$H$39, S$15)</f>
        <v>1077.4014848405757</v>
      </c>
      <c r="T35" s="488">
        <f>INDEX('Volume adjustments'!$J$571:$Y$611,T$17 + 1 + $H35*$H$39, T$15)</f>
        <v>1023.4105109430498</v>
      </c>
      <c r="U35" s="488">
        <f>INDEX('Volume adjustments'!$J$571:$Y$611,U$17 + 1 + $H35*$H$39, U$15)</f>
        <v>843.16006806784355</v>
      </c>
      <c r="V35" s="488">
        <f>INDEX('Volume adjustments'!$J$571:$Y$611,V$17 + 1 + $H35*$H$39, V$15)</f>
        <v>2773.9107022176709</v>
      </c>
      <c r="W35" s="488">
        <f>INDEX('Volume adjustments'!$J$571:$Y$611,W$17 + 1 + $H35*$H$39, W$15)</f>
        <v>0</v>
      </c>
      <c r="X35" s="488">
        <f>INDEX('Volume adjustments'!$J$571:$Y$611,X$17 + 1 + $H35*$H$39, X$15)</f>
        <v>0</v>
      </c>
      <c r="Y35" s="488">
        <f>INDEX('Volume adjustments'!$J$571:$Y$611,Y$17 + 1 + $H35*$H$39, Y$15)</f>
        <v>0</v>
      </c>
      <c r="Z35" s="488">
        <f>INDEX('Volume adjustments'!$J$571:$Y$611,Z$17 + 1 + $H35*$H$39, Z$15)</f>
        <v>0</v>
      </c>
      <c r="AA35" s="488">
        <f>INDEX('Volume adjustments'!$J$571:$Y$611,AA$17 + 1 + $H35*$H$39, AA$15)</f>
        <v>0</v>
      </c>
      <c r="AB35" s="488">
        <f>INDEX('Volume adjustments'!$J$571:$Y$611,AB$17 + 1 + $H35*$H$39, AB$15)</f>
        <v>0</v>
      </c>
      <c r="AC35" s="488">
        <f>INDEX('Volume adjustments'!$J$571:$Y$611,AC$17 + 1 + $H35*$H$39, AC$15)</f>
        <v>0</v>
      </c>
      <c r="AD35" s="488">
        <f>INDEX('Volume adjustments'!$J$571:$Y$611,AD$17 + 1 + $H35*$H$39, AD$15)</f>
        <v>0</v>
      </c>
      <c r="AE35" s="488">
        <f>INDEX('Volume adjustments'!$J$571:$Y$611,AE$17 + 1 + $H35*$H$39, AE$15)</f>
        <v>0</v>
      </c>
      <c r="AF35" s="488">
        <f>INDEX('Volume adjustments'!$J$571:$Y$611,AF$17 + 1 + $H35*$H$39, AF$15)</f>
        <v>0</v>
      </c>
      <c r="AG35" s="488">
        <f>INDEX('Volume adjustments'!$J$571:$Y$611,AG$17 + 1 + $H35*$H$39, AG$15)</f>
        <v>45.853087148916899</v>
      </c>
      <c r="AH35" s="488">
        <f>INDEX('Volume adjustments'!$J$571:$Y$611,AH$17 + 1 + $H35*$H$39, AH$15)</f>
        <v>20.758512136782162</v>
      </c>
      <c r="AI35" s="488">
        <f>INDEX('Volume adjustments'!$J$571:$Y$611,AI$17 + 1 + $H35*$H$39, AI$15)</f>
        <v>0</v>
      </c>
      <c r="AJ35" s="488">
        <f>INDEX('Volume adjustments'!$J$571:$Y$611,AJ$17 + 1 + $H35*$H$39, AJ$15)</f>
        <v>0</v>
      </c>
      <c r="AK35" s="488">
        <f>INDEX('Volume adjustments'!$J$571:$Y$611,AK$17 + 1 + $H35*$H$39, AK$15)</f>
        <v>0</v>
      </c>
      <c r="AL35" s="488">
        <f>INDEX('Volume adjustments'!$J$571:$Y$611,AL$17 + 1 + $H35*$H$39, AL$15)</f>
        <v>0</v>
      </c>
      <c r="AM35" s="488">
        <f>INDEX('Volume adjustments'!$J$571:$Y$611,AM$17 + 1 + $H35*$H$39, AM$15)</f>
        <v>0</v>
      </c>
      <c r="AN35" s="488">
        <f>INDEX('Volume adjustments'!$J$571:$Y$611,AN$17 + 1 + $H35*$H$39, AN$15)</f>
        <v>0</v>
      </c>
      <c r="AO35" s="488">
        <f>INDEX('Volume adjustments'!$J$571:$Y$611,AO$17 + 1 + $H35*$H$39, AO$15)</f>
        <v>0</v>
      </c>
    </row>
    <row r="36" spans="5:43" x14ac:dyDescent="0.25">
      <c r="E36" s="14"/>
      <c r="F36" s="109" t="s">
        <v>74</v>
      </c>
      <c r="G36" s="109" t="s">
        <v>74</v>
      </c>
      <c r="H36" s="490">
        <v>3</v>
      </c>
      <c r="J36" s="488">
        <f>INDEX('Volume adjustments'!$J$571:$Y$611,J$17 + 1 + $H36*$H$39, J$15)</f>
        <v>30423.599820316216</v>
      </c>
      <c r="K36" s="488">
        <f>INDEX('Volume adjustments'!$J$571:$Y$611,K$17 + 1 + $H36*$H$39, K$15)</f>
        <v>0</v>
      </c>
      <c r="L36" s="488">
        <f>INDEX('Volume adjustments'!$J$571:$Y$611,L$17 + 1 + $H36*$H$39, L$15)</f>
        <v>1.562562276581243E-2</v>
      </c>
      <c r="M36" s="488">
        <f>INDEX('Volume adjustments'!$J$571:$Y$611,M$17 + 1 + $H36*$H$39, M$15)</f>
        <v>171.23464721002364</v>
      </c>
      <c r="N36" s="488">
        <f>INDEX('Volume adjustments'!$J$571:$Y$611,N$17 + 1 + $H36*$H$39, N$15)</f>
        <v>128.67108086138472</v>
      </c>
      <c r="O36" s="488">
        <f>INDEX('Volume adjustments'!$J$571:$Y$611,O$17 + 1 + $H36*$H$39, O$15)</f>
        <v>68.11643708767167</v>
      </c>
      <c r="P36" s="488">
        <f>INDEX('Volume adjustments'!$J$571:$Y$611,P$17 + 1 + $H36*$H$39, P$15)</f>
        <v>63.012024979810668</v>
      </c>
      <c r="Q36" s="488">
        <f>INDEX('Volume adjustments'!$J$571:$Y$611,Q$17 + 1 + $H36*$H$39, Q$15)</f>
        <v>4</v>
      </c>
      <c r="R36" s="488">
        <f>INDEX('Volume adjustments'!$J$571:$Y$611,R$17 + 1 + $H36*$H$39, R$15)</f>
        <v>7.7906285467221531E-2</v>
      </c>
      <c r="S36" s="488">
        <f>INDEX('Volume adjustments'!$J$571:$Y$611,S$17 + 1 + $H36*$H$39, S$15)</f>
        <v>64.342214775982271</v>
      </c>
      <c r="T36" s="488">
        <f>INDEX('Volume adjustments'!$J$571:$Y$611,T$17 + 1 + $H36*$H$39, T$15)</f>
        <v>33.259701129546549</v>
      </c>
      <c r="U36" s="488">
        <f>INDEX('Volume adjustments'!$J$571:$Y$611,U$17 + 1 + $H36*$H$39, U$15)</f>
        <v>17.713627519861646</v>
      </c>
      <c r="V36" s="488">
        <f>INDEX('Volume adjustments'!$J$571:$Y$611,V$17 + 1 + $H36*$H$39, V$15)</f>
        <v>24.106550289142305</v>
      </c>
      <c r="W36" s="488">
        <f>INDEX('Volume adjustments'!$J$571:$Y$611,W$17 + 1 + $H36*$H$39, W$15)</f>
        <v>0</v>
      </c>
      <c r="X36" s="488">
        <f>INDEX('Volume adjustments'!$J$571:$Y$611,X$17 + 1 + $H36*$H$39, X$15)</f>
        <v>0</v>
      </c>
      <c r="Y36" s="488">
        <f>INDEX('Volume adjustments'!$J$571:$Y$611,Y$17 + 1 + $H36*$H$39, Y$15)</f>
        <v>0</v>
      </c>
      <c r="Z36" s="488">
        <f>INDEX('Volume adjustments'!$J$571:$Y$611,Z$17 + 1 + $H36*$H$39, Z$15)</f>
        <v>0</v>
      </c>
      <c r="AA36" s="488">
        <f>INDEX('Volume adjustments'!$J$571:$Y$611,AA$17 + 1 + $H36*$H$39, AA$15)</f>
        <v>0</v>
      </c>
      <c r="AB36" s="488">
        <f>INDEX('Volume adjustments'!$J$571:$Y$611,AB$17 + 1 + $H36*$H$39, AB$15)</f>
        <v>0</v>
      </c>
      <c r="AC36" s="488">
        <f>INDEX('Volume adjustments'!$J$571:$Y$611,AC$17 + 1 + $H36*$H$39, AC$15)</f>
        <v>0</v>
      </c>
      <c r="AD36" s="488">
        <f>INDEX('Volume adjustments'!$J$571:$Y$611,AD$17 + 1 + $H36*$H$39, AD$15)</f>
        <v>0</v>
      </c>
      <c r="AE36" s="488">
        <f>INDEX('Volume adjustments'!$J$571:$Y$611,AE$17 + 1 + $H36*$H$39, AE$15)</f>
        <v>0</v>
      </c>
      <c r="AF36" s="488">
        <f>INDEX('Volume adjustments'!$J$571:$Y$611,AF$17 + 1 + $H36*$H$39, AF$15)</f>
        <v>0</v>
      </c>
      <c r="AG36" s="488">
        <f>INDEX('Volume adjustments'!$J$571:$Y$611,AG$17 + 1 + $H36*$H$39, AG$15)</f>
        <v>122</v>
      </c>
      <c r="AH36" s="488">
        <f>INDEX('Volume adjustments'!$J$571:$Y$611,AH$17 + 1 + $H36*$H$39, AH$15)</f>
        <v>50.451612903225801</v>
      </c>
      <c r="AI36" s="488">
        <f>INDEX('Volume adjustments'!$J$571:$Y$611,AI$17 + 1 + $H36*$H$39, AI$15)</f>
        <v>0</v>
      </c>
      <c r="AJ36" s="488">
        <f>INDEX('Volume adjustments'!$J$571:$Y$611,AJ$17 + 1 + $H36*$H$39, AJ$15)</f>
        <v>0</v>
      </c>
      <c r="AK36" s="488">
        <f>INDEX('Volume adjustments'!$J$571:$Y$611,AK$17 + 1 + $H36*$H$39, AK$15)</f>
        <v>0</v>
      </c>
      <c r="AL36" s="488">
        <f>INDEX('Volume adjustments'!$J$571:$Y$611,AL$17 + 1 + $H36*$H$39, AL$15)</f>
        <v>0</v>
      </c>
      <c r="AM36" s="488">
        <f>INDEX('Volume adjustments'!$J$571:$Y$611,AM$17 + 1 + $H36*$H$39, AM$15)</f>
        <v>0</v>
      </c>
      <c r="AN36" s="488">
        <f>INDEX('Volume adjustments'!$J$571:$Y$611,AN$17 + 1 + $H36*$H$39, AN$15)</f>
        <v>0</v>
      </c>
      <c r="AO36" s="488">
        <f>INDEX('Volume adjustments'!$J$571:$Y$611,AO$17 + 1 + $H36*$H$39, AO$15)</f>
        <v>0</v>
      </c>
    </row>
    <row r="37" spans="5:43" x14ac:dyDescent="0.25">
      <c r="E37" s="14"/>
      <c r="F37" s="109" t="s">
        <v>202</v>
      </c>
      <c r="G37" s="109" t="s">
        <v>169</v>
      </c>
      <c r="H37" s="490">
        <v>4</v>
      </c>
      <c r="J37" s="488">
        <f>INDEX('Volume adjustments'!$J$571:$Y$611,J$17 + 1 + $H37*$H$39, J$15)</f>
        <v>0</v>
      </c>
      <c r="K37" s="488">
        <f>INDEX('Volume adjustments'!$J$571:$Y$611,K$17 + 1 + $H37*$H$39, K$15)</f>
        <v>0</v>
      </c>
      <c r="L37" s="488">
        <f>INDEX('Volume adjustments'!$J$571:$Y$611,L$17 + 1 + $H37*$H$39, L$15)</f>
        <v>0</v>
      </c>
      <c r="M37" s="488">
        <f>INDEX('Volume adjustments'!$J$571:$Y$611,M$17 + 1 + $H37*$H$39, M$15)</f>
        <v>0</v>
      </c>
      <c r="N37" s="488">
        <f>INDEX('Volume adjustments'!$J$571:$Y$611,N$17 + 1 + $H37*$H$39, N$15)</f>
        <v>0</v>
      </c>
      <c r="O37" s="488">
        <f>INDEX('Volume adjustments'!$J$571:$Y$611,O$17 + 1 + $H37*$H$39, O$15)</f>
        <v>0</v>
      </c>
      <c r="P37" s="488">
        <f>INDEX('Volume adjustments'!$J$571:$Y$611,P$17 + 1 + $H37*$H$39, P$15)</f>
        <v>0</v>
      </c>
      <c r="Q37" s="488">
        <f>INDEX('Volume adjustments'!$J$571:$Y$611,Q$17 + 1 + $H37*$H$39, Q$15)</f>
        <v>0</v>
      </c>
      <c r="R37" s="488">
        <f>INDEX('Volume adjustments'!$J$571:$Y$611,R$17 + 1 + $H37*$H$39, R$15)</f>
        <v>3.9060851734454922</v>
      </c>
      <c r="S37" s="488">
        <f>INDEX('Volume adjustments'!$J$571:$Y$611,S$17 + 1 + $H37*$H$39, S$15)</f>
        <v>3894.2144121503607</v>
      </c>
      <c r="T37" s="488">
        <f>INDEX('Volume adjustments'!$J$571:$Y$611,T$17 + 1 + $H37*$H$39, T$15)</f>
        <v>3699.0667057139899</v>
      </c>
      <c r="U37" s="488">
        <f>INDEX('Volume adjustments'!$J$571:$Y$611,U$17 + 1 + $H37*$H$39, U$15)</f>
        <v>3047.5603895286363</v>
      </c>
      <c r="V37" s="488">
        <f>INDEX('Volume adjustments'!$J$571:$Y$611,V$17 + 1 + $H37*$H$39, V$15)</f>
        <v>10026.163121719288</v>
      </c>
      <c r="W37" s="488">
        <f>INDEX('Volume adjustments'!$J$571:$Y$611,W$17 + 1 + $H37*$H$39, W$15)</f>
        <v>0</v>
      </c>
      <c r="X37" s="488">
        <f>INDEX('Volume adjustments'!$J$571:$Y$611,X$17 + 1 + $H37*$H$39, X$15)</f>
        <v>0</v>
      </c>
      <c r="Y37" s="488">
        <f>INDEX('Volume adjustments'!$J$571:$Y$611,Y$17 + 1 + $H37*$H$39, Y$15)</f>
        <v>0</v>
      </c>
      <c r="Z37" s="488">
        <f>INDEX('Volume adjustments'!$J$571:$Y$611,Z$17 + 1 + $H37*$H$39, Z$15)</f>
        <v>0</v>
      </c>
      <c r="AA37" s="488">
        <f>INDEX('Volume adjustments'!$J$571:$Y$611,AA$17 + 1 + $H37*$H$39, AA$15)</f>
        <v>0</v>
      </c>
      <c r="AB37" s="488">
        <f>INDEX('Volume adjustments'!$J$571:$Y$611,AB$17 + 1 + $H37*$H$39, AB$15)</f>
        <v>0</v>
      </c>
      <c r="AC37" s="488">
        <f>INDEX('Volume adjustments'!$J$571:$Y$611,AC$17 + 1 + $H37*$H$39, AC$15)</f>
        <v>0</v>
      </c>
      <c r="AD37" s="488">
        <f>INDEX('Volume adjustments'!$J$571:$Y$611,AD$17 + 1 + $H37*$H$39, AD$15)</f>
        <v>0</v>
      </c>
      <c r="AE37" s="488">
        <f>INDEX('Volume adjustments'!$J$571:$Y$611,AE$17 + 1 + $H37*$H$39, AE$15)</f>
        <v>0</v>
      </c>
      <c r="AF37" s="488">
        <f>INDEX('Volume adjustments'!$J$571:$Y$611,AF$17 + 1 + $H37*$H$39, AF$15)</f>
        <v>0</v>
      </c>
      <c r="AG37" s="488">
        <f>INDEX('Volume adjustments'!$J$571:$Y$611,AG$17 + 1 + $H37*$H$39, AG$15)</f>
        <v>0</v>
      </c>
      <c r="AH37" s="488">
        <f>INDEX('Volume adjustments'!$J$571:$Y$611,AH$17 + 1 + $H37*$H$39, AH$15)</f>
        <v>0</v>
      </c>
      <c r="AI37" s="488">
        <f>INDEX('Volume adjustments'!$J$571:$Y$611,AI$17 + 1 + $H37*$H$39, AI$15)</f>
        <v>0</v>
      </c>
      <c r="AJ37" s="488">
        <f>INDEX('Volume adjustments'!$J$571:$Y$611,AJ$17 + 1 + $H37*$H$39, AJ$15)</f>
        <v>0</v>
      </c>
      <c r="AK37" s="488">
        <f>INDEX('Volume adjustments'!$J$571:$Y$611,AK$17 + 1 + $H37*$H$39, AK$15)</f>
        <v>0</v>
      </c>
      <c r="AL37" s="488">
        <f>INDEX('Volume adjustments'!$J$571:$Y$611,AL$17 + 1 + $H37*$H$39, AL$15)</f>
        <v>0</v>
      </c>
      <c r="AM37" s="488">
        <f>INDEX('Volume adjustments'!$J$571:$Y$611,AM$17 + 1 + $H37*$H$39, AM$15)</f>
        <v>0</v>
      </c>
      <c r="AN37" s="488">
        <f>INDEX('Volume adjustments'!$J$571:$Y$611,AN$17 + 1 + $H37*$H$39, AN$15)</f>
        <v>0</v>
      </c>
      <c r="AO37" s="488">
        <f>INDEX('Volume adjustments'!$J$571:$Y$611,AO$17 + 1 + $H37*$H$39, AO$15)</f>
        <v>0</v>
      </c>
    </row>
    <row r="38" spans="5:43" x14ac:dyDescent="0.25">
      <c r="E38" s="14"/>
      <c r="F38" s="109" t="s">
        <v>203</v>
      </c>
      <c r="G38" s="109" t="s">
        <v>169</v>
      </c>
      <c r="H38" s="490">
        <v>5</v>
      </c>
      <c r="J38" s="488">
        <f>INDEX('Volume adjustments'!$J$571:$Y$611,J$17 + 1 + $H38*$H$39, J$15)</f>
        <v>0</v>
      </c>
      <c r="K38" s="488">
        <f>INDEX('Volume adjustments'!$J$571:$Y$611,K$17 + 1 + $H38*$H$39, K$15)</f>
        <v>0</v>
      </c>
      <c r="L38" s="488">
        <f>INDEX('Volume adjustments'!$J$571:$Y$611,L$17 + 1 + $H38*$H$39, L$15)</f>
        <v>0</v>
      </c>
      <c r="M38" s="488">
        <f>INDEX('Volume adjustments'!$J$571:$Y$611,M$17 + 1 + $H38*$H$39, M$15)</f>
        <v>0</v>
      </c>
      <c r="N38" s="488">
        <f>INDEX('Volume adjustments'!$J$571:$Y$611,N$17 + 1 + $H38*$H$39, N$15)</f>
        <v>0</v>
      </c>
      <c r="O38" s="488">
        <f>INDEX('Volume adjustments'!$J$571:$Y$611,O$17 + 1 + $H38*$H$39, O$15)</f>
        <v>0</v>
      </c>
      <c r="P38" s="488">
        <f>INDEX('Volume adjustments'!$J$571:$Y$611,P$17 + 1 + $H38*$H$39, P$15)</f>
        <v>0</v>
      </c>
      <c r="Q38" s="488">
        <f>INDEX('Volume adjustments'!$J$571:$Y$611,Q$17 + 1 + $H38*$H$39, Q$15)</f>
        <v>0</v>
      </c>
      <c r="R38" s="488">
        <f>INDEX('Volume adjustments'!$J$571:$Y$611,R$17 + 1 + $H38*$H$39, R$15)</f>
        <v>3.5304457460642526E-3</v>
      </c>
      <c r="S38" s="488">
        <f>INDEX('Volume adjustments'!$J$571:$Y$611,S$17 + 1 + $H38*$H$39, S$15)</f>
        <v>3.5197165691886818</v>
      </c>
      <c r="T38" s="488">
        <f>INDEX('Volume adjustments'!$J$571:$Y$611,T$17 + 1 + $H38*$H$39, T$15)</f>
        <v>3.3433357788448905</v>
      </c>
      <c r="U38" s="488">
        <f>INDEX('Volume adjustments'!$J$571:$Y$611,U$17 + 1 + $H38*$H$39, U$15)</f>
        <v>2.7544833600222645</v>
      </c>
      <c r="V38" s="488">
        <f>INDEX('Volume adjustments'!$J$571:$Y$611,V$17 + 1 + $H38*$H$39, V$15)</f>
        <v>9.0619695604838029</v>
      </c>
      <c r="W38" s="488">
        <f>INDEX('Volume adjustments'!$J$571:$Y$611,W$17 + 1 + $H38*$H$39, W$15)</f>
        <v>0</v>
      </c>
      <c r="X38" s="488">
        <f>INDEX('Volume adjustments'!$J$571:$Y$611,X$17 + 1 + $H38*$H$39, X$15)</f>
        <v>0</v>
      </c>
      <c r="Y38" s="488">
        <f>INDEX('Volume adjustments'!$J$571:$Y$611,Y$17 + 1 + $H38*$H$39, Y$15)</f>
        <v>0</v>
      </c>
      <c r="Z38" s="488">
        <f>INDEX('Volume adjustments'!$J$571:$Y$611,Z$17 + 1 + $H38*$H$39, Z$15)</f>
        <v>0</v>
      </c>
      <c r="AA38" s="488">
        <f>INDEX('Volume adjustments'!$J$571:$Y$611,AA$17 + 1 + $H38*$H$39, AA$15)</f>
        <v>0</v>
      </c>
      <c r="AB38" s="488">
        <f>INDEX('Volume adjustments'!$J$571:$Y$611,AB$17 + 1 + $H38*$H$39, AB$15)</f>
        <v>0</v>
      </c>
      <c r="AC38" s="488">
        <f>INDEX('Volume adjustments'!$J$571:$Y$611,AC$17 + 1 + $H38*$H$39, AC$15)</f>
        <v>0</v>
      </c>
      <c r="AD38" s="488">
        <f>INDEX('Volume adjustments'!$J$571:$Y$611,AD$17 + 1 + $H38*$H$39, AD$15)</f>
        <v>0</v>
      </c>
      <c r="AE38" s="488">
        <f>INDEX('Volume adjustments'!$J$571:$Y$611,AE$17 + 1 + $H38*$H$39, AE$15)</f>
        <v>0</v>
      </c>
      <c r="AF38" s="488">
        <f>INDEX('Volume adjustments'!$J$571:$Y$611,AF$17 + 1 + $H38*$H$39, AF$15)</f>
        <v>0</v>
      </c>
      <c r="AG38" s="488">
        <f>INDEX('Volume adjustments'!$J$571:$Y$611,AG$17 + 1 + $H38*$H$39, AG$15)</f>
        <v>0</v>
      </c>
      <c r="AH38" s="488">
        <f>INDEX('Volume adjustments'!$J$571:$Y$611,AH$17 + 1 + $H38*$H$39, AH$15)</f>
        <v>0</v>
      </c>
      <c r="AI38" s="488">
        <f>INDEX('Volume adjustments'!$J$571:$Y$611,AI$17 + 1 + $H38*$H$39, AI$15)</f>
        <v>0</v>
      </c>
      <c r="AJ38" s="488">
        <f>INDEX('Volume adjustments'!$J$571:$Y$611,AJ$17 + 1 + $H38*$H$39, AJ$15)</f>
        <v>0</v>
      </c>
      <c r="AK38" s="488">
        <f>INDEX('Volume adjustments'!$J$571:$Y$611,AK$17 + 1 + $H38*$H$39, AK$15)</f>
        <v>0</v>
      </c>
      <c r="AL38" s="488">
        <f>INDEX('Volume adjustments'!$J$571:$Y$611,AL$17 + 1 + $H38*$H$39, AL$15)</f>
        <v>0</v>
      </c>
      <c r="AM38" s="488">
        <f>INDEX('Volume adjustments'!$J$571:$Y$611,AM$17 + 1 + $H38*$H$39, AM$15)</f>
        <v>0</v>
      </c>
      <c r="AN38" s="488">
        <f>INDEX('Volume adjustments'!$J$571:$Y$611,AN$17 + 1 + $H38*$H$39, AN$15)</f>
        <v>0</v>
      </c>
      <c r="AO38" s="488">
        <f>INDEX('Volume adjustments'!$J$571:$Y$611,AO$17 + 1 + $H38*$H$39, AO$15)</f>
        <v>0</v>
      </c>
    </row>
    <row r="39" spans="5:43" x14ac:dyDescent="0.25">
      <c r="E39" s="14"/>
      <c r="F39" s="36" t="s">
        <v>204</v>
      </c>
      <c r="G39" s="36" t="s">
        <v>170</v>
      </c>
      <c r="H39" s="456">
        <v>6</v>
      </c>
      <c r="I39" s="93"/>
      <c r="J39" s="284">
        <f>INDEX('Volume adjustments'!$J$571:$Y$611,J$17 + 1 + $H39*$H$39, J$15)</f>
        <v>0</v>
      </c>
      <c r="K39" s="284">
        <f>INDEX('Volume adjustments'!$J$571:$Y$611,K$17 + 1 + $H39*$H$39, K$15)</f>
        <v>0</v>
      </c>
      <c r="L39" s="284">
        <f>INDEX('Volume adjustments'!$J$571:$Y$611,L$17 + 1 + $H39*$H$39, L$15)</f>
        <v>0</v>
      </c>
      <c r="M39" s="284">
        <f>INDEX('Volume adjustments'!$J$571:$Y$611,M$17 + 1 + $H39*$H$39, M$15)</f>
        <v>0</v>
      </c>
      <c r="N39" s="284">
        <f>INDEX('Volume adjustments'!$J$571:$Y$611,N$17 + 1 + $H39*$H$39, N$15)</f>
        <v>0</v>
      </c>
      <c r="O39" s="284">
        <f>INDEX('Volume adjustments'!$J$571:$Y$611,O$17 + 1 + $H39*$H$39, O$15)</f>
        <v>0</v>
      </c>
      <c r="P39" s="284">
        <f>INDEX('Volume adjustments'!$J$571:$Y$611,P$17 + 1 + $H39*$H$39, P$15)</f>
        <v>0</v>
      </c>
      <c r="Q39" s="284">
        <f>INDEX('Volume adjustments'!$J$571:$Y$611,Q$17 + 1 + $H39*$H$39, Q$15)</f>
        <v>0</v>
      </c>
      <c r="R39" s="284">
        <f>INDEX('Volume adjustments'!$J$571:$Y$611,R$17 + 1 + $H39*$H$39, R$15)</f>
        <v>0.37449607950128161</v>
      </c>
      <c r="S39" s="284">
        <f>INDEX('Volume adjustments'!$J$571:$Y$611,S$17 + 1 + $H39*$H$39, S$15)</f>
        <v>373.35796976523585</v>
      </c>
      <c r="T39" s="284">
        <f>INDEX('Volume adjustments'!$J$571:$Y$611,T$17 + 1 + $H39*$H$39, T$15)</f>
        <v>354.64817524234184</v>
      </c>
      <c r="U39" s="284">
        <f>INDEX('Volume adjustments'!$J$571:$Y$611,U$17 + 1 + $H39*$H$39, U$15)</f>
        <v>292.18497990793986</v>
      </c>
      <c r="V39" s="284">
        <f>INDEX('Volume adjustments'!$J$571:$Y$611,V$17 + 1 + $H39*$H$39, V$15)</f>
        <v>961.25880896042884</v>
      </c>
      <c r="W39" s="284">
        <f>INDEX('Volume adjustments'!$J$571:$Y$611,W$17 + 1 + $H39*$H$39, W$15)</f>
        <v>0</v>
      </c>
      <c r="X39" s="284">
        <f>INDEX('Volume adjustments'!$J$571:$Y$611,X$17 + 1 + $H39*$H$39, X$15)</f>
        <v>0</v>
      </c>
      <c r="Y39" s="284">
        <f>INDEX('Volume adjustments'!$J$571:$Y$611,Y$17 + 1 + $H39*$H$39, Y$15)</f>
        <v>0</v>
      </c>
      <c r="Z39" s="284">
        <f>INDEX('Volume adjustments'!$J$571:$Y$611,Z$17 + 1 + $H39*$H$39, Z$15)</f>
        <v>0</v>
      </c>
      <c r="AA39" s="284">
        <f>INDEX('Volume adjustments'!$J$571:$Y$611,AA$17 + 1 + $H39*$H$39, AA$15)</f>
        <v>0</v>
      </c>
      <c r="AB39" s="284">
        <f>INDEX('Volume adjustments'!$J$571:$Y$611,AB$17 + 1 + $H39*$H$39, AB$15)</f>
        <v>0</v>
      </c>
      <c r="AC39" s="284">
        <f>INDEX('Volume adjustments'!$J$571:$Y$611,AC$17 + 1 + $H39*$H$39, AC$15)</f>
        <v>0</v>
      </c>
      <c r="AD39" s="284">
        <f>INDEX('Volume adjustments'!$J$571:$Y$611,AD$17 + 1 + $H39*$H$39, AD$15)</f>
        <v>0</v>
      </c>
      <c r="AE39" s="284">
        <f>INDEX('Volume adjustments'!$J$571:$Y$611,AE$17 + 1 + $H39*$H$39, AE$15)</f>
        <v>0</v>
      </c>
      <c r="AF39" s="284">
        <f>INDEX('Volume adjustments'!$J$571:$Y$611,AF$17 + 1 + $H39*$H$39, AF$15)</f>
        <v>0</v>
      </c>
      <c r="AG39" s="284">
        <f>INDEX('Volume adjustments'!$J$571:$Y$611,AG$17 + 1 + $H39*$H$39, AG$15)</f>
        <v>0</v>
      </c>
      <c r="AH39" s="284">
        <f>INDEX('Volume adjustments'!$J$571:$Y$611,AH$17 + 1 + $H39*$H$39, AH$15)</f>
        <v>0</v>
      </c>
      <c r="AI39" s="284">
        <f>INDEX('Volume adjustments'!$J$571:$Y$611,AI$17 + 1 + $H39*$H$39, AI$15)</f>
        <v>0</v>
      </c>
      <c r="AJ39" s="284">
        <f>INDEX('Volume adjustments'!$J$571:$Y$611,AJ$17 + 1 + $H39*$H$39, AJ$15)</f>
        <v>0</v>
      </c>
      <c r="AK39" s="284">
        <f>INDEX('Volume adjustments'!$J$571:$Y$611,AK$17 + 1 + $H39*$H$39, AK$15)</f>
        <v>0</v>
      </c>
      <c r="AL39" s="284">
        <f>INDEX('Volume adjustments'!$J$571:$Y$611,AL$17 + 1 + $H39*$H$39, AL$15)</f>
        <v>0</v>
      </c>
      <c r="AM39" s="284">
        <f>INDEX('Volume adjustments'!$J$571:$Y$611,AM$17 + 1 + $H39*$H$39, AM$15)</f>
        <v>0</v>
      </c>
      <c r="AN39" s="284">
        <f>INDEX('Volume adjustments'!$J$571:$Y$611,AN$17 + 1 + $H39*$H$39, AN$15)</f>
        <v>0</v>
      </c>
      <c r="AO39" s="284">
        <f>INDEX('Volume adjustments'!$J$571:$Y$611,AO$17 + 1 + $H39*$H$39, AO$15)</f>
        <v>0</v>
      </c>
    </row>
    <row r="40" spans="5:43" s="375" customFormat="1" x14ac:dyDescent="0.25">
      <c r="E40" s="423"/>
      <c r="F40" s="377"/>
      <c r="G40" s="377"/>
      <c r="J40" s="424"/>
      <c r="K40" s="424"/>
      <c r="L40" s="424"/>
      <c r="M40" s="424"/>
      <c r="N40" s="424"/>
      <c r="O40" s="424"/>
      <c r="P40" s="424"/>
      <c r="Q40" s="424"/>
      <c r="R40" s="424"/>
      <c r="S40" s="424"/>
      <c r="T40" s="424"/>
      <c r="U40" s="424"/>
      <c r="V40" s="424"/>
      <c r="W40" s="424"/>
      <c r="X40" s="424"/>
      <c r="Y40" s="424"/>
      <c r="Z40" s="424"/>
      <c r="AA40" s="424"/>
      <c r="AB40" s="424"/>
      <c r="AC40" s="424"/>
      <c r="AD40" s="424"/>
      <c r="AE40" s="424"/>
      <c r="AF40" s="424"/>
      <c r="AG40" s="424"/>
      <c r="AH40" s="424"/>
      <c r="AI40" s="424"/>
      <c r="AJ40" s="424"/>
      <c r="AK40" s="424"/>
      <c r="AL40" s="424"/>
      <c r="AM40" s="424"/>
      <c r="AN40" s="424"/>
      <c r="AO40" s="424"/>
    </row>
    <row r="41" spans="5:43" x14ac:dyDescent="0.25">
      <c r="E41" s="96" t="s">
        <v>902</v>
      </c>
      <c r="F41" s="39"/>
      <c r="G41" s="39"/>
      <c r="I41" s="293" t="s">
        <v>359</v>
      </c>
      <c r="J41" s="252"/>
      <c r="K41" s="252"/>
      <c r="L41" s="252"/>
      <c r="M41" s="252"/>
      <c r="N41" s="252"/>
      <c r="O41" s="252"/>
      <c r="P41" s="252"/>
      <c r="Q41" s="252"/>
      <c r="R41" s="252"/>
      <c r="S41" s="252"/>
      <c r="T41" s="252"/>
      <c r="U41" s="252"/>
      <c r="V41" s="252"/>
      <c r="W41" s="252"/>
      <c r="X41" s="252"/>
      <c r="Y41" s="252"/>
      <c r="Z41" s="252"/>
      <c r="AA41" s="252"/>
      <c r="AB41" s="252"/>
      <c r="AC41" s="252"/>
      <c r="AD41" s="252"/>
      <c r="AE41" s="252"/>
      <c r="AF41" s="252"/>
      <c r="AG41" s="252"/>
      <c r="AH41" s="252"/>
      <c r="AI41" s="252"/>
      <c r="AJ41" s="252"/>
      <c r="AK41" s="252"/>
      <c r="AL41" s="252"/>
      <c r="AM41" s="252"/>
      <c r="AN41" s="252"/>
      <c r="AO41" s="252"/>
      <c r="AQ41" s="293" t="s">
        <v>692</v>
      </c>
    </row>
    <row r="42" spans="5:43" x14ac:dyDescent="0.25">
      <c r="E42" s="96"/>
      <c r="F42" s="82" t="s">
        <v>1110</v>
      </c>
    </row>
    <row r="43" spans="5:43" x14ac:dyDescent="0.25">
      <c r="E43" s="96"/>
      <c r="F43" s="513" t="s">
        <v>1111</v>
      </c>
      <c r="G43" s="93"/>
    </row>
    <row r="44" spans="5:43" x14ac:dyDescent="0.25">
      <c r="E44" s="14"/>
      <c r="F44" s="109" t="s">
        <v>199</v>
      </c>
      <c r="G44" s="109" t="s">
        <v>120</v>
      </c>
      <c r="H44" s="455">
        <v>0</v>
      </c>
      <c r="I44" s="91"/>
      <c r="J44" s="283">
        <f>INDEX('Volume adjustments'!$J$615:$Y$655,J$17 + 1 + $H44*$H$50, J$15)</f>
        <v>44670.593528846104</v>
      </c>
      <c r="K44" s="283">
        <f>INDEX('Volume adjustments'!$J$615:$Y$655,K$17 + 1 + $H44*$H$50, K$15)</f>
        <v>179.77446786950873</v>
      </c>
      <c r="L44" s="283">
        <f>INDEX('Volume adjustments'!$J$615:$Y$655,L$17 + 1 + $H44*$H$50, L$15)</f>
        <v>8.5000605450719816E-2</v>
      </c>
      <c r="M44" s="283">
        <f>INDEX('Volume adjustments'!$J$615:$Y$655,M$17 + 1 + $H44*$H$50, M$15)</f>
        <v>105.97944758038054</v>
      </c>
      <c r="N44" s="283">
        <f>INDEX('Volume adjustments'!$J$615:$Y$655,N$17 + 1 + $H44*$H$50, N$15)</f>
        <v>261.59466956810127</v>
      </c>
      <c r="O44" s="283">
        <f>INDEX('Volume adjustments'!$J$615:$Y$655,O$17 + 1 + $H44*$H$50, O$15)</f>
        <v>313.86655064559477</v>
      </c>
      <c r="P44" s="283">
        <f>INDEX('Volume adjustments'!$J$615:$Y$655,P$17 + 1 + $H44*$H$50, P$15)</f>
        <v>789.94769280089258</v>
      </c>
      <c r="Q44" s="283">
        <f>INDEX('Volume adjustments'!$J$615:$Y$655,Q$17 + 1 + $H44*$H$50, Q$15)</f>
        <v>50.994806112427376</v>
      </c>
      <c r="R44" s="283">
        <f>INDEX('Volume adjustments'!$J$615:$Y$655,R$17 + 1 + $H44*$H$50, R$15)</f>
        <v>2.5727093827384553</v>
      </c>
      <c r="S44" s="283">
        <f>INDEX('Volume adjustments'!$J$615:$Y$655,S$17 + 1 + $H44*$H$50, S$15)</f>
        <v>2564.8908079741745</v>
      </c>
      <c r="T44" s="283">
        <f>INDEX('Volume adjustments'!$J$615:$Y$655,T$17 + 1 + $H44*$H$50, T$15)</f>
        <v>2436.3584506201018</v>
      </c>
      <c r="U44" s="283">
        <f>INDEX('Volume adjustments'!$J$615:$Y$655,U$17 + 1 + $H44*$H$50, U$15)</f>
        <v>2007.2494224918353</v>
      </c>
      <c r="V44" s="283">
        <f>INDEX('Volume adjustments'!$J$615:$Y$655,V$17 + 1 + $H44*$H$50, V$15)</f>
        <v>6603.6460524389131</v>
      </c>
      <c r="W44" s="283">
        <f>INDEX('Volume adjustments'!$J$615:$Y$655,W$17 + 1 + $H44*$H$50, W$15)</f>
        <v>0</v>
      </c>
      <c r="X44" s="283">
        <f>INDEX('Volume adjustments'!$J$615:$Y$655,X$17 + 1 + $H44*$H$50, X$15)</f>
        <v>10.208910205854352</v>
      </c>
      <c r="Y44" s="283">
        <f>INDEX('Volume adjustments'!$J$615:$Y$655,Y$17 + 1 + $H44*$H$50, Y$15)</f>
        <v>129.46571530946113</v>
      </c>
      <c r="Z44" s="283">
        <f>INDEX('Volume adjustments'!$J$615:$Y$655,Z$17 + 1 + $H44*$H$50, Z$15)</f>
        <v>159.77103261868257</v>
      </c>
      <c r="AA44" s="283">
        <f>INDEX('Volume adjustments'!$J$615:$Y$655,AA$17 + 1 + $H44*$H$50, AA$15)</f>
        <v>2125.561714021183</v>
      </c>
      <c r="AB44" s="283">
        <f>INDEX('Volume adjustments'!$J$615:$Y$655,AB$17 + 1 + $H44*$H$50, AB$15)</f>
        <v>1.946449261641106</v>
      </c>
      <c r="AC44" s="283">
        <f>INDEX('Volume adjustments'!$J$615:$Y$655,AC$17 + 1 + $H44*$H$50, AC$15)</f>
        <v>215.5864947703501</v>
      </c>
      <c r="AD44" s="283">
        <f>INDEX('Volume adjustments'!$J$615:$Y$655,AD$17 + 1 + $H44*$H$50, AD$15)</f>
        <v>747.76435380860607</v>
      </c>
      <c r="AE44" s="283">
        <f>INDEX('Volume adjustments'!$J$615:$Y$655,AE$17 + 1 + $H44*$H$50, AE$15)</f>
        <v>593.51122118205615</v>
      </c>
      <c r="AF44" s="283">
        <f>INDEX('Volume adjustments'!$J$615:$Y$655,AF$17 + 1 + $H44*$H$50, AF$15)</f>
        <v>1576.0498492369738</v>
      </c>
      <c r="AG44" s="283">
        <f>INDEX('Volume adjustments'!$J$615:$Y$655,AG$17 + 1 + $H44*$H$50, AG$15)</f>
        <v>93.792650881413181</v>
      </c>
      <c r="AH44" s="283">
        <f>INDEX('Volume adjustments'!$J$615:$Y$655,AH$17 + 1 + $H44*$H$50, AH$15)</f>
        <v>5.4054629554655884</v>
      </c>
      <c r="AI44" s="283">
        <f>INDEX('Volume adjustments'!$J$615:$Y$655,AI$17 + 1 + $H44*$H$50, AI$15)</f>
        <v>3.2511697241080468</v>
      </c>
      <c r="AJ44" s="283">
        <f>INDEX('Volume adjustments'!$J$615:$Y$655,AJ$17 + 1 + $H44*$H$50, AJ$15)</f>
        <v>10.272978968253968</v>
      </c>
      <c r="AK44" s="283">
        <f>INDEX('Volume adjustments'!$J$615:$Y$655,AK$17 + 1 + $H44*$H$50, AK$15)</f>
        <v>0</v>
      </c>
      <c r="AL44" s="283">
        <f>INDEX('Volume adjustments'!$J$615:$Y$655,AL$17 + 1 + $H44*$H$50, AL$15)</f>
        <v>0</v>
      </c>
      <c r="AM44" s="283">
        <f>INDEX('Volume adjustments'!$J$615:$Y$655,AM$17 + 1 + $H44*$H$50, AM$15)</f>
        <v>0</v>
      </c>
      <c r="AN44" s="283">
        <f>INDEX('Volume adjustments'!$J$615:$Y$655,AN$17 + 1 + $H44*$H$50, AN$15)</f>
        <v>25.409700000000001</v>
      </c>
      <c r="AO44" s="283">
        <f>INDEX('Volume adjustments'!$J$615:$Y$655,AO$17 + 1 + $H44*$H$50, AO$15)</f>
        <v>0</v>
      </c>
    </row>
    <row r="45" spans="5:43" x14ac:dyDescent="0.25">
      <c r="E45" s="14"/>
      <c r="F45" s="109" t="s">
        <v>200</v>
      </c>
      <c r="G45" s="109" t="s">
        <v>120</v>
      </c>
      <c r="H45" s="490">
        <v>1</v>
      </c>
      <c r="J45" s="488">
        <f>INDEX('Volume adjustments'!$J$615:$Y$655,J$17 + 1 + $H45*$H$50, J$15)</f>
        <v>188586.48344018924</v>
      </c>
      <c r="K45" s="488">
        <f>INDEX('Volume adjustments'!$J$615:$Y$655,K$17 + 1 + $H45*$H$50, K$15)</f>
        <v>844.36342956518479</v>
      </c>
      <c r="L45" s="488">
        <f>INDEX('Volume adjustments'!$J$615:$Y$655,L$17 + 1 + $H45*$H$50, L$15)</f>
        <v>0.58630721734623636</v>
      </c>
      <c r="M45" s="488">
        <f>INDEX('Volume adjustments'!$J$615:$Y$655,M$17 + 1 + $H45*$H$50, M$15)</f>
        <v>731.01261664269748</v>
      </c>
      <c r="N45" s="488">
        <f>INDEX('Volume adjustments'!$J$615:$Y$655,N$17 + 1 + $H45*$H$50, N$15)</f>
        <v>1804.397062512721</v>
      </c>
      <c r="O45" s="488">
        <f>INDEX('Volume adjustments'!$J$615:$Y$655,O$17 + 1 + $H45*$H$50, O$15)</f>
        <v>2164.9519194750847</v>
      </c>
      <c r="P45" s="488">
        <f>INDEX('Volume adjustments'!$J$615:$Y$655,P$17 + 1 + $H45*$H$50, P$15)</f>
        <v>5448.8086427065409</v>
      </c>
      <c r="Q45" s="488">
        <f>INDEX('Volume adjustments'!$J$615:$Y$655,Q$17 + 1 + $H45*$H$50, Q$15)</f>
        <v>311.10576867355189</v>
      </c>
      <c r="R45" s="488">
        <f>INDEX('Volume adjustments'!$J$615:$Y$655,R$17 + 1 + $H45*$H$50, R$15)</f>
        <v>13.832706372048838</v>
      </c>
      <c r="S45" s="488">
        <f>INDEX('Volume adjustments'!$J$615:$Y$655,S$17 + 1 + $H45*$H$50, S$15)</f>
        <v>13790.668180837714</v>
      </c>
      <c r="T45" s="488">
        <f>INDEX('Volume adjustments'!$J$615:$Y$655,T$17 + 1 + $H45*$H$50, T$15)</f>
        <v>13099.587264153046</v>
      </c>
      <c r="U45" s="488">
        <f>INDEX('Volume adjustments'!$J$615:$Y$655,U$17 + 1 + $H45*$H$50, U$15)</f>
        <v>10792.393444470463</v>
      </c>
      <c r="V45" s="488">
        <f>INDEX('Volume adjustments'!$J$615:$Y$655,V$17 + 1 + $H45*$H$50, V$15)</f>
        <v>35505.874639869216</v>
      </c>
      <c r="W45" s="488">
        <f>INDEX('Volume adjustments'!$J$615:$Y$655,W$17 + 1 + $H45*$H$50, W$15)</f>
        <v>0</v>
      </c>
      <c r="X45" s="488">
        <f>INDEX('Volume adjustments'!$J$615:$Y$655,X$17 + 1 + $H45*$H$50, X$15)</f>
        <v>57.966016181635908</v>
      </c>
      <c r="Y45" s="488">
        <f>INDEX('Volume adjustments'!$J$615:$Y$655,Y$17 + 1 + $H45*$H$50, Y$15)</f>
        <v>735.10409997452359</v>
      </c>
      <c r="Z45" s="488">
        <f>INDEX('Volume adjustments'!$J$615:$Y$655,Z$17 + 1 + $H45*$H$50, Z$15)</f>
        <v>907.17716929474977</v>
      </c>
      <c r="AA45" s="488">
        <f>INDEX('Volume adjustments'!$J$615:$Y$655,AA$17 + 1 + $H45*$H$50, AA$15)</f>
        <v>12068.902774692056</v>
      </c>
      <c r="AB45" s="488">
        <f>INDEX('Volume adjustments'!$J$615:$Y$655,AB$17 + 1 + $H45*$H$50, AB$15)</f>
        <v>8.0794601484360076</v>
      </c>
      <c r="AC45" s="488">
        <f>INDEX('Volume adjustments'!$J$615:$Y$655,AC$17 + 1 + $H45*$H$50, AC$15)</f>
        <v>894.87176848857177</v>
      </c>
      <c r="AD45" s="488">
        <f>INDEX('Volume adjustments'!$J$615:$Y$655,AD$17 + 1 + $H45*$H$50, AD$15)</f>
        <v>3103.8735075600434</v>
      </c>
      <c r="AE45" s="488">
        <f>INDEX('Volume adjustments'!$J$615:$Y$655,AE$17 + 1 + $H45*$H$50, AE$15)</f>
        <v>2463.5886245228921</v>
      </c>
      <c r="AF45" s="488">
        <f>INDEX('Volume adjustments'!$J$615:$Y$655,AF$17 + 1 + $H45*$H$50, AF$15)</f>
        <v>6541.9799014553437</v>
      </c>
      <c r="AG45" s="488">
        <f>INDEX('Volume adjustments'!$J$615:$Y$655,AG$17 + 1 + $H45*$H$50, AG$15)</f>
        <v>576.08956419110757</v>
      </c>
      <c r="AH45" s="488">
        <f>INDEX('Volume adjustments'!$J$615:$Y$655,AH$17 + 1 + $H45*$H$50, AH$15)</f>
        <v>46.327257006571251</v>
      </c>
      <c r="AI45" s="488">
        <f>INDEX('Volume adjustments'!$J$615:$Y$655,AI$17 + 1 + $H45*$H$50, AI$15)</f>
        <v>12.776181565765997</v>
      </c>
      <c r="AJ45" s="488">
        <f>INDEX('Volume adjustments'!$J$615:$Y$655,AJ$17 + 1 + $H45*$H$50, AJ$15)</f>
        <v>44.359057142857147</v>
      </c>
      <c r="AK45" s="488">
        <f>INDEX('Volume adjustments'!$J$615:$Y$655,AK$17 + 1 + $H45*$H$50, AK$15)</f>
        <v>0</v>
      </c>
      <c r="AL45" s="488">
        <f>INDEX('Volume adjustments'!$J$615:$Y$655,AL$17 + 1 + $H45*$H$50, AL$15)</f>
        <v>0</v>
      </c>
      <c r="AM45" s="488">
        <f>INDEX('Volume adjustments'!$J$615:$Y$655,AM$17 + 1 + $H45*$H$50, AM$15)</f>
        <v>0</v>
      </c>
      <c r="AN45" s="488">
        <f>INDEX('Volume adjustments'!$J$615:$Y$655,AN$17 + 1 + $H45*$H$50, AN$15)</f>
        <v>1.0569</v>
      </c>
      <c r="AO45" s="488">
        <f>INDEX('Volume adjustments'!$J$615:$Y$655,AO$17 + 1 + $H45*$H$50, AO$15)</f>
        <v>0</v>
      </c>
    </row>
    <row r="46" spans="5:43" x14ac:dyDescent="0.25">
      <c r="E46" s="14"/>
      <c r="F46" s="109" t="s">
        <v>201</v>
      </c>
      <c r="G46" s="109" t="s">
        <v>120</v>
      </c>
      <c r="H46" s="490">
        <v>2</v>
      </c>
      <c r="J46" s="488">
        <f>INDEX('Volume adjustments'!$J$615:$Y$655,J$17 + 1 + $H46*$H$50, J$15)</f>
        <v>86625.588105867108</v>
      </c>
      <c r="K46" s="488">
        <f>INDEX('Volume adjustments'!$J$615:$Y$655,K$17 + 1 + $H46*$H$50, K$15)</f>
        <v>757.85400103071845</v>
      </c>
      <c r="L46" s="488">
        <f>INDEX('Volume adjustments'!$J$615:$Y$655,L$17 + 1 + $H46*$H$50, L$15)</f>
        <v>0.22915121924768586</v>
      </c>
      <c r="M46" s="488">
        <f>INDEX('Volume adjustments'!$J$615:$Y$655,M$17 + 1 + $H46*$H$50, M$15)</f>
        <v>285.70760760427919</v>
      </c>
      <c r="N46" s="488">
        <f>INDEX('Volume adjustments'!$J$615:$Y$655,N$17 + 1 + $H46*$H$50, N$15)</f>
        <v>705.22718235200853</v>
      </c>
      <c r="O46" s="488">
        <f>INDEX('Volume adjustments'!$J$615:$Y$655,O$17 + 1 + $H46*$H$50, O$15)</f>
        <v>846.14577014044687</v>
      </c>
      <c r="P46" s="488">
        <f>INDEX('Volume adjustments'!$J$615:$Y$655,P$17 + 1 + $H46*$H$50, P$15)</f>
        <v>2129.6022068003754</v>
      </c>
      <c r="Q46" s="488">
        <f>INDEX('Volume adjustments'!$J$615:$Y$655,Q$17 + 1 + $H46*$H$50, Q$15)</f>
        <v>157.64075203394657</v>
      </c>
      <c r="R46" s="488">
        <f>INDEX('Volume adjustments'!$J$615:$Y$655,R$17 + 1 + $H46*$H$50, R$15)</f>
        <v>7.6232102440074456</v>
      </c>
      <c r="S46" s="488">
        <f>INDEX('Volume adjustments'!$J$615:$Y$655,S$17 + 1 + $H46*$H$50, S$15)</f>
        <v>7600.0429793189005</v>
      </c>
      <c r="T46" s="488">
        <f>INDEX('Volume adjustments'!$J$615:$Y$655,T$17 + 1 + $H46*$H$50, T$15)</f>
        <v>7219.1879982463633</v>
      </c>
      <c r="U46" s="488">
        <f>INDEX('Volume adjustments'!$J$615:$Y$655,U$17 + 1 + $H46*$H$50, U$15)</f>
        <v>5947.6925230980796</v>
      </c>
      <c r="V46" s="488">
        <f>INDEX('Volume adjustments'!$J$615:$Y$655,V$17 + 1 + $H46*$H$50, V$15)</f>
        <v>19567.302304921617</v>
      </c>
      <c r="W46" s="488">
        <f>INDEX('Volume adjustments'!$J$615:$Y$655,W$17 + 1 + $H46*$H$50, W$15)</f>
        <v>0</v>
      </c>
      <c r="X46" s="488">
        <f>INDEX('Volume adjustments'!$J$615:$Y$655,X$17 + 1 + $H46*$H$50, X$15)</f>
        <v>32.406666317748588</v>
      </c>
      <c r="Y46" s="488">
        <f>INDEX('Volume adjustments'!$J$615:$Y$655,Y$17 + 1 + $H46*$H$50, Y$15)</f>
        <v>410.96964818207346</v>
      </c>
      <c r="Z46" s="488">
        <f>INDEX('Volume adjustments'!$J$615:$Y$655,Z$17 + 1 + $H46*$H$50, Z$15)</f>
        <v>507.16936841570254</v>
      </c>
      <c r="AA46" s="488">
        <f>INDEX('Volume adjustments'!$J$615:$Y$655,AA$17 + 1 + $H46*$H$50, AA$15)</f>
        <v>6747.2793682292622</v>
      </c>
      <c r="AB46" s="488">
        <f>INDEX('Volume adjustments'!$J$615:$Y$655,AB$17 + 1 + $H46*$H$50, AB$15)</f>
        <v>5.7613474219684608</v>
      </c>
      <c r="AC46" s="488">
        <f>INDEX('Volume adjustments'!$J$615:$Y$655,AC$17 + 1 + $H46*$H$50, AC$15)</f>
        <v>638.12025329093376</v>
      </c>
      <c r="AD46" s="488">
        <f>INDEX('Volume adjustments'!$J$615:$Y$655,AD$17 + 1 + $H46*$H$50, AD$15)</f>
        <v>2213.327784574677</v>
      </c>
      <c r="AE46" s="488">
        <f>INDEX('Volume adjustments'!$J$615:$Y$655,AE$17 + 1 + $H46*$H$50, AE$15)</f>
        <v>1756.7497963874894</v>
      </c>
      <c r="AF46" s="488">
        <f>INDEX('Volume adjustments'!$J$615:$Y$655,AF$17 + 1 + $H46*$H$50, AF$15)</f>
        <v>4664.992257820003</v>
      </c>
      <c r="AG46" s="488">
        <f>INDEX('Volume adjustments'!$J$615:$Y$655,AG$17 + 1 + $H46*$H$50, AG$15)</f>
        <v>467.62435887244271</v>
      </c>
      <c r="AH46" s="488">
        <f>INDEX('Volume adjustments'!$J$615:$Y$655,AH$17 + 1 + $H46*$H$50, AH$15)</f>
        <v>4.5925501092132963</v>
      </c>
      <c r="AI46" s="488">
        <f>INDEX('Volume adjustments'!$J$615:$Y$655,AI$17 + 1 + $H46*$H$50, AI$15)</f>
        <v>4.3867903210204036</v>
      </c>
      <c r="AJ46" s="488">
        <f>INDEX('Volume adjustments'!$J$615:$Y$655,AJ$17 + 1 + $H46*$H$50, AJ$15)</f>
        <v>30.278270238095242</v>
      </c>
      <c r="AK46" s="488">
        <f>INDEX('Volume adjustments'!$J$615:$Y$655,AK$17 + 1 + $H46*$H$50, AK$15)</f>
        <v>0</v>
      </c>
      <c r="AL46" s="488">
        <f>INDEX('Volume adjustments'!$J$615:$Y$655,AL$17 + 1 + $H46*$H$50, AL$15)</f>
        <v>0</v>
      </c>
      <c r="AM46" s="488">
        <f>INDEX('Volume adjustments'!$J$615:$Y$655,AM$17 + 1 + $H46*$H$50, AM$15)</f>
        <v>0</v>
      </c>
      <c r="AN46" s="488">
        <f>INDEX('Volume adjustments'!$J$615:$Y$655,AN$17 + 1 + $H46*$H$50, AN$15)</f>
        <v>0</v>
      </c>
      <c r="AO46" s="488">
        <f>INDEX('Volume adjustments'!$J$615:$Y$655,AO$17 + 1 + $H46*$H$50, AO$15)</f>
        <v>0</v>
      </c>
    </row>
    <row r="47" spans="5:43" x14ac:dyDescent="0.25">
      <c r="E47" s="14"/>
      <c r="F47" s="109" t="s">
        <v>74</v>
      </c>
      <c r="G47" s="109" t="s">
        <v>74</v>
      </c>
      <c r="H47" s="490">
        <v>3</v>
      </c>
      <c r="J47" s="488">
        <f>INDEX('Volume adjustments'!$J$615:$Y$655,J$17 + 1 + $H47*$H$50, J$15)</f>
        <v>115145.92079188582</v>
      </c>
      <c r="K47" s="488">
        <f>INDEX('Volume adjustments'!$J$615:$Y$655,K$17 + 1 + $H47*$H$50, K$15)</f>
        <v>532</v>
      </c>
      <c r="L47" s="488">
        <f>INDEX('Volume adjustments'!$J$615:$Y$655,L$17 + 1 + $H47*$H$50, L$15)</f>
        <v>5.6530833804223767E-2</v>
      </c>
      <c r="M47" s="488">
        <f>INDEX('Volume adjustments'!$J$615:$Y$655,M$17 + 1 + $H47*$H$50, M$15)</f>
        <v>619.49770118179629</v>
      </c>
      <c r="N47" s="488">
        <f>INDEX('Volume adjustments'!$J$615:$Y$655,N$17 + 1 + $H47*$H$50, N$15)</f>
        <v>465.5099893681957</v>
      </c>
      <c r="O47" s="488">
        <f>INDEX('Volume adjustments'!$J$615:$Y$655,O$17 + 1 + $H47*$H$50, O$15)</f>
        <v>246.43363288943598</v>
      </c>
      <c r="P47" s="488">
        <f>INDEX('Volume adjustments'!$J$615:$Y$655,P$17 + 1 + $H47*$H$50, P$15)</f>
        <v>227.96674188211585</v>
      </c>
      <c r="Q47" s="488">
        <f>INDEX('Volume adjustments'!$J$615:$Y$655,Q$17 + 1 + $H47*$H$50, Q$15)</f>
        <v>9.5483870967741939</v>
      </c>
      <c r="R47" s="488">
        <f>INDEX('Volume adjustments'!$J$615:$Y$655,R$17 + 1 + $H47*$H$50, R$15)</f>
        <v>0.35071356901386325</v>
      </c>
      <c r="S47" s="488">
        <f>INDEX('Volume adjustments'!$J$615:$Y$655,S$17 + 1 + $H47*$H$50, S$15)</f>
        <v>289.65169686899787</v>
      </c>
      <c r="T47" s="488">
        <f>INDEX('Volume adjustments'!$J$615:$Y$655,T$17 + 1 + $H47*$H$50, T$15)</f>
        <v>149.72641061657978</v>
      </c>
      <c r="U47" s="488">
        <f>INDEX('Volume adjustments'!$J$615:$Y$655,U$17 + 1 + $H47*$H$50, U$15)</f>
        <v>79.742083586910155</v>
      </c>
      <c r="V47" s="488">
        <f>INDEX('Volume adjustments'!$J$615:$Y$655,V$17 + 1 + $H47*$H$50, V$15)</f>
        <v>108.52133737109615</v>
      </c>
      <c r="W47" s="488">
        <f>INDEX('Volume adjustments'!$J$615:$Y$655,W$17 + 1 + $H47*$H$50, W$15)</f>
        <v>0</v>
      </c>
      <c r="X47" s="488">
        <f>INDEX('Volume adjustments'!$J$615:$Y$655,X$17 + 1 + $H47*$H$50, X$15)</f>
        <v>0.875</v>
      </c>
      <c r="Y47" s="488">
        <f>INDEX('Volume adjustments'!$J$615:$Y$655,Y$17 + 1 + $H47*$H$50, Y$15)</f>
        <v>6.6499999999999995</v>
      </c>
      <c r="Z47" s="488">
        <f>INDEX('Volume adjustments'!$J$615:$Y$655,Z$17 + 1 + $H47*$H$50, Z$15)</f>
        <v>7.875</v>
      </c>
      <c r="AA47" s="488">
        <f>INDEX('Volume adjustments'!$J$615:$Y$655,AA$17 + 1 + $H47*$H$50, AA$15)</f>
        <v>30.099999999999998</v>
      </c>
      <c r="AB47" s="488">
        <f>INDEX('Volume adjustments'!$J$615:$Y$655,AB$17 + 1 + $H47*$H$50, AB$15)</f>
        <v>0.59631521013407429</v>
      </c>
      <c r="AC47" s="488">
        <f>INDEX('Volume adjustments'!$J$615:$Y$655,AC$17 + 1 + $H47*$H$50, AC$15)</f>
        <v>3.849071584531822</v>
      </c>
      <c r="AD47" s="488">
        <f>INDEX('Volume adjustments'!$J$615:$Y$655,AD$17 + 1 + $H47*$H$50, AD$15)</f>
        <v>4.5758160853167809</v>
      </c>
      <c r="AE47" s="488">
        <f>INDEX('Volume adjustments'!$J$615:$Y$655,AE$17 + 1 + $H47*$H$50, AE$15)</f>
        <v>1.978724940000361</v>
      </c>
      <c r="AF47" s="488">
        <f>INDEX('Volume adjustments'!$J$615:$Y$655,AF$17 + 1 + $H47*$H$50, AF$15)</f>
        <v>2.0000721800169625</v>
      </c>
      <c r="AG47" s="488">
        <f>INDEX('Volume adjustments'!$J$615:$Y$655,AG$17 + 1 + $H47*$H$50, AG$15)</f>
        <v>502</v>
      </c>
      <c r="AH47" s="488">
        <f>INDEX('Volume adjustments'!$J$615:$Y$655,AH$17 + 1 + $H47*$H$50, AH$15)</f>
        <v>6</v>
      </c>
      <c r="AI47" s="488">
        <f>INDEX('Volume adjustments'!$J$615:$Y$655,AI$17 + 1 + $H47*$H$50, AI$15)</f>
        <v>6</v>
      </c>
      <c r="AJ47" s="488">
        <f>INDEX('Volume adjustments'!$J$615:$Y$655,AJ$17 + 1 + $H47*$H$50, AJ$15)</f>
        <v>1</v>
      </c>
      <c r="AK47" s="488">
        <f>INDEX('Volume adjustments'!$J$615:$Y$655,AK$17 + 1 + $H47*$H$50, AK$15)</f>
        <v>0</v>
      </c>
      <c r="AL47" s="488">
        <f>INDEX('Volume adjustments'!$J$615:$Y$655,AL$17 + 1 + $H47*$H$50, AL$15)</f>
        <v>1</v>
      </c>
      <c r="AM47" s="488">
        <f>INDEX('Volume adjustments'!$J$615:$Y$655,AM$17 + 1 + $H47*$H$50, AM$15)</f>
        <v>0</v>
      </c>
      <c r="AN47" s="488">
        <f>INDEX('Volume adjustments'!$J$615:$Y$655,AN$17 + 1 + $H47*$H$50, AN$15)</f>
        <v>1</v>
      </c>
      <c r="AO47" s="488">
        <f>INDEX('Volume adjustments'!$J$615:$Y$655,AO$17 + 1 + $H47*$H$50, AO$15)</f>
        <v>0</v>
      </c>
    </row>
    <row r="48" spans="5:43" x14ac:dyDescent="0.25">
      <c r="E48" s="14"/>
      <c r="F48" s="109" t="s">
        <v>202</v>
      </c>
      <c r="G48" s="109" t="s">
        <v>169</v>
      </c>
      <c r="H48" s="490">
        <v>4</v>
      </c>
      <c r="J48" s="488">
        <f>INDEX('Volume adjustments'!$J$615:$Y$655,J$17 + 1 + $H48*$H$50, J$15)</f>
        <v>0</v>
      </c>
      <c r="K48" s="488">
        <f>INDEX('Volume adjustments'!$J$615:$Y$655,K$17 + 1 + $H48*$H$50, K$15)</f>
        <v>0</v>
      </c>
      <c r="L48" s="488">
        <f>INDEX('Volume adjustments'!$J$615:$Y$655,L$17 + 1 + $H48*$H$50, L$15)</f>
        <v>0</v>
      </c>
      <c r="M48" s="488">
        <f>INDEX('Volume adjustments'!$J$615:$Y$655,M$17 + 1 + $H48*$H$50, M$15)</f>
        <v>0</v>
      </c>
      <c r="N48" s="488">
        <f>INDEX('Volume adjustments'!$J$615:$Y$655,N$17 + 1 + $H48*$H$50, N$15)</f>
        <v>0</v>
      </c>
      <c r="O48" s="488">
        <f>INDEX('Volume adjustments'!$J$615:$Y$655,O$17 + 1 + $H48*$H$50, O$15)</f>
        <v>0</v>
      </c>
      <c r="P48" s="488">
        <f>INDEX('Volume adjustments'!$J$615:$Y$655,P$17 + 1 + $H48*$H$50, P$15)</f>
        <v>0</v>
      </c>
      <c r="Q48" s="488">
        <f>INDEX('Volume adjustments'!$J$615:$Y$655,Q$17 + 1 + $H48*$H$50, Q$15)</f>
        <v>0</v>
      </c>
      <c r="R48" s="488">
        <f>INDEX('Volume adjustments'!$J$615:$Y$655,R$17 + 1 + $H48*$H$50, R$15)</f>
        <v>28.28566208954037</v>
      </c>
      <c r="S48" s="488">
        <f>INDEX('Volume adjustments'!$J$615:$Y$655,S$17 + 1 + $H48*$H$50, S$15)</f>
        <v>28199.700742608577</v>
      </c>
      <c r="T48" s="488">
        <f>INDEX('Volume adjustments'!$J$615:$Y$655,T$17 + 1 + $H48*$H$50, T$15)</f>
        <v>26786.551300980038</v>
      </c>
      <c r="U48" s="488">
        <f>INDEX('Volume adjustments'!$J$615:$Y$655,U$17 + 1 + $H48*$H$50, U$15)</f>
        <v>22068.710626613771</v>
      </c>
      <c r="V48" s="488">
        <f>INDEX('Volume adjustments'!$J$615:$Y$655,V$17 + 1 + $H48*$H$50, V$15)</f>
        <v>72603.809062721266</v>
      </c>
      <c r="W48" s="488">
        <f>INDEX('Volume adjustments'!$J$615:$Y$655,W$17 + 1 + $H48*$H$50, W$15)</f>
        <v>0</v>
      </c>
      <c r="X48" s="488">
        <f>INDEX('Volume adjustments'!$J$615:$Y$655,X$17 + 1 + $H48*$H$50, X$15)</f>
        <v>118.53631342500071</v>
      </c>
      <c r="Y48" s="488">
        <f>INDEX('Volume adjustments'!$J$615:$Y$655,Y$17 + 1 + $H48*$H$50, Y$15)</f>
        <v>1503.2347526099047</v>
      </c>
      <c r="Z48" s="488">
        <f>INDEX('Volume adjustments'!$J$615:$Y$655,Z$17 + 1 + $H48*$H$50, Z$15)</f>
        <v>1855.1117422762413</v>
      </c>
      <c r="AA48" s="488">
        <f>INDEX('Volume adjustments'!$J$615:$Y$655,AA$17 + 1 + $H48*$H$50, AA$15)</f>
        <v>24680.03385835552</v>
      </c>
      <c r="AB48" s="488">
        <f>INDEX('Volume adjustments'!$J$615:$Y$655,AB$17 + 1 + $H48*$H$50, AB$15)</f>
        <v>15.015345819402729</v>
      </c>
      <c r="AC48" s="488">
        <f>INDEX('Volume adjustments'!$J$615:$Y$655,AC$17 + 1 + $H48*$H$50, AC$15)</f>
        <v>1663.0825353445739</v>
      </c>
      <c r="AD48" s="488">
        <f>INDEX('Volume adjustments'!$J$615:$Y$655,AD$17 + 1 + $H48*$H$50, AD$15)</f>
        <v>5768.4218053502436</v>
      </c>
      <c r="AE48" s="488">
        <f>INDEX('Volume adjustments'!$J$615:$Y$655,AE$17 + 1 + $H48*$H$50, AE$15)</f>
        <v>4578.4785708880108</v>
      </c>
      <c r="AF48" s="488">
        <f>INDEX('Volume adjustments'!$J$615:$Y$655,AF$17 + 1 + $H48*$H$50, AF$15)</f>
        <v>12158.001742597764</v>
      </c>
      <c r="AG48" s="488">
        <f>INDEX('Volume adjustments'!$J$615:$Y$655,AG$17 + 1 + $H48*$H$50, AG$15)</f>
        <v>0</v>
      </c>
      <c r="AH48" s="488">
        <f>INDEX('Volume adjustments'!$J$615:$Y$655,AH$17 + 1 + $H48*$H$50, AH$15)</f>
        <v>0</v>
      </c>
      <c r="AI48" s="488">
        <f>INDEX('Volume adjustments'!$J$615:$Y$655,AI$17 + 1 + $H48*$H$50, AI$15)</f>
        <v>0</v>
      </c>
      <c r="AJ48" s="488">
        <f>INDEX('Volume adjustments'!$J$615:$Y$655,AJ$17 + 1 + $H48*$H$50, AJ$15)</f>
        <v>0</v>
      </c>
      <c r="AK48" s="488">
        <f>INDEX('Volume adjustments'!$J$615:$Y$655,AK$17 + 1 + $H48*$H$50, AK$15)</f>
        <v>0</v>
      </c>
      <c r="AL48" s="488">
        <f>INDEX('Volume adjustments'!$J$615:$Y$655,AL$17 + 1 + $H48*$H$50, AL$15)</f>
        <v>0</v>
      </c>
      <c r="AM48" s="488">
        <f>INDEX('Volume adjustments'!$J$615:$Y$655,AM$17 + 1 + $H48*$H$50, AM$15)</f>
        <v>0</v>
      </c>
      <c r="AN48" s="488">
        <f>INDEX('Volume adjustments'!$J$615:$Y$655,AN$17 + 1 + $H48*$H$50, AN$15)</f>
        <v>0</v>
      </c>
      <c r="AO48" s="488">
        <f>INDEX('Volume adjustments'!$J$615:$Y$655,AO$17 + 1 + $H48*$H$50, AO$15)</f>
        <v>0</v>
      </c>
    </row>
    <row r="49" spans="3:43" x14ac:dyDescent="0.25">
      <c r="E49" s="14"/>
      <c r="F49" s="109" t="s">
        <v>203</v>
      </c>
      <c r="G49" s="109" t="s">
        <v>169</v>
      </c>
      <c r="H49" s="490">
        <v>5</v>
      </c>
      <c r="J49" s="488">
        <f>INDEX('Volume adjustments'!$J$615:$Y$655,J$17 + 1 + $H49*$H$50, J$15)</f>
        <v>0</v>
      </c>
      <c r="K49" s="488">
        <f>INDEX('Volume adjustments'!$J$615:$Y$655,K$17 + 1 + $H49*$H$50, K$15)</f>
        <v>0</v>
      </c>
      <c r="L49" s="488">
        <f>INDEX('Volume adjustments'!$J$615:$Y$655,L$17 + 1 + $H49*$H$50, L$15)</f>
        <v>0</v>
      </c>
      <c r="M49" s="488">
        <f>INDEX('Volume adjustments'!$J$615:$Y$655,M$17 + 1 + $H49*$H$50, M$15)</f>
        <v>0</v>
      </c>
      <c r="N49" s="488">
        <f>INDEX('Volume adjustments'!$J$615:$Y$655,N$17 + 1 + $H49*$H$50, N$15)</f>
        <v>0</v>
      </c>
      <c r="O49" s="488">
        <f>INDEX('Volume adjustments'!$J$615:$Y$655,O$17 + 1 + $H49*$H$50, O$15)</f>
        <v>0</v>
      </c>
      <c r="P49" s="488">
        <f>INDEX('Volume adjustments'!$J$615:$Y$655,P$17 + 1 + $H49*$H$50, P$15)</f>
        <v>0</v>
      </c>
      <c r="Q49" s="488">
        <f>INDEX('Volume adjustments'!$J$615:$Y$655,Q$17 + 1 + $H49*$H$50, Q$15)</f>
        <v>0</v>
      </c>
      <c r="R49" s="488">
        <f>INDEX('Volume adjustments'!$J$615:$Y$655,R$17 + 1 + $H49*$H$50, R$15)</f>
        <v>1.6630050077685223E-2</v>
      </c>
      <c r="S49" s="488">
        <f>INDEX('Volume adjustments'!$J$615:$Y$655,S$17 + 1 + $H49*$H$50, S$15)</f>
        <v>16.579510638314996</v>
      </c>
      <c r="T49" s="488">
        <f>INDEX('Volume adjustments'!$J$615:$Y$655,T$17 + 1 + $H49*$H$50, T$15)</f>
        <v>15.748674651264663</v>
      </c>
      <c r="U49" s="488">
        <f>INDEX('Volume adjustments'!$J$615:$Y$655,U$17 + 1 + $H49*$H$50, U$15)</f>
        <v>12.974904448365157</v>
      </c>
      <c r="V49" s="488">
        <f>INDEX('Volume adjustments'!$J$615:$Y$655,V$17 + 1 + $H49*$H$50, V$15)</f>
        <v>42.686113435196262</v>
      </c>
      <c r="W49" s="488">
        <f>INDEX('Volume adjustments'!$J$615:$Y$655,W$17 + 1 + $H49*$H$50, W$15)</f>
        <v>0</v>
      </c>
      <c r="X49" s="488">
        <f>INDEX('Volume adjustments'!$J$615:$Y$655,X$17 + 1 + $H49*$H$50, X$15)</f>
        <v>0.64913503177350218</v>
      </c>
      <c r="Y49" s="488">
        <f>INDEX('Volume adjustments'!$J$615:$Y$655,Y$17 + 1 + $H49*$H$50, Y$15)</f>
        <v>8.2320962302903453</v>
      </c>
      <c r="Z49" s="488">
        <f>INDEX('Volume adjustments'!$J$615:$Y$655,Z$17 + 1 + $H49*$H$50, Z$15)</f>
        <v>10.159064213919624</v>
      </c>
      <c r="AA49" s="488">
        <f>INDEX('Volume adjustments'!$J$615:$Y$655,AA$17 + 1 + $H49*$H$50, AA$15)</f>
        <v>135.15414896846093</v>
      </c>
      <c r="AB49" s="488">
        <f>INDEX('Volume adjustments'!$J$615:$Y$655,AB$17 + 1 + $H49*$H$50, AB$15)</f>
        <v>1.9248055262022282E-2</v>
      </c>
      <c r="AC49" s="488">
        <f>INDEX('Volume adjustments'!$J$615:$Y$655,AC$17 + 1 + $H49*$H$50, AC$15)</f>
        <v>2.1318925937924087</v>
      </c>
      <c r="AD49" s="488">
        <f>INDEX('Volume adjustments'!$J$615:$Y$655,AD$17 + 1 + $H49*$H$50, AD$15)</f>
        <v>7.3944951398030696</v>
      </c>
      <c r="AE49" s="488">
        <f>INDEX('Volume adjustments'!$J$615:$Y$655,AE$17 + 1 + $H49*$H$50, AE$15)</f>
        <v>5.8691161434697268</v>
      </c>
      <c r="AF49" s="488">
        <f>INDEX('Volume adjustments'!$J$615:$Y$655,AF$17 + 1 + $H49*$H$50, AF$15)</f>
        <v>15.585248067672781</v>
      </c>
      <c r="AG49" s="488">
        <f>INDEX('Volume adjustments'!$J$615:$Y$655,AG$17 + 1 + $H49*$H$50, AG$15)</f>
        <v>0</v>
      </c>
      <c r="AH49" s="488">
        <f>INDEX('Volume adjustments'!$J$615:$Y$655,AH$17 + 1 + $H49*$H$50, AH$15)</f>
        <v>0</v>
      </c>
      <c r="AI49" s="488">
        <f>INDEX('Volume adjustments'!$J$615:$Y$655,AI$17 + 1 + $H49*$H$50, AI$15)</f>
        <v>0</v>
      </c>
      <c r="AJ49" s="488">
        <f>INDEX('Volume adjustments'!$J$615:$Y$655,AJ$17 + 1 + $H49*$H$50, AJ$15)</f>
        <v>0</v>
      </c>
      <c r="AK49" s="488">
        <f>INDEX('Volume adjustments'!$J$615:$Y$655,AK$17 + 1 + $H49*$H$50, AK$15)</f>
        <v>0</v>
      </c>
      <c r="AL49" s="488">
        <f>INDEX('Volume adjustments'!$J$615:$Y$655,AL$17 + 1 + $H49*$H$50, AL$15)</f>
        <v>0</v>
      </c>
      <c r="AM49" s="488">
        <f>INDEX('Volume adjustments'!$J$615:$Y$655,AM$17 + 1 + $H49*$H$50, AM$15)</f>
        <v>0</v>
      </c>
      <c r="AN49" s="488">
        <f>INDEX('Volume adjustments'!$J$615:$Y$655,AN$17 + 1 + $H49*$H$50, AN$15)</f>
        <v>0</v>
      </c>
      <c r="AO49" s="488">
        <f>INDEX('Volume adjustments'!$J$615:$Y$655,AO$17 + 1 + $H49*$H$50, AO$15)</f>
        <v>0</v>
      </c>
    </row>
    <row r="50" spans="3:43" x14ac:dyDescent="0.25">
      <c r="E50" s="14"/>
      <c r="F50" s="36" t="s">
        <v>204</v>
      </c>
      <c r="G50" s="36" t="s">
        <v>170</v>
      </c>
      <c r="H50" s="456">
        <v>6</v>
      </c>
      <c r="I50" s="93"/>
      <c r="J50" s="284">
        <f>INDEX('Volume adjustments'!$J$615:$Y$655,J$17 + 1 + $H50*$H$50, J$15)</f>
        <v>0</v>
      </c>
      <c r="K50" s="284">
        <f>INDEX('Volume adjustments'!$J$615:$Y$655,K$17 + 1 + $H50*$H$50, K$15)</f>
        <v>0</v>
      </c>
      <c r="L50" s="284">
        <f>INDEX('Volume adjustments'!$J$615:$Y$655,L$17 + 1 + $H50*$H$50, L$15)</f>
        <v>0</v>
      </c>
      <c r="M50" s="284">
        <f>INDEX('Volume adjustments'!$J$615:$Y$655,M$17 + 1 + $H50*$H$50, M$15)</f>
        <v>0</v>
      </c>
      <c r="N50" s="284">
        <f>INDEX('Volume adjustments'!$J$615:$Y$655,N$17 + 1 + $H50*$H$50, N$15)</f>
        <v>0</v>
      </c>
      <c r="O50" s="284">
        <f>INDEX('Volume adjustments'!$J$615:$Y$655,O$17 + 1 + $H50*$H$50, O$15)</f>
        <v>0</v>
      </c>
      <c r="P50" s="284">
        <f>INDEX('Volume adjustments'!$J$615:$Y$655,P$17 + 1 + $H50*$H$50, P$15)</f>
        <v>0</v>
      </c>
      <c r="Q50" s="284">
        <f>INDEX('Volume adjustments'!$J$615:$Y$655,Q$17 + 1 + $H50*$H$50, Q$15)</f>
        <v>0</v>
      </c>
      <c r="R50" s="284">
        <f>INDEX('Volume adjustments'!$J$615:$Y$655,R$17 + 1 + $H50*$H$50, R$15)</f>
        <v>2.4262549284479116</v>
      </c>
      <c r="S50" s="284">
        <f>INDEX('Volume adjustments'!$J$615:$Y$655,S$17 + 1 + $H50*$H$50, S$15)</f>
        <v>2418.8814350861844</v>
      </c>
      <c r="T50" s="284">
        <f>INDEX('Volume adjustments'!$J$615:$Y$655,T$17 + 1 + $H50*$H$50, T$15)</f>
        <v>2297.6659306892579</v>
      </c>
      <c r="U50" s="284">
        <f>INDEX('Volume adjustments'!$J$615:$Y$655,U$17 + 1 + $H50*$H$50, U$15)</f>
        <v>1892.984429808075</v>
      </c>
      <c r="V50" s="284">
        <f>INDEX('Volume adjustments'!$J$615:$Y$655,V$17 + 1 + $H50*$H$50, V$15)</f>
        <v>6227.7258706154989</v>
      </c>
      <c r="W50" s="284">
        <f>INDEX('Volume adjustments'!$J$615:$Y$655,W$17 + 1 + $H50*$H$50, W$15)</f>
        <v>0</v>
      </c>
      <c r="X50" s="284">
        <f>INDEX('Volume adjustments'!$J$615:$Y$655,X$17 + 1 + $H50*$H$50, X$15)</f>
        <v>8.9737326867486686</v>
      </c>
      <c r="Y50" s="284">
        <f>INDEX('Volume adjustments'!$J$615:$Y$655,Y$17 + 1 + $H50*$H$50, Y$15)</f>
        <v>113.80163973031853</v>
      </c>
      <c r="Z50" s="284">
        <f>INDEX('Volume adjustments'!$J$615:$Y$655,Z$17 + 1 + $H50*$H$50, Z$15)</f>
        <v>140.44031232478395</v>
      </c>
      <c r="AA50" s="284">
        <f>INDEX('Volume adjustments'!$J$615:$Y$655,AA$17 + 1 + $H50*$H$50, AA$15)</f>
        <v>1868.3896954912193</v>
      </c>
      <c r="AB50" s="284">
        <f>INDEX('Volume adjustments'!$J$615:$Y$655,AB$17 + 1 + $H50*$H$50, AB$15)</f>
        <v>0.94088390787221343</v>
      </c>
      <c r="AC50" s="284">
        <f>INDEX('Volume adjustments'!$J$615:$Y$655,AC$17 + 1 + $H50*$H$50, AC$15)</f>
        <v>104.21122588778802</v>
      </c>
      <c r="AD50" s="284">
        <f>INDEX('Volume adjustments'!$J$615:$Y$655,AD$17 + 1 + $H50*$H$50, AD$15)</f>
        <v>361.45789219585976</v>
      </c>
      <c r="AE50" s="284">
        <f>INDEX('Volume adjustments'!$J$615:$Y$655,AE$17 + 1 + $H50*$H$50, AE$15)</f>
        <v>286.89427880640397</v>
      </c>
      <c r="AF50" s="284">
        <f>INDEX('Volume adjustments'!$J$615:$Y$655,AF$17 + 1 + $H50*$H$50, AF$15)</f>
        <v>761.83847705397625</v>
      </c>
      <c r="AG50" s="284">
        <f>INDEX('Volume adjustments'!$J$615:$Y$655,AG$17 + 1 + $H50*$H$50, AG$15)</f>
        <v>0</v>
      </c>
      <c r="AH50" s="284">
        <f>INDEX('Volume adjustments'!$J$615:$Y$655,AH$17 + 1 + $H50*$H$50, AH$15)</f>
        <v>0</v>
      </c>
      <c r="AI50" s="284">
        <f>INDEX('Volume adjustments'!$J$615:$Y$655,AI$17 + 1 + $H50*$H$50, AI$15)</f>
        <v>0</v>
      </c>
      <c r="AJ50" s="284">
        <f>INDEX('Volume adjustments'!$J$615:$Y$655,AJ$17 + 1 + $H50*$H$50, AJ$15)</f>
        <v>0</v>
      </c>
      <c r="AK50" s="284">
        <f>INDEX('Volume adjustments'!$J$615:$Y$655,AK$17 + 1 + $H50*$H$50, AK$15)</f>
        <v>0</v>
      </c>
      <c r="AL50" s="284">
        <f>INDEX('Volume adjustments'!$J$615:$Y$655,AL$17 + 1 + $H50*$H$50, AL$15)</f>
        <v>0</v>
      </c>
      <c r="AM50" s="284">
        <f>INDEX('Volume adjustments'!$J$615:$Y$655,AM$17 + 1 + $H50*$H$50, AM$15)</f>
        <v>0</v>
      </c>
      <c r="AN50" s="284">
        <f>INDEX('Volume adjustments'!$J$615:$Y$655,AN$17 + 1 + $H50*$H$50, AN$15)</f>
        <v>0</v>
      </c>
      <c r="AO50" s="284">
        <f>INDEX('Volume adjustments'!$J$615:$Y$655,AO$17 + 1 + $H50*$H$50, AO$15)</f>
        <v>0</v>
      </c>
    </row>
    <row r="51" spans="3:43" x14ac:dyDescent="0.25">
      <c r="E51" s="14"/>
      <c r="G51" s="108"/>
      <c r="J51" s="252"/>
      <c r="K51" s="252"/>
      <c r="L51" s="252"/>
      <c r="M51" s="252"/>
      <c r="N51" s="252"/>
      <c r="O51" s="252"/>
      <c r="P51" s="252"/>
      <c r="Q51" s="252"/>
      <c r="R51" s="252"/>
      <c r="S51" s="252"/>
      <c r="T51" s="252"/>
      <c r="U51" s="252"/>
      <c r="V51" s="252"/>
      <c r="W51" s="252"/>
      <c r="X51" s="252"/>
      <c r="Y51" s="252"/>
      <c r="Z51" s="252"/>
      <c r="AA51" s="252"/>
      <c r="AB51" s="252"/>
      <c r="AC51" s="252"/>
      <c r="AD51" s="252"/>
      <c r="AE51" s="252"/>
      <c r="AF51" s="252"/>
      <c r="AG51" s="252"/>
      <c r="AH51" s="252"/>
      <c r="AI51" s="252"/>
      <c r="AJ51" s="252"/>
      <c r="AK51" s="252"/>
      <c r="AL51" s="252"/>
      <c r="AM51" s="252"/>
      <c r="AN51" s="252"/>
      <c r="AO51" s="252"/>
    </row>
    <row r="52" spans="3:43" x14ac:dyDescent="0.25">
      <c r="C52" s="7" t="str">
        <f ca="1">INDEX('Version control'!$H$35:$H$61,MATCH($A$1,'Version control'!$F$35:$F$61,0),1)&amp;"-B: Tariff forecast"</f>
        <v>Section 521-B: Tariff forecast</v>
      </c>
      <c r="D52" s="7"/>
      <c r="E52" s="7"/>
      <c r="F52" s="7"/>
      <c r="G52" s="7"/>
      <c r="H52" s="7"/>
      <c r="I52" s="7"/>
      <c r="J52" s="242"/>
      <c r="K52" s="242"/>
      <c r="L52" s="242"/>
      <c r="M52" s="242"/>
      <c r="N52" s="242"/>
      <c r="O52" s="242"/>
      <c r="P52" s="242"/>
      <c r="Q52" s="242"/>
      <c r="R52" s="242"/>
      <c r="S52" s="242"/>
      <c r="T52" s="242"/>
      <c r="U52" s="242"/>
      <c r="V52" s="242"/>
      <c r="W52" s="242"/>
      <c r="X52" s="242"/>
      <c r="Y52" s="242"/>
      <c r="Z52" s="242"/>
      <c r="AA52" s="242"/>
      <c r="AB52" s="242"/>
      <c r="AC52" s="242"/>
      <c r="AD52" s="242"/>
      <c r="AE52" s="242"/>
      <c r="AF52" s="242"/>
      <c r="AG52" s="242"/>
      <c r="AH52" s="242"/>
      <c r="AI52" s="242"/>
      <c r="AJ52" s="242"/>
      <c r="AK52" s="242"/>
      <c r="AL52" s="242"/>
      <c r="AM52" s="242"/>
      <c r="AN52" s="242"/>
      <c r="AO52" s="242"/>
      <c r="AP52" s="7"/>
      <c r="AQ52" s="7"/>
    </row>
    <row r="53" spans="3:43" x14ac:dyDescent="0.25">
      <c r="D53" s="96"/>
      <c r="E53" s="14"/>
      <c r="G53" s="108"/>
      <c r="J53" s="252"/>
      <c r="K53" s="252"/>
      <c r="L53" s="252"/>
      <c r="M53" s="252"/>
      <c r="N53" s="252"/>
      <c r="O53" s="252"/>
      <c r="P53" s="252"/>
      <c r="Q53" s="252"/>
      <c r="R53" s="252"/>
      <c r="S53" s="252"/>
      <c r="T53" s="252"/>
      <c r="U53" s="252"/>
      <c r="V53" s="252"/>
      <c r="W53" s="252"/>
      <c r="X53" s="252"/>
      <c r="Y53" s="252"/>
      <c r="Z53" s="252"/>
      <c r="AA53" s="252"/>
      <c r="AB53" s="252"/>
      <c r="AC53" s="252"/>
      <c r="AD53" s="252"/>
      <c r="AE53" s="252"/>
      <c r="AF53" s="252"/>
      <c r="AG53" s="252"/>
      <c r="AH53" s="252"/>
      <c r="AI53" s="252"/>
      <c r="AJ53" s="252"/>
      <c r="AK53" s="252"/>
      <c r="AL53" s="252"/>
      <c r="AM53" s="252"/>
      <c r="AN53" s="252"/>
      <c r="AO53" s="252"/>
    </row>
    <row r="54" spans="3:43" x14ac:dyDescent="0.25">
      <c r="E54" s="96" t="s">
        <v>776</v>
      </c>
      <c r="G54" s="108"/>
      <c r="I54" s="293" t="s">
        <v>359</v>
      </c>
      <c r="J54" s="252"/>
      <c r="K54" s="252"/>
      <c r="L54" s="252"/>
      <c r="M54" s="252"/>
      <c r="N54" s="252"/>
      <c r="O54" s="252"/>
      <c r="P54" s="252"/>
      <c r="Q54" s="252"/>
      <c r="R54" s="252"/>
      <c r="S54" s="252"/>
      <c r="T54" s="252"/>
      <c r="U54" s="252"/>
      <c r="V54" s="252"/>
      <c r="W54" s="252"/>
      <c r="X54" s="252"/>
      <c r="Y54" s="252"/>
      <c r="Z54" s="252"/>
      <c r="AA54" s="252"/>
      <c r="AB54" s="252"/>
      <c r="AC54" s="252"/>
      <c r="AD54" s="252"/>
      <c r="AE54" s="252"/>
      <c r="AF54" s="252"/>
      <c r="AG54" s="252"/>
      <c r="AH54" s="252"/>
      <c r="AI54" s="252"/>
      <c r="AJ54" s="252"/>
      <c r="AK54" s="252"/>
      <c r="AL54" s="252"/>
      <c r="AM54" s="252"/>
      <c r="AN54" s="252"/>
      <c r="AO54" s="252"/>
      <c r="AQ54" s="293" t="s">
        <v>699</v>
      </c>
    </row>
    <row r="55" spans="3:43" x14ac:dyDescent="0.25">
      <c r="F55" s="91" t="s">
        <v>134</v>
      </c>
      <c r="G55" s="129" t="s">
        <v>183</v>
      </c>
      <c r="H55" s="358"/>
      <c r="I55" s="347"/>
      <c r="J55" s="358">
        <f>Rounding!J150</f>
        <v>8.5990000000000002</v>
      </c>
      <c r="K55" s="358">
        <f>Rounding!K150</f>
        <v>8.5990000000000002</v>
      </c>
      <c r="L55" s="358">
        <f>Rounding!L150</f>
        <v>7.5789999999999997</v>
      </c>
      <c r="M55" s="358">
        <f>Rounding!M150</f>
        <v>7.5789999999999997</v>
      </c>
      <c r="N55" s="358">
        <f>Rounding!N150</f>
        <v>7.5789999999999997</v>
      </c>
      <c r="O55" s="358">
        <f>Rounding!O150</f>
        <v>7.5789999999999997</v>
      </c>
      <c r="P55" s="358">
        <f>Rounding!P150</f>
        <v>7.5789999999999997</v>
      </c>
      <c r="Q55" s="358">
        <f>Rounding!Q150</f>
        <v>7.5789999999999997</v>
      </c>
      <c r="R55" s="358">
        <f>Rounding!R150</f>
        <v>5.92</v>
      </c>
      <c r="S55" s="358">
        <f>Rounding!S150</f>
        <v>5.92</v>
      </c>
      <c r="T55" s="358">
        <f>Rounding!T150</f>
        <v>5.92</v>
      </c>
      <c r="U55" s="358">
        <f>Rounding!U150</f>
        <v>5.92</v>
      </c>
      <c r="V55" s="358">
        <f>Rounding!V150</f>
        <v>5.92</v>
      </c>
      <c r="W55" s="358">
        <f>Rounding!W150</f>
        <v>3.9039999999999999</v>
      </c>
      <c r="X55" s="358">
        <f>Rounding!X150</f>
        <v>3.9039999999999999</v>
      </c>
      <c r="Y55" s="358">
        <f>Rounding!Y150</f>
        <v>3.9039999999999999</v>
      </c>
      <c r="Z55" s="358">
        <f>Rounding!Z150</f>
        <v>3.9039999999999999</v>
      </c>
      <c r="AA55" s="358">
        <f>Rounding!AA150</f>
        <v>3.9039999999999999</v>
      </c>
      <c r="AB55" s="358">
        <f>Rounding!AB150</f>
        <v>3.1819999999999999</v>
      </c>
      <c r="AC55" s="358">
        <f>Rounding!AC150</f>
        <v>3.1819999999999999</v>
      </c>
      <c r="AD55" s="358">
        <f>Rounding!AD150</f>
        <v>3.1819999999999999</v>
      </c>
      <c r="AE55" s="358">
        <f>Rounding!AE150</f>
        <v>3.1819999999999999</v>
      </c>
      <c r="AF55" s="358">
        <f>Rounding!AF150</f>
        <v>3.1819999999999999</v>
      </c>
      <c r="AG55" s="358">
        <f>Rounding!AG150</f>
        <v>19.635000000000002</v>
      </c>
      <c r="AH55" s="358">
        <f>Rounding!AH150</f>
        <v>-5.8360000000000003</v>
      </c>
      <c r="AI55" s="358">
        <f>Rounding!AI150</f>
        <v>-5.2140000000000004</v>
      </c>
      <c r="AJ55" s="358">
        <f>Rounding!AJ150</f>
        <v>-5.8360000000000003</v>
      </c>
      <c r="AK55" s="358">
        <f>Rounding!AK150</f>
        <v>-5.8360000000000003</v>
      </c>
      <c r="AL55" s="358">
        <f>Rounding!AL150</f>
        <v>-5.2140000000000004</v>
      </c>
      <c r="AM55" s="358">
        <f>Rounding!AM150</f>
        <v>-5.2140000000000004</v>
      </c>
      <c r="AN55" s="358">
        <f>Rounding!AN150</f>
        <v>-4.0259999999999998</v>
      </c>
      <c r="AO55" s="358">
        <f>Rounding!AO150</f>
        <v>-4.0259999999999998</v>
      </c>
      <c r="AP55" s="349"/>
      <c r="AQ55" s="349"/>
    </row>
    <row r="56" spans="3:43" x14ac:dyDescent="0.25">
      <c r="E56" s="14"/>
      <c r="F56" s="293" t="s">
        <v>135</v>
      </c>
      <c r="G56" s="108" t="s">
        <v>183</v>
      </c>
      <c r="H56" s="416"/>
      <c r="I56" s="349"/>
      <c r="J56" s="416">
        <f>Rounding!J151</f>
        <v>1.115</v>
      </c>
      <c r="K56" s="416">
        <f>Rounding!K151</f>
        <v>1.115</v>
      </c>
      <c r="L56" s="416">
        <f>Rounding!L151</f>
        <v>0.98299999999999998</v>
      </c>
      <c r="M56" s="416">
        <f>Rounding!M151</f>
        <v>0.98299999999999998</v>
      </c>
      <c r="N56" s="416">
        <f>Rounding!N151</f>
        <v>0.98299999999999998</v>
      </c>
      <c r="O56" s="416">
        <f>Rounding!O151</f>
        <v>0.98299999999999998</v>
      </c>
      <c r="P56" s="416">
        <f>Rounding!P151</f>
        <v>0.98299999999999998</v>
      </c>
      <c r="Q56" s="416">
        <f>Rounding!Q151</f>
        <v>0.98299999999999998</v>
      </c>
      <c r="R56" s="416">
        <f>Rounding!R151</f>
        <v>0.66200000000000003</v>
      </c>
      <c r="S56" s="416">
        <f>Rounding!S151</f>
        <v>0.66200000000000003</v>
      </c>
      <c r="T56" s="416">
        <f>Rounding!T151</f>
        <v>0.66200000000000003</v>
      </c>
      <c r="U56" s="416">
        <f>Rounding!U151</f>
        <v>0.66200000000000003</v>
      </c>
      <c r="V56" s="416">
        <f>Rounding!V151</f>
        <v>0.66200000000000003</v>
      </c>
      <c r="W56" s="416">
        <f>Rounding!W151</f>
        <v>0.29799999999999999</v>
      </c>
      <c r="X56" s="416">
        <f>Rounding!X151</f>
        <v>0.29799999999999999</v>
      </c>
      <c r="Y56" s="416">
        <f>Rounding!Y151</f>
        <v>0.29799999999999999</v>
      </c>
      <c r="Z56" s="416">
        <f>Rounding!Z151</f>
        <v>0.29799999999999999</v>
      </c>
      <c r="AA56" s="416">
        <f>Rounding!AA151</f>
        <v>0.29799999999999999</v>
      </c>
      <c r="AB56" s="416">
        <f>Rounding!AB151</f>
        <v>0.216</v>
      </c>
      <c r="AC56" s="416">
        <f>Rounding!AC151</f>
        <v>0.216</v>
      </c>
      <c r="AD56" s="416">
        <f>Rounding!AD151</f>
        <v>0.216</v>
      </c>
      <c r="AE56" s="416">
        <f>Rounding!AE151</f>
        <v>0.216</v>
      </c>
      <c r="AF56" s="416">
        <f>Rounding!AF151</f>
        <v>0.216</v>
      </c>
      <c r="AG56" s="416">
        <f>Rounding!AG151</f>
        <v>3.58</v>
      </c>
      <c r="AH56" s="416">
        <f>Rounding!AH151</f>
        <v>-0.75700000000000001</v>
      </c>
      <c r="AI56" s="416">
        <f>Rounding!AI151</f>
        <v>-0.61899999999999999</v>
      </c>
      <c r="AJ56" s="416">
        <f>Rounding!AJ151</f>
        <v>-0.75700000000000001</v>
      </c>
      <c r="AK56" s="416">
        <f>Rounding!AK151</f>
        <v>-0.75700000000000001</v>
      </c>
      <c r="AL56" s="416">
        <f>Rounding!AL151</f>
        <v>-0.61899999999999999</v>
      </c>
      <c r="AM56" s="416">
        <f>Rounding!AM151</f>
        <v>-0.61899999999999999</v>
      </c>
      <c r="AN56" s="416">
        <f>Rounding!AN151</f>
        <v>-0.307</v>
      </c>
      <c r="AO56" s="416">
        <f>Rounding!AO151</f>
        <v>-0.307</v>
      </c>
      <c r="AP56" s="349"/>
      <c r="AQ56" s="349"/>
    </row>
    <row r="57" spans="3:43" x14ac:dyDescent="0.25">
      <c r="E57" s="14"/>
      <c r="F57" s="293" t="s">
        <v>136</v>
      </c>
      <c r="G57" s="108" t="s">
        <v>183</v>
      </c>
      <c r="H57" s="416"/>
      <c r="I57" s="349"/>
      <c r="J57" s="416">
        <f>Rounding!J152</f>
        <v>5.3999999999999999E-2</v>
      </c>
      <c r="K57" s="416">
        <f>Rounding!K152</f>
        <v>5.3999999999999999E-2</v>
      </c>
      <c r="L57" s="416">
        <f>Rounding!L152</f>
        <v>4.8000000000000001E-2</v>
      </c>
      <c r="M57" s="416">
        <f>Rounding!M152</f>
        <v>4.8000000000000001E-2</v>
      </c>
      <c r="N57" s="416">
        <f>Rounding!N152</f>
        <v>4.8000000000000001E-2</v>
      </c>
      <c r="O57" s="416">
        <f>Rounding!O152</f>
        <v>4.8000000000000001E-2</v>
      </c>
      <c r="P57" s="416">
        <f>Rounding!P152</f>
        <v>4.8000000000000001E-2</v>
      </c>
      <c r="Q57" s="416">
        <f>Rounding!Q152</f>
        <v>4.8000000000000001E-2</v>
      </c>
      <c r="R57" s="416">
        <f>Rounding!R152</f>
        <v>3.1E-2</v>
      </c>
      <c r="S57" s="416">
        <f>Rounding!S152</f>
        <v>3.1E-2</v>
      </c>
      <c r="T57" s="416">
        <f>Rounding!T152</f>
        <v>3.1E-2</v>
      </c>
      <c r="U57" s="416">
        <f>Rounding!U152</f>
        <v>3.1E-2</v>
      </c>
      <c r="V57" s="416">
        <f>Rounding!V152</f>
        <v>3.1E-2</v>
      </c>
      <c r="W57" s="416">
        <f>Rounding!W152</f>
        <v>1.2E-2</v>
      </c>
      <c r="X57" s="416">
        <f>Rounding!X152</f>
        <v>1.2E-2</v>
      </c>
      <c r="Y57" s="416">
        <f>Rounding!Y152</f>
        <v>1.2E-2</v>
      </c>
      <c r="Z57" s="416">
        <f>Rounding!Z152</f>
        <v>1.2E-2</v>
      </c>
      <c r="AA57" s="416">
        <f>Rounding!AA152</f>
        <v>1.2E-2</v>
      </c>
      <c r="AB57" s="416">
        <f>Rounding!AB152</f>
        <v>8.9999999999999993E-3</v>
      </c>
      <c r="AC57" s="416">
        <f>Rounding!AC152</f>
        <v>8.9999999999999993E-3</v>
      </c>
      <c r="AD57" s="416">
        <f>Rounding!AD152</f>
        <v>8.9999999999999993E-3</v>
      </c>
      <c r="AE57" s="416">
        <f>Rounding!AE152</f>
        <v>8.9999999999999993E-3</v>
      </c>
      <c r="AF57" s="416">
        <f>Rounding!AF152</f>
        <v>8.9999999999999993E-3</v>
      </c>
      <c r="AG57" s="416">
        <f>Rounding!AG152</f>
        <v>2.738</v>
      </c>
      <c r="AH57" s="416">
        <f>Rounding!AH152</f>
        <v>-3.6999999999999998E-2</v>
      </c>
      <c r="AI57" s="416">
        <f>Rounding!AI152</f>
        <v>-2.9000000000000001E-2</v>
      </c>
      <c r="AJ57" s="416">
        <f>Rounding!AJ152</f>
        <v>-3.6999999999999998E-2</v>
      </c>
      <c r="AK57" s="416">
        <f>Rounding!AK152</f>
        <v>-3.6999999999999998E-2</v>
      </c>
      <c r="AL57" s="416">
        <f>Rounding!AL152</f>
        <v>-2.9000000000000001E-2</v>
      </c>
      <c r="AM57" s="416">
        <f>Rounding!AM152</f>
        <v>-2.9000000000000001E-2</v>
      </c>
      <c r="AN57" s="416">
        <f>Rounding!AN152</f>
        <v>-1.2999999999999999E-2</v>
      </c>
      <c r="AO57" s="416">
        <f>Rounding!AO152</f>
        <v>-1.2999999999999999E-2</v>
      </c>
      <c r="AP57" s="349"/>
      <c r="AQ57" s="349"/>
    </row>
    <row r="58" spans="3:43" x14ac:dyDescent="0.25">
      <c r="E58" s="14"/>
      <c r="F58" s="293" t="s">
        <v>254</v>
      </c>
      <c r="G58" s="108" t="s">
        <v>252</v>
      </c>
      <c r="H58" s="380"/>
      <c r="J58" s="273">
        <f>Rounding!J153</f>
        <v>10.69</v>
      </c>
      <c r="K58" s="273">
        <f>Rounding!K153</f>
        <v>0</v>
      </c>
      <c r="L58" s="273">
        <f>Rounding!L153</f>
        <v>8.15</v>
      </c>
      <c r="M58" s="273">
        <f>Rounding!M153</f>
        <v>11.38</v>
      </c>
      <c r="N58" s="273">
        <f>Rounding!N153</f>
        <v>18.739999999999998</v>
      </c>
      <c r="O58" s="273">
        <f>Rounding!O153</f>
        <v>32.15</v>
      </c>
      <c r="P58" s="273">
        <f>Rounding!P153</f>
        <v>73.44</v>
      </c>
      <c r="Q58" s="273">
        <f>Rounding!Q153</f>
        <v>0</v>
      </c>
      <c r="R58" s="273">
        <f>Rounding!R153</f>
        <v>17.27</v>
      </c>
      <c r="S58" s="273">
        <f>Rounding!S153</f>
        <v>137.04</v>
      </c>
      <c r="T58" s="273">
        <f>Rounding!T153</f>
        <v>239.9</v>
      </c>
      <c r="U58" s="273">
        <f>Rounding!U153</f>
        <v>361.82</v>
      </c>
      <c r="V58" s="273">
        <f>Rounding!V153</f>
        <v>898.33</v>
      </c>
      <c r="W58" s="273">
        <f>Rounding!W153</f>
        <v>40.26</v>
      </c>
      <c r="X58" s="273">
        <f>Rounding!X153</f>
        <v>160.04</v>
      </c>
      <c r="Y58" s="273">
        <f>Rounding!Y153</f>
        <v>262.89999999999998</v>
      </c>
      <c r="Z58" s="273">
        <f>Rounding!Z153</f>
        <v>384.81</v>
      </c>
      <c r="AA58" s="273">
        <f>Rounding!AA153</f>
        <v>921.33</v>
      </c>
      <c r="AB58" s="273">
        <f>Rounding!AB153</f>
        <v>174.35</v>
      </c>
      <c r="AC58" s="273">
        <f>Rounding!AC153</f>
        <v>908.69</v>
      </c>
      <c r="AD58" s="273">
        <f>Rounding!AD153</f>
        <v>2316.9</v>
      </c>
      <c r="AE58" s="273">
        <f>Rounding!AE153</f>
        <v>4106.95</v>
      </c>
      <c r="AF58" s="273">
        <f>Rounding!AF153</f>
        <v>10505.79</v>
      </c>
      <c r="AG58" s="273">
        <f>Rounding!AG153</f>
        <v>0</v>
      </c>
      <c r="AH58" s="273">
        <f>Rounding!AH153</f>
        <v>0</v>
      </c>
      <c r="AI58" s="273">
        <f>Rounding!AI153</f>
        <v>0</v>
      </c>
      <c r="AJ58" s="273">
        <f>Rounding!AJ153</f>
        <v>0</v>
      </c>
      <c r="AK58" s="273">
        <f>Rounding!AK153</f>
        <v>0</v>
      </c>
      <c r="AL58" s="273">
        <f>Rounding!AL153</f>
        <v>0</v>
      </c>
      <c r="AM58" s="273">
        <f>Rounding!AM153</f>
        <v>0</v>
      </c>
      <c r="AN58" s="273">
        <f>Rounding!AN153</f>
        <v>348.55</v>
      </c>
      <c r="AO58" s="273">
        <f>Rounding!AO153</f>
        <v>348.55</v>
      </c>
    </row>
    <row r="59" spans="3:43" x14ac:dyDescent="0.25">
      <c r="E59" s="14"/>
      <c r="F59" s="293" t="s">
        <v>255</v>
      </c>
      <c r="G59" s="108" t="s">
        <v>251</v>
      </c>
      <c r="H59" s="380"/>
      <c r="J59" s="273">
        <f>Rounding!J154</f>
        <v>0</v>
      </c>
      <c r="K59" s="273">
        <f>Rounding!K154</f>
        <v>0</v>
      </c>
      <c r="L59" s="273">
        <f>Rounding!L154</f>
        <v>0</v>
      </c>
      <c r="M59" s="273">
        <f>Rounding!M154</f>
        <v>0</v>
      </c>
      <c r="N59" s="273">
        <f>Rounding!N154</f>
        <v>0</v>
      </c>
      <c r="O59" s="273">
        <f>Rounding!O154</f>
        <v>0</v>
      </c>
      <c r="P59" s="273">
        <f>Rounding!P154</f>
        <v>0</v>
      </c>
      <c r="Q59" s="273">
        <f>Rounding!Q154</f>
        <v>0</v>
      </c>
      <c r="R59" s="273">
        <f>Rounding!R154</f>
        <v>3.66</v>
      </c>
      <c r="S59" s="273">
        <f>Rounding!S154</f>
        <v>3.66</v>
      </c>
      <c r="T59" s="273">
        <f>Rounding!T154</f>
        <v>3.66</v>
      </c>
      <c r="U59" s="273">
        <f>Rounding!U154</f>
        <v>3.66</v>
      </c>
      <c r="V59" s="273">
        <f>Rounding!V154</f>
        <v>3.66</v>
      </c>
      <c r="W59" s="273">
        <f>Rounding!W154</f>
        <v>4.92</v>
      </c>
      <c r="X59" s="273">
        <f>Rounding!X154</f>
        <v>4.92</v>
      </c>
      <c r="Y59" s="273">
        <f>Rounding!Y154</f>
        <v>4.92</v>
      </c>
      <c r="Z59" s="273">
        <f>Rounding!Z154</f>
        <v>4.92</v>
      </c>
      <c r="AA59" s="273">
        <f>Rounding!AA154</f>
        <v>4.92</v>
      </c>
      <c r="AB59" s="273">
        <f>Rounding!AB154</f>
        <v>5.87</v>
      </c>
      <c r="AC59" s="273">
        <f>Rounding!AC154</f>
        <v>5.87</v>
      </c>
      <c r="AD59" s="273">
        <f>Rounding!AD154</f>
        <v>5.87</v>
      </c>
      <c r="AE59" s="273">
        <f>Rounding!AE154</f>
        <v>5.87</v>
      </c>
      <c r="AF59" s="273">
        <f>Rounding!AF154</f>
        <v>5.87</v>
      </c>
      <c r="AG59" s="273">
        <f>Rounding!AG154</f>
        <v>0</v>
      </c>
      <c r="AH59" s="273">
        <f>Rounding!AH154</f>
        <v>0</v>
      </c>
      <c r="AI59" s="273">
        <f>Rounding!AI154</f>
        <v>0</v>
      </c>
      <c r="AJ59" s="273">
        <f>Rounding!AJ154</f>
        <v>0</v>
      </c>
      <c r="AK59" s="273">
        <f>Rounding!AK154</f>
        <v>0</v>
      </c>
      <c r="AL59" s="273">
        <f>Rounding!AL154</f>
        <v>0</v>
      </c>
      <c r="AM59" s="273">
        <f>Rounding!AM154</f>
        <v>0</v>
      </c>
      <c r="AN59" s="273">
        <f>Rounding!AN154</f>
        <v>0</v>
      </c>
      <c r="AO59" s="273">
        <f>Rounding!AO154</f>
        <v>0</v>
      </c>
    </row>
    <row r="60" spans="3:43" x14ac:dyDescent="0.25">
      <c r="E60" s="14"/>
      <c r="F60" s="293" t="s">
        <v>256</v>
      </c>
      <c r="G60" s="108" t="s">
        <v>251</v>
      </c>
      <c r="H60" s="380"/>
      <c r="J60" s="273">
        <f>Rounding!J155</f>
        <v>0</v>
      </c>
      <c r="K60" s="273">
        <f>Rounding!K155</f>
        <v>0</v>
      </c>
      <c r="L60" s="273">
        <f>Rounding!L155</f>
        <v>0</v>
      </c>
      <c r="M60" s="273">
        <f>Rounding!M155</f>
        <v>0</v>
      </c>
      <c r="N60" s="273">
        <f>Rounding!N155</f>
        <v>0</v>
      </c>
      <c r="O60" s="273">
        <f>Rounding!O155</f>
        <v>0</v>
      </c>
      <c r="P60" s="273">
        <f>Rounding!P155</f>
        <v>0</v>
      </c>
      <c r="Q60" s="273">
        <f>Rounding!Q155</f>
        <v>0</v>
      </c>
      <c r="R60" s="273">
        <f>Rounding!R155</f>
        <v>6.84</v>
      </c>
      <c r="S60" s="273">
        <f>Rounding!S155</f>
        <v>6.84</v>
      </c>
      <c r="T60" s="273">
        <f>Rounding!T155</f>
        <v>6.84</v>
      </c>
      <c r="U60" s="273">
        <f>Rounding!U155</f>
        <v>6.84</v>
      </c>
      <c r="V60" s="273">
        <f>Rounding!V155</f>
        <v>6.84</v>
      </c>
      <c r="W60" s="273">
        <f>Rounding!W155</f>
        <v>6.43</v>
      </c>
      <c r="X60" s="273">
        <f>Rounding!X155</f>
        <v>6.43</v>
      </c>
      <c r="Y60" s="273">
        <f>Rounding!Y155</f>
        <v>6.43</v>
      </c>
      <c r="Z60" s="273">
        <f>Rounding!Z155</f>
        <v>6.43</v>
      </c>
      <c r="AA60" s="273">
        <f>Rounding!AA155</f>
        <v>6.43</v>
      </c>
      <c r="AB60" s="273">
        <f>Rounding!AB155</f>
        <v>7.1</v>
      </c>
      <c r="AC60" s="273">
        <f>Rounding!AC155</f>
        <v>7.1</v>
      </c>
      <c r="AD60" s="273">
        <f>Rounding!AD155</f>
        <v>7.1</v>
      </c>
      <c r="AE60" s="273">
        <f>Rounding!AE155</f>
        <v>7.1</v>
      </c>
      <c r="AF60" s="273">
        <f>Rounding!AF155</f>
        <v>7.1</v>
      </c>
      <c r="AG60" s="273">
        <f>Rounding!AG155</f>
        <v>0</v>
      </c>
      <c r="AH60" s="273">
        <f>Rounding!AH155</f>
        <v>0</v>
      </c>
      <c r="AI60" s="273">
        <f>Rounding!AI155</f>
        <v>0</v>
      </c>
      <c r="AJ60" s="273">
        <f>Rounding!AJ155</f>
        <v>0</v>
      </c>
      <c r="AK60" s="273">
        <f>Rounding!AK155</f>
        <v>0</v>
      </c>
      <c r="AL60" s="273">
        <f>Rounding!AL155</f>
        <v>0</v>
      </c>
      <c r="AM60" s="273">
        <f>Rounding!AM155</f>
        <v>0</v>
      </c>
      <c r="AN60" s="273">
        <f>Rounding!AN155</f>
        <v>0</v>
      </c>
      <c r="AO60" s="273">
        <f>Rounding!AO155</f>
        <v>0</v>
      </c>
    </row>
    <row r="61" spans="3:43" x14ac:dyDescent="0.25">
      <c r="E61" s="14"/>
      <c r="F61" s="93" t="s">
        <v>257</v>
      </c>
      <c r="G61" s="131" t="s">
        <v>258</v>
      </c>
      <c r="H61" s="361"/>
      <c r="I61" s="351"/>
      <c r="J61" s="361">
        <f>Rounding!J156</f>
        <v>0</v>
      </c>
      <c r="K61" s="361">
        <f>Rounding!K156</f>
        <v>0</v>
      </c>
      <c r="L61" s="361">
        <f>Rounding!L156</f>
        <v>0</v>
      </c>
      <c r="M61" s="361">
        <f>Rounding!M156</f>
        <v>0</v>
      </c>
      <c r="N61" s="361">
        <f>Rounding!N156</f>
        <v>0</v>
      </c>
      <c r="O61" s="361">
        <f>Rounding!O156</f>
        <v>0</v>
      </c>
      <c r="P61" s="361">
        <f>Rounding!P156</f>
        <v>0</v>
      </c>
      <c r="Q61" s="361">
        <f>Rounding!Q156</f>
        <v>0</v>
      </c>
      <c r="R61" s="361">
        <f>Rounding!R156</f>
        <v>0.22</v>
      </c>
      <c r="S61" s="361">
        <f>Rounding!S156</f>
        <v>0.22</v>
      </c>
      <c r="T61" s="361">
        <f>Rounding!T156</f>
        <v>0.22</v>
      </c>
      <c r="U61" s="361">
        <f>Rounding!U156</f>
        <v>0.22</v>
      </c>
      <c r="V61" s="361">
        <f>Rounding!V156</f>
        <v>0.22</v>
      </c>
      <c r="W61" s="361">
        <f>Rounding!W156</f>
        <v>0.123</v>
      </c>
      <c r="X61" s="361">
        <f>Rounding!X156</f>
        <v>0.123</v>
      </c>
      <c r="Y61" s="361">
        <f>Rounding!Y156</f>
        <v>0.123</v>
      </c>
      <c r="Z61" s="361">
        <f>Rounding!Z156</f>
        <v>0.123</v>
      </c>
      <c r="AA61" s="361">
        <f>Rounding!AA156</f>
        <v>0.123</v>
      </c>
      <c r="AB61" s="361">
        <f>Rounding!AB156</f>
        <v>9.2999999999999999E-2</v>
      </c>
      <c r="AC61" s="361">
        <f>Rounding!AC156</f>
        <v>9.2999999999999999E-2</v>
      </c>
      <c r="AD61" s="361">
        <f>Rounding!AD156</f>
        <v>9.2999999999999999E-2</v>
      </c>
      <c r="AE61" s="361">
        <f>Rounding!AE156</f>
        <v>9.2999999999999999E-2</v>
      </c>
      <c r="AF61" s="361">
        <f>Rounding!AF156</f>
        <v>9.2999999999999999E-2</v>
      </c>
      <c r="AG61" s="361">
        <f>Rounding!AG156</f>
        <v>0</v>
      </c>
      <c r="AH61" s="361">
        <f>Rounding!AH156</f>
        <v>0</v>
      </c>
      <c r="AI61" s="361">
        <f>Rounding!AI156</f>
        <v>0</v>
      </c>
      <c r="AJ61" s="361">
        <f>Rounding!AJ156</f>
        <v>0.22800000000000001</v>
      </c>
      <c r="AK61" s="361">
        <f>Rounding!AK156</f>
        <v>0</v>
      </c>
      <c r="AL61" s="361">
        <f>Rounding!AL156</f>
        <v>0.191</v>
      </c>
      <c r="AM61" s="361">
        <f>Rounding!AM156</f>
        <v>0</v>
      </c>
      <c r="AN61" s="361">
        <f>Rounding!AN156</f>
        <v>0.16600000000000001</v>
      </c>
      <c r="AO61" s="361">
        <f>Rounding!AO156</f>
        <v>0</v>
      </c>
      <c r="AP61" s="349"/>
      <c r="AQ61" s="349"/>
    </row>
    <row r="62" spans="3:43" x14ac:dyDescent="0.25">
      <c r="E62" s="14"/>
      <c r="G62" s="108"/>
      <c r="J62" s="252"/>
      <c r="K62" s="252"/>
      <c r="L62" s="252"/>
      <c r="M62" s="252"/>
      <c r="N62" s="252"/>
      <c r="O62" s="252"/>
      <c r="P62" s="252"/>
      <c r="Q62" s="252"/>
      <c r="R62" s="252"/>
      <c r="S62" s="252"/>
      <c r="T62" s="252"/>
      <c r="U62" s="252"/>
      <c r="V62" s="252"/>
      <c r="W62" s="252"/>
      <c r="X62" s="252"/>
      <c r="Y62" s="252"/>
      <c r="Z62" s="252"/>
      <c r="AA62" s="252"/>
      <c r="AB62" s="252"/>
      <c r="AC62" s="252"/>
      <c r="AD62" s="252"/>
      <c r="AE62" s="252"/>
      <c r="AF62" s="252"/>
      <c r="AG62" s="252"/>
      <c r="AH62" s="252"/>
      <c r="AI62" s="252"/>
      <c r="AJ62" s="252"/>
      <c r="AK62" s="252"/>
      <c r="AL62" s="252"/>
      <c r="AM62" s="252"/>
      <c r="AN62" s="252"/>
      <c r="AO62" s="252"/>
    </row>
    <row r="63" spans="3:43" x14ac:dyDescent="0.25">
      <c r="E63" s="96" t="s">
        <v>777</v>
      </c>
      <c r="G63" s="108"/>
      <c r="I63" s="293" t="s">
        <v>359</v>
      </c>
      <c r="J63" s="271"/>
      <c r="K63" s="271"/>
      <c r="L63" s="271"/>
      <c r="M63" s="271"/>
      <c r="N63" s="271"/>
      <c r="O63" s="271"/>
      <c r="P63" s="271"/>
      <c r="Q63" s="271"/>
      <c r="R63" s="271"/>
      <c r="S63" s="271"/>
      <c r="T63" s="271"/>
      <c r="U63" s="271"/>
      <c r="V63" s="271"/>
      <c r="W63" s="271"/>
      <c r="X63" s="271"/>
      <c r="Y63" s="271"/>
      <c r="Z63" s="271"/>
      <c r="AA63" s="271"/>
      <c r="AB63" s="271"/>
      <c r="AC63" s="271"/>
      <c r="AD63" s="271"/>
      <c r="AE63" s="271"/>
      <c r="AF63" s="271"/>
      <c r="AG63" s="271"/>
      <c r="AH63" s="271"/>
      <c r="AI63" s="271"/>
      <c r="AJ63" s="271"/>
      <c r="AK63" s="271"/>
      <c r="AL63" s="271"/>
      <c r="AM63" s="271"/>
      <c r="AN63" s="271"/>
      <c r="AO63" s="271"/>
      <c r="AQ63" s="293" t="s">
        <v>699</v>
      </c>
    </row>
    <row r="64" spans="3:43" x14ac:dyDescent="0.25">
      <c r="F64" s="91" t="s">
        <v>134</v>
      </c>
      <c r="G64" s="129" t="s">
        <v>183</v>
      </c>
      <c r="H64" s="358"/>
      <c r="I64" s="347"/>
      <c r="J64" s="358">
        <f>Rounding!J159</f>
        <v>5.5529999999999999</v>
      </c>
      <c r="K64" s="358">
        <f>Rounding!K159</f>
        <v>5.5529999999999999</v>
      </c>
      <c r="L64" s="358">
        <f>Rounding!L159</f>
        <v>4.8949999999999996</v>
      </c>
      <c r="M64" s="358">
        <f>Rounding!M159</f>
        <v>4.8949999999999996</v>
      </c>
      <c r="N64" s="358">
        <f>Rounding!N159</f>
        <v>4.8949999999999996</v>
      </c>
      <c r="O64" s="358">
        <f>Rounding!O159</f>
        <v>4.8949999999999996</v>
      </c>
      <c r="P64" s="358">
        <f>Rounding!P159</f>
        <v>4.8949999999999996</v>
      </c>
      <c r="Q64" s="358">
        <f>Rounding!Q159</f>
        <v>4.8949999999999996</v>
      </c>
      <c r="R64" s="358">
        <f>Rounding!R159</f>
        <v>3.823</v>
      </c>
      <c r="S64" s="358">
        <f>Rounding!S159</f>
        <v>3.823</v>
      </c>
      <c r="T64" s="358">
        <f>Rounding!T159</f>
        <v>3.823</v>
      </c>
      <c r="U64" s="358">
        <f>Rounding!U159</f>
        <v>3.823</v>
      </c>
      <c r="V64" s="358">
        <f>Rounding!V159</f>
        <v>3.823</v>
      </c>
      <c r="W64" s="358">
        <f>Rounding!W159</f>
        <v>0</v>
      </c>
      <c r="X64" s="358">
        <f>Rounding!X159</f>
        <v>0</v>
      </c>
      <c r="Y64" s="358">
        <f>Rounding!Y159</f>
        <v>0</v>
      </c>
      <c r="Z64" s="358">
        <f>Rounding!Z159</f>
        <v>0</v>
      </c>
      <c r="AA64" s="358">
        <f>Rounding!AA159</f>
        <v>0</v>
      </c>
      <c r="AB64" s="358">
        <f>Rounding!AB159</f>
        <v>0</v>
      </c>
      <c r="AC64" s="358">
        <f>Rounding!AC159</f>
        <v>0</v>
      </c>
      <c r="AD64" s="358">
        <f>Rounding!AD159</f>
        <v>0</v>
      </c>
      <c r="AE64" s="358">
        <f>Rounding!AE159</f>
        <v>0</v>
      </c>
      <c r="AF64" s="358">
        <f>Rounding!AF159</f>
        <v>0</v>
      </c>
      <c r="AG64" s="358">
        <f>Rounding!AG159</f>
        <v>12.68</v>
      </c>
      <c r="AH64" s="358">
        <f>Rounding!AH159</f>
        <v>-5.8360000000000003</v>
      </c>
      <c r="AI64" s="358">
        <f>Rounding!AI159</f>
        <v>0</v>
      </c>
      <c r="AJ64" s="358">
        <f>Rounding!AJ159</f>
        <v>-5.8360000000000003</v>
      </c>
      <c r="AK64" s="358">
        <f>Rounding!AK159</f>
        <v>0</v>
      </c>
      <c r="AL64" s="358">
        <f>Rounding!AL159</f>
        <v>0</v>
      </c>
      <c r="AM64" s="358">
        <f>Rounding!AM159</f>
        <v>0</v>
      </c>
      <c r="AN64" s="358">
        <f>Rounding!AN159</f>
        <v>0</v>
      </c>
      <c r="AO64" s="358">
        <f>Rounding!AO159</f>
        <v>0</v>
      </c>
      <c r="AP64" s="349"/>
      <c r="AQ64" s="349"/>
    </row>
    <row r="65" spans="3:43" x14ac:dyDescent="0.25">
      <c r="E65" s="14"/>
      <c r="F65" s="293" t="s">
        <v>135</v>
      </c>
      <c r="G65" s="108" t="s">
        <v>183</v>
      </c>
      <c r="H65" s="416"/>
      <c r="I65" s="349"/>
      <c r="J65" s="416">
        <f>Rounding!J160</f>
        <v>0.72</v>
      </c>
      <c r="K65" s="416">
        <f>Rounding!K160</f>
        <v>0.72</v>
      </c>
      <c r="L65" s="416">
        <f>Rounding!L160</f>
        <v>0.63500000000000001</v>
      </c>
      <c r="M65" s="416">
        <f>Rounding!M160</f>
        <v>0.63500000000000001</v>
      </c>
      <c r="N65" s="416">
        <f>Rounding!N160</f>
        <v>0.63500000000000001</v>
      </c>
      <c r="O65" s="416">
        <f>Rounding!O160</f>
        <v>0.63500000000000001</v>
      </c>
      <c r="P65" s="416">
        <f>Rounding!P160</f>
        <v>0.63500000000000001</v>
      </c>
      <c r="Q65" s="416">
        <f>Rounding!Q160</f>
        <v>0.63500000000000001</v>
      </c>
      <c r="R65" s="416">
        <f>Rounding!R160</f>
        <v>0.42699999999999999</v>
      </c>
      <c r="S65" s="416">
        <f>Rounding!S160</f>
        <v>0.42699999999999999</v>
      </c>
      <c r="T65" s="416">
        <f>Rounding!T160</f>
        <v>0.42699999999999999</v>
      </c>
      <c r="U65" s="416">
        <f>Rounding!U160</f>
        <v>0.42699999999999999</v>
      </c>
      <c r="V65" s="416">
        <f>Rounding!V160</f>
        <v>0.42699999999999999</v>
      </c>
      <c r="W65" s="416">
        <f>Rounding!W160</f>
        <v>0</v>
      </c>
      <c r="X65" s="416">
        <f>Rounding!X160</f>
        <v>0</v>
      </c>
      <c r="Y65" s="416">
        <f>Rounding!Y160</f>
        <v>0</v>
      </c>
      <c r="Z65" s="416">
        <f>Rounding!Z160</f>
        <v>0</v>
      </c>
      <c r="AA65" s="416">
        <f>Rounding!AA160</f>
        <v>0</v>
      </c>
      <c r="AB65" s="416">
        <f>Rounding!AB160</f>
        <v>0</v>
      </c>
      <c r="AC65" s="416">
        <f>Rounding!AC160</f>
        <v>0</v>
      </c>
      <c r="AD65" s="416">
        <f>Rounding!AD160</f>
        <v>0</v>
      </c>
      <c r="AE65" s="416">
        <f>Rounding!AE160</f>
        <v>0</v>
      </c>
      <c r="AF65" s="416">
        <f>Rounding!AF160</f>
        <v>0</v>
      </c>
      <c r="AG65" s="416">
        <f>Rounding!AG160</f>
        <v>2.3119999999999998</v>
      </c>
      <c r="AH65" s="416">
        <f>Rounding!AH160</f>
        <v>-0.75700000000000001</v>
      </c>
      <c r="AI65" s="416">
        <f>Rounding!AI160</f>
        <v>0</v>
      </c>
      <c r="AJ65" s="416">
        <f>Rounding!AJ160</f>
        <v>-0.75700000000000001</v>
      </c>
      <c r="AK65" s="416">
        <f>Rounding!AK160</f>
        <v>0</v>
      </c>
      <c r="AL65" s="416">
        <f>Rounding!AL160</f>
        <v>0</v>
      </c>
      <c r="AM65" s="416">
        <f>Rounding!AM160</f>
        <v>0</v>
      </c>
      <c r="AN65" s="416">
        <f>Rounding!AN160</f>
        <v>0</v>
      </c>
      <c r="AO65" s="416">
        <f>Rounding!AO160</f>
        <v>0</v>
      </c>
      <c r="AP65" s="349"/>
      <c r="AQ65" s="349"/>
    </row>
    <row r="66" spans="3:43" x14ac:dyDescent="0.25">
      <c r="E66" s="14"/>
      <c r="F66" s="293" t="s">
        <v>136</v>
      </c>
      <c r="G66" s="108" t="s">
        <v>183</v>
      </c>
      <c r="H66" s="416"/>
      <c r="I66" s="349"/>
      <c r="J66" s="416">
        <f>Rounding!J161</f>
        <v>3.5000000000000003E-2</v>
      </c>
      <c r="K66" s="416">
        <f>Rounding!K161</f>
        <v>3.5000000000000003E-2</v>
      </c>
      <c r="L66" s="416">
        <f>Rounding!L161</f>
        <v>3.1E-2</v>
      </c>
      <c r="M66" s="416">
        <f>Rounding!M161</f>
        <v>3.1E-2</v>
      </c>
      <c r="N66" s="416">
        <f>Rounding!N161</f>
        <v>3.1E-2</v>
      </c>
      <c r="O66" s="416">
        <f>Rounding!O161</f>
        <v>3.1E-2</v>
      </c>
      <c r="P66" s="416">
        <f>Rounding!P161</f>
        <v>3.1E-2</v>
      </c>
      <c r="Q66" s="416">
        <f>Rounding!Q161</f>
        <v>3.1E-2</v>
      </c>
      <c r="R66" s="416">
        <f>Rounding!R161</f>
        <v>0.02</v>
      </c>
      <c r="S66" s="416">
        <f>Rounding!S161</f>
        <v>0.02</v>
      </c>
      <c r="T66" s="416">
        <f>Rounding!T161</f>
        <v>0.02</v>
      </c>
      <c r="U66" s="416">
        <f>Rounding!U161</f>
        <v>0.02</v>
      </c>
      <c r="V66" s="416">
        <f>Rounding!V161</f>
        <v>0.02</v>
      </c>
      <c r="W66" s="416">
        <f>Rounding!W161</f>
        <v>0</v>
      </c>
      <c r="X66" s="416">
        <f>Rounding!X161</f>
        <v>0</v>
      </c>
      <c r="Y66" s="416">
        <f>Rounding!Y161</f>
        <v>0</v>
      </c>
      <c r="Z66" s="416">
        <f>Rounding!Z161</f>
        <v>0</v>
      </c>
      <c r="AA66" s="416">
        <f>Rounding!AA161</f>
        <v>0</v>
      </c>
      <c r="AB66" s="416">
        <f>Rounding!AB161</f>
        <v>0</v>
      </c>
      <c r="AC66" s="416">
        <f>Rounding!AC161</f>
        <v>0</v>
      </c>
      <c r="AD66" s="416">
        <f>Rounding!AD161</f>
        <v>0</v>
      </c>
      <c r="AE66" s="416">
        <f>Rounding!AE161</f>
        <v>0</v>
      </c>
      <c r="AF66" s="416">
        <f>Rounding!AF161</f>
        <v>0</v>
      </c>
      <c r="AG66" s="416">
        <f>Rounding!AG161</f>
        <v>1.768</v>
      </c>
      <c r="AH66" s="416">
        <f>Rounding!AH161</f>
        <v>-3.6999999999999998E-2</v>
      </c>
      <c r="AI66" s="416">
        <f>Rounding!AI161</f>
        <v>0</v>
      </c>
      <c r="AJ66" s="416">
        <f>Rounding!AJ161</f>
        <v>-3.6999999999999998E-2</v>
      </c>
      <c r="AK66" s="416">
        <f>Rounding!AK161</f>
        <v>0</v>
      </c>
      <c r="AL66" s="416">
        <f>Rounding!AL161</f>
        <v>0</v>
      </c>
      <c r="AM66" s="416">
        <f>Rounding!AM161</f>
        <v>0</v>
      </c>
      <c r="AN66" s="416">
        <f>Rounding!AN161</f>
        <v>0</v>
      </c>
      <c r="AO66" s="416">
        <f>Rounding!AO161</f>
        <v>0</v>
      </c>
      <c r="AP66" s="349"/>
      <c r="AQ66" s="349"/>
    </row>
    <row r="67" spans="3:43" x14ac:dyDescent="0.25">
      <c r="E67" s="14"/>
      <c r="F67" s="293" t="s">
        <v>254</v>
      </c>
      <c r="G67" s="108" t="s">
        <v>252</v>
      </c>
      <c r="H67" s="380"/>
      <c r="J67" s="273">
        <f>Rounding!J162</f>
        <v>6.99</v>
      </c>
      <c r="K67" s="273">
        <f>Rounding!K162</f>
        <v>0</v>
      </c>
      <c r="L67" s="273">
        <f>Rounding!L162</f>
        <v>5.32</v>
      </c>
      <c r="M67" s="273">
        <f>Rounding!M162</f>
        <v>7.41</v>
      </c>
      <c r="N67" s="273">
        <f>Rounding!N162</f>
        <v>12.16</v>
      </c>
      <c r="O67" s="273">
        <f>Rounding!O162</f>
        <v>20.82</v>
      </c>
      <c r="P67" s="273">
        <f>Rounding!P162</f>
        <v>47.49</v>
      </c>
      <c r="Q67" s="273">
        <f>Rounding!Q162</f>
        <v>0</v>
      </c>
      <c r="R67" s="273">
        <f>Rounding!R162</f>
        <v>11.21</v>
      </c>
      <c r="S67" s="273">
        <f>Rounding!S162</f>
        <v>88.56</v>
      </c>
      <c r="T67" s="273">
        <f>Rounding!T162</f>
        <v>154.99</v>
      </c>
      <c r="U67" s="273">
        <f>Rounding!U162</f>
        <v>233.72</v>
      </c>
      <c r="V67" s="273">
        <f>Rounding!V162</f>
        <v>580.20000000000005</v>
      </c>
      <c r="W67" s="273">
        <f>Rounding!W162</f>
        <v>0</v>
      </c>
      <c r="X67" s="273">
        <f>Rounding!X162</f>
        <v>0</v>
      </c>
      <c r="Y67" s="273">
        <f>Rounding!Y162</f>
        <v>0</v>
      </c>
      <c r="Z67" s="273">
        <f>Rounding!Z162</f>
        <v>0</v>
      </c>
      <c r="AA67" s="273">
        <f>Rounding!AA162</f>
        <v>0</v>
      </c>
      <c r="AB67" s="273">
        <f>Rounding!AB162</f>
        <v>0</v>
      </c>
      <c r="AC67" s="273">
        <f>Rounding!AC162</f>
        <v>0</v>
      </c>
      <c r="AD67" s="273">
        <f>Rounding!AD162</f>
        <v>0</v>
      </c>
      <c r="AE67" s="273">
        <f>Rounding!AE162</f>
        <v>0</v>
      </c>
      <c r="AF67" s="273">
        <f>Rounding!AF162</f>
        <v>0</v>
      </c>
      <c r="AG67" s="273">
        <f>Rounding!AG162</f>
        <v>0</v>
      </c>
      <c r="AH67" s="273">
        <f>Rounding!AH162</f>
        <v>0</v>
      </c>
      <c r="AI67" s="273">
        <f>Rounding!AI162</f>
        <v>0</v>
      </c>
      <c r="AJ67" s="273">
        <f>Rounding!AJ162</f>
        <v>0</v>
      </c>
      <c r="AK67" s="273">
        <f>Rounding!AK162</f>
        <v>0</v>
      </c>
      <c r="AL67" s="273">
        <f>Rounding!AL162</f>
        <v>0</v>
      </c>
      <c r="AM67" s="273">
        <f>Rounding!AM162</f>
        <v>0</v>
      </c>
      <c r="AN67" s="273">
        <f>Rounding!AN162</f>
        <v>0</v>
      </c>
      <c r="AO67" s="273">
        <f>Rounding!AO162</f>
        <v>0</v>
      </c>
    </row>
    <row r="68" spans="3:43" x14ac:dyDescent="0.25">
      <c r="E68" s="14"/>
      <c r="F68" s="293" t="s">
        <v>255</v>
      </c>
      <c r="G68" s="108" t="s">
        <v>251</v>
      </c>
      <c r="H68" s="380"/>
      <c r="J68" s="273">
        <f>Rounding!J163</f>
        <v>0</v>
      </c>
      <c r="K68" s="273">
        <f>Rounding!K163</f>
        <v>0</v>
      </c>
      <c r="L68" s="273">
        <f>Rounding!L163</f>
        <v>0</v>
      </c>
      <c r="M68" s="273">
        <f>Rounding!M163</f>
        <v>0</v>
      </c>
      <c r="N68" s="273">
        <f>Rounding!N163</f>
        <v>0</v>
      </c>
      <c r="O68" s="273">
        <f>Rounding!O163</f>
        <v>0</v>
      </c>
      <c r="P68" s="273">
        <f>Rounding!P163</f>
        <v>0</v>
      </c>
      <c r="Q68" s="273">
        <f>Rounding!Q163</f>
        <v>0</v>
      </c>
      <c r="R68" s="273">
        <f>Rounding!R163</f>
        <v>2.36</v>
      </c>
      <c r="S68" s="273">
        <f>Rounding!S163</f>
        <v>2.36</v>
      </c>
      <c r="T68" s="273">
        <f>Rounding!T163</f>
        <v>2.36</v>
      </c>
      <c r="U68" s="273">
        <f>Rounding!U163</f>
        <v>2.36</v>
      </c>
      <c r="V68" s="273">
        <f>Rounding!V163</f>
        <v>2.36</v>
      </c>
      <c r="W68" s="273">
        <f>Rounding!W163</f>
        <v>0</v>
      </c>
      <c r="X68" s="273">
        <f>Rounding!X163</f>
        <v>0</v>
      </c>
      <c r="Y68" s="273">
        <f>Rounding!Y163</f>
        <v>0</v>
      </c>
      <c r="Z68" s="273">
        <f>Rounding!Z163</f>
        <v>0</v>
      </c>
      <c r="AA68" s="273">
        <f>Rounding!AA163</f>
        <v>0</v>
      </c>
      <c r="AB68" s="273">
        <f>Rounding!AB163</f>
        <v>0</v>
      </c>
      <c r="AC68" s="273">
        <f>Rounding!AC163</f>
        <v>0</v>
      </c>
      <c r="AD68" s="273">
        <f>Rounding!AD163</f>
        <v>0</v>
      </c>
      <c r="AE68" s="273">
        <f>Rounding!AE163</f>
        <v>0</v>
      </c>
      <c r="AF68" s="273">
        <f>Rounding!AF163</f>
        <v>0</v>
      </c>
      <c r="AG68" s="273">
        <f>Rounding!AG163</f>
        <v>0</v>
      </c>
      <c r="AH68" s="273">
        <f>Rounding!AH163</f>
        <v>0</v>
      </c>
      <c r="AI68" s="273">
        <f>Rounding!AI163</f>
        <v>0</v>
      </c>
      <c r="AJ68" s="273">
        <f>Rounding!AJ163</f>
        <v>0</v>
      </c>
      <c r="AK68" s="273">
        <f>Rounding!AK163</f>
        <v>0</v>
      </c>
      <c r="AL68" s="273">
        <f>Rounding!AL163</f>
        <v>0</v>
      </c>
      <c r="AM68" s="273">
        <f>Rounding!AM163</f>
        <v>0</v>
      </c>
      <c r="AN68" s="273">
        <f>Rounding!AN163</f>
        <v>0</v>
      </c>
      <c r="AO68" s="273">
        <f>Rounding!AO163</f>
        <v>0</v>
      </c>
    </row>
    <row r="69" spans="3:43" x14ac:dyDescent="0.25">
      <c r="E69" s="14"/>
      <c r="F69" s="293" t="s">
        <v>256</v>
      </c>
      <c r="G69" s="108" t="s">
        <v>251</v>
      </c>
      <c r="H69" s="380"/>
      <c r="J69" s="273">
        <f>Rounding!J164</f>
        <v>0</v>
      </c>
      <c r="K69" s="273">
        <f>Rounding!K164</f>
        <v>0</v>
      </c>
      <c r="L69" s="273">
        <f>Rounding!L164</f>
        <v>0</v>
      </c>
      <c r="M69" s="273">
        <f>Rounding!M164</f>
        <v>0</v>
      </c>
      <c r="N69" s="273">
        <f>Rounding!N164</f>
        <v>0</v>
      </c>
      <c r="O69" s="273">
        <f>Rounding!O164</f>
        <v>0</v>
      </c>
      <c r="P69" s="273">
        <f>Rounding!P164</f>
        <v>0</v>
      </c>
      <c r="Q69" s="273">
        <f>Rounding!Q164</f>
        <v>0</v>
      </c>
      <c r="R69" s="273">
        <f>Rounding!R164</f>
        <v>4.42</v>
      </c>
      <c r="S69" s="273">
        <f>Rounding!S164</f>
        <v>4.42</v>
      </c>
      <c r="T69" s="273">
        <f>Rounding!T164</f>
        <v>4.42</v>
      </c>
      <c r="U69" s="273">
        <f>Rounding!U164</f>
        <v>4.42</v>
      </c>
      <c r="V69" s="273">
        <f>Rounding!V164</f>
        <v>4.42</v>
      </c>
      <c r="W69" s="273">
        <f>Rounding!W164</f>
        <v>0</v>
      </c>
      <c r="X69" s="273">
        <f>Rounding!X164</f>
        <v>0</v>
      </c>
      <c r="Y69" s="273">
        <f>Rounding!Y164</f>
        <v>0</v>
      </c>
      <c r="Z69" s="273">
        <f>Rounding!Z164</f>
        <v>0</v>
      </c>
      <c r="AA69" s="273">
        <f>Rounding!AA164</f>
        <v>0</v>
      </c>
      <c r="AB69" s="273">
        <f>Rounding!AB164</f>
        <v>0</v>
      </c>
      <c r="AC69" s="273">
        <f>Rounding!AC164</f>
        <v>0</v>
      </c>
      <c r="AD69" s="273">
        <f>Rounding!AD164</f>
        <v>0</v>
      </c>
      <c r="AE69" s="273">
        <f>Rounding!AE164</f>
        <v>0</v>
      </c>
      <c r="AF69" s="273">
        <f>Rounding!AF164</f>
        <v>0</v>
      </c>
      <c r="AG69" s="273">
        <f>Rounding!AG164</f>
        <v>0</v>
      </c>
      <c r="AH69" s="273">
        <f>Rounding!AH164</f>
        <v>0</v>
      </c>
      <c r="AI69" s="273">
        <f>Rounding!AI164</f>
        <v>0</v>
      </c>
      <c r="AJ69" s="273">
        <f>Rounding!AJ164</f>
        <v>0</v>
      </c>
      <c r="AK69" s="273">
        <f>Rounding!AK164</f>
        <v>0</v>
      </c>
      <c r="AL69" s="273">
        <f>Rounding!AL164</f>
        <v>0</v>
      </c>
      <c r="AM69" s="273">
        <f>Rounding!AM164</f>
        <v>0</v>
      </c>
      <c r="AN69" s="273">
        <f>Rounding!AN164</f>
        <v>0</v>
      </c>
      <c r="AO69" s="273">
        <f>Rounding!AO164</f>
        <v>0</v>
      </c>
    </row>
    <row r="70" spans="3:43" x14ac:dyDescent="0.25">
      <c r="E70" s="14"/>
      <c r="F70" s="93" t="s">
        <v>257</v>
      </c>
      <c r="G70" s="131" t="s">
        <v>258</v>
      </c>
      <c r="H70" s="361"/>
      <c r="I70" s="351"/>
      <c r="J70" s="361">
        <f>Rounding!J165</f>
        <v>0</v>
      </c>
      <c r="K70" s="361">
        <f>Rounding!K165</f>
        <v>0</v>
      </c>
      <c r="L70" s="361">
        <f>Rounding!L165</f>
        <v>0</v>
      </c>
      <c r="M70" s="361">
        <f>Rounding!M165</f>
        <v>0</v>
      </c>
      <c r="N70" s="361">
        <f>Rounding!N165</f>
        <v>0</v>
      </c>
      <c r="O70" s="361">
        <f>Rounding!O165</f>
        <v>0</v>
      </c>
      <c r="P70" s="361">
        <f>Rounding!P165</f>
        <v>0</v>
      </c>
      <c r="Q70" s="361">
        <f>Rounding!Q165</f>
        <v>0</v>
      </c>
      <c r="R70" s="361">
        <f>Rounding!R165</f>
        <v>0.14199999999999999</v>
      </c>
      <c r="S70" s="361">
        <f>Rounding!S165</f>
        <v>0.14199999999999999</v>
      </c>
      <c r="T70" s="361">
        <f>Rounding!T165</f>
        <v>0.14199999999999999</v>
      </c>
      <c r="U70" s="361">
        <f>Rounding!U165</f>
        <v>0.14199999999999999</v>
      </c>
      <c r="V70" s="361">
        <f>Rounding!V165</f>
        <v>0.14199999999999999</v>
      </c>
      <c r="W70" s="361">
        <f>Rounding!W165</f>
        <v>0</v>
      </c>
      <c r="X70" s="361">
        <f>Rounding!X165</f>
        <v>0</v>
      </c>
      <c r="Y70" s="361">
        <f>Rounding!Y165</f>
        <v>0</v>
      </c>
      <c r="Z70" s="361">
        <f>Rounding!Z165</f>
        <v>0</v>
      </c>
      <c r="AA70" s="361">
        <f>Rounding!AA165</f>
        <v>0</v>
      </c>
      <c r="AB70" s="361">
        <f>Rounding!AB165</f>
        <v>0</v>
      </c>
      <c r="AC70" s="361">
        <f>Rounding!AC165</f>
        <v>0</v>
      </c>
      <c r="AD70" s="361">
        <f>Rounding!AD165</f>
        <v>0</v>
      </c>
      <c r="AE70" s="361">
        <f>Rounding!AE165</f>
        <v>0</v>
      </c>
      <c r="AF70" s="361">
        <f>Rounding!AF165</f>
        <v>0</v>
      </c>
      <c r="AG70" s="361">
        <f>Rounding!AG165</f>
        <v>0</v>
      </c>
      <c r="AH70" s="361">
        <f>Rounding!AH165</f>
        <v>0</v>
      </c>
      <c r="AI70" s="361">
        <f>Rounding!AI165</f>
        <v>0</v>
      </c>
      <c r="AJ70" s="361">
        <f>Rounding!AJ165</f>
        <v>0.22800000000000001</v>
      </c>
      <c r="AK70" s="361">
        <f>Rounding!AK165</f>
        <v>0</v>
      </c>
      <c r="AL70" s="361">
        <f>Rounding!AL165</f>
        <v>0</v>
      </c>
      <c r="AM70" s="361">
        <f>Rounding!AM165</f>
        <v>0</v>
      </c>
      <c r="AN70" s="361">
        <f>Rounding!AN165</f>
        <v>0</v>
      </c>
      <c r="AO70" s="361">
        <f>Rounding!AO165</f>
        <v>0</v>
      </c>
      <c r="AP70" s="349"/>
      <c r="AQ70" s="349"/>
    </row>
    <row r="71" spans="3:43" x14ac:dyDescent="0.25">
      <c r="E71" s="14"/>
      <c r="G71" s="108"/>
      <c r="J71" s="252"/>
      <c r="K71" s="252"/>
      <c r="L71" s="252"/>
      <c r="M71" s="252"/>
      <c r="N71" s="252"/>
      <c r="O71" s="252"/>
      <c r="P71" s="252"/>
      <c r="Q71" s="252"/>
      <c r="R71" s="252"/>
      <c r="S71" s="252"/>
      <c r="T71" s="252"/>
      <c r="U71" s="252"/>
      <c r="V71" s="252"/>
      <c r="W71" s="252"/>
      <c r="X71" s="252"/>
      <c r="Y71" s="252"/>
      <c r="Z71" s="252"/>
      <c r="AA71" s="252"/>
      <c r="AB71" s="252"/>
      <c r="AC71" s="252"/>
      <c r="AD71" s="252"/>
      <c r="AE71" s="252"/>
      <c r="AF71" s="252"/>
      <c r="AG71" s="252"/>
      <c r="AH71" s="252"/>
      <c r="AI71" s="252"/>
      <c r="AJ71" s="252"/>
      <c r="AK71" s="252"/>
      <c r="AL71" s="252"/>
      <c r="AM71" s="252"/>
      <c r="AN71" s="252"/>
      <c r="AO71" s="252"/>
    </row>
    <row r="72" spans="3:43" x14ac:dyDescent="0.25">
      <c r="E72" s="96" t="s">
        <v>778</v>
      </c>
      <c r="G72" s="108"/>
      <c r="I72" s="293" t="s">
        <v>359</v>
      </c>
      <c r="J72" s="271"/>
      <c r="K72" s="271"/>
      <c r="L72" s="271"/>
      <c r="M72" s="271"/>
      <c r="N72" s="271"/>
      <c r="O72" s="271"/>
      <c r="P72" s="271"/>
      <c r="Q72" s="271"/>
      <c r="R72" s="271"/>
      <c r="S72" s="271"/>
      <c r="T72" s="271"/>
      <c r="U72" s="271"/>
      <c r="V72" s="271"/>
      <c r="W72" s="271"/>
      <c r="X72" s="271"/>
      <c r="Y72" s="271"/>
      <c r="Z72" s="271"/>
      <c r="AA72" s="271"/>
      <c r="AB72" s="271"/>
      <c r="AC72" s="271"/>
      <c r="AD72" s="271"/>
      <c r="AE72" s="271"/>
      <c r="AF72" s="271"/>
      <c r="AG72" s="271"/>
      <c r="AH72" s="271"/>
      <c r="AI72" s="271"/>
      <c r="AJ72" s="271"/>
      <c r="AK72" s="271"/>
      <c r="AL72" s="271"/>
      <c r="AM72" s="271"/>
      <c r="AN72" s="271"/>
      <c r="AO72" s="271"/>
      <c r="AQ72" s="293" t="s">
        <v>699</v>
      </c>
    </row>
    <row r="73" spans="3:43" x14ac:dyDescent="0.25">
      <c r="C73" s="86"/>
      <c r="F73" s="91" t="s">
        <v>134</v>
      </c>
      <c r="G73" s="129" t="s">
        <v>183</v>
      </c>
      <c r="H73" s="358"/>
      <c r="I73" s="347"/>
      <c r="J73" s="358">
        <f>Rounding!J168</f>
        <v>3.9830000000000001</v>
      </c>
      <c r="K73" s="358">
        <f>Rounding!K168</f>
        <v>3.9830000000000001</v>
      </c>
      <c r="L73" s="358">
        <f>Rounding!L168</f>
        <v>3.5110000000000001</v>
      </c>
      <c r="M73" s="358">
        <f>Rounding!M168</f>
        <v>3.5110000000000001</v>
      </c>
      <c r="N73" s="358">
        <f>Rounding!N168</f>
        <v>3.5110000000000001</v>
      </c>
      <c r="O73" s="358">
        <f>Rounding!O168</f>
        <v>3.5110000000000001</v>
      </c>
      <c r="P73" s="358">
        <f>Rounding!P168</f>
        <v>3.5110000000000001</v>
      </c>
      <c r="Q73" s="358">
        <f>Rounding!Q168</f>
        <v>3.5110000000000001</v>
      </c>
      <c r="R73" s="358">
        <f>Rounding!R168</f>
        <v>2.742</v>
      </c>
      <c r="S73" s="358">
        <f>Rounding!S168</f>
        <v>2.742</v>
      </c>
      <c r="T73" s="358">
        <f>Rounding!T168</f>
        <v>2.742</v>
      </c>
      <c r="U73" s="358">
        <f>Rounding!U168</f>
        <v>2.742</v>
      </c>
      <c r="V73" s="358">
        <f>Rounding!V168</f>
        <v>2.742</v>
      </c>
      <c r="W73" s="358">
        <f>Rounding!W168</f>
        <v>2.8889999999999998</v>
      </c>
      <c r="X73" s="358">
        <f>Rounding!X168</f>
        <v>2.8889999999999998</v>
      </c>
      <c r="Y73" s="358">
        <f>Rounding!Y168</f>
        <v>2.8889999999999998</v>
      </c>
      <c r="Z73" s="358">
        <f>Rounding!Z168</f>
        <v>2.8889999999999998</v>
      </c>
      <c r="AA73" s="358">
        <f>Rounding!AA168</f>
        <v>2.8889999999999998</v>
      </c>
      <c r="AB73" s="358">
        <f>Rounding!AB168</f>
        <v>2.6970000000000001</v>
      </c>
      <c r="AC73" s="358">
        <f>Rounding!AC168</f>
        <v>2.6970000000000001</v>
      </c>
      <c r="AD73" s="358">
        <f>Rounding!AD168</f>
        <v>2.6970000000000001</v>
      </c>
      <c r="AE73" s="358">
        <f>Rounding!AE168</f>
        <v>2.6970000000000001</v>
      </c>
      <c r="AF73" s="358">
        <f>Rounding!AF168</f>
        <v>2.6970000000000001</v>
      </c>
      <c r="AG73" s="358">
        <f>Rounding!AG168</f>
        <v>9.0950000000000006</v>
      </c>
      <c r="AH73" s="358">
        <f>Rounding!AH168</f>
        <v>-5.8360000000000003</v>
      </c>
      <c r="AI73" s="358">
        <f>Rounding!AI168</f>
        <v>-5.2140000000000004</v>
      </c>
      <c r="AJ73" s="358">
        <f>Rounding!AJ168</f>
        <v>-5.8360000000000003</v>
      </c>
      <c r="AK73" s="358">
        <f>Rounding!AK168</f>
        <v>0</v>
      </c>
      <c r="AL73" s="358">
        <f>Rounding!AL168</f>
        <v>-5.2140000000000004</v>
      </c>
      <c r="AM73" s="358">
        <f>Rounding!AM168</f>
        <v>0</v>
      </c>
      <c r="AN73" s="358">
        <f>Rounding!AN168</f>
        <v>-4.0259999999999998</v>
      </c>
      <c r="AO73" s="358">
        <f>Rounding!AO168</f>
        <v>0</v>
      </c>
      <c r="AP73" s="349"/>
      <c r="AQ73" s="349"/>
    </row>
    <row r="74" spans="3:43" x14ac:dyDescent="0.25">
      <c r="C74" s="86"/>
      <c r="F74" s="293" t="s">
        <v>135</v>
      </c>
      <c r="G74" s="108" t="s">
        <v>183</v>
      </c>
      <c r="H74" s="416"/>
      <c r="I74" s="349"/>
      <c r="J74" s="416">
        <f>Rounding!J169</f>
        <v>0.51700000000000002</v>
      </c>
      <c r="K74" s="416">
        <f>Rounding!K169</f>
        <v>0.51700000000000002</v>
      </c>
      <c r="L74" s="416">
        <f>Rounding!L169</f>
        <v>0.45500000000000002</v>
      </c>
      <c r="M74" s="416">
        <f>Rounding!M169</f>
        <v>0.45500000000000002</v>
      </c>
      <c r="N74" s="416">
        <f>Rounding!N169</f>
        <v>0.45500000000000002</v>
      </c>
      <c r="O74" s="416">
        <f>Rounding!O169</f>
        <v>0.45500000000000002</v>
      </c>
      <c r="P74" s="416">
        <f>Rounding!P169</f>
        <v>0.45500000000000002</v>
      </c>
      <c r="Q74" s="416">
        <f>Rounding!Q169</f>
        <v>0.45500000000000002</v>
      </c>
      <c r="R74" s="416">
        <f>Rounding!R169</f>
        <v>0.307</v>
      </c>
      <c r="S74" s="416">
        <f>Rounding!S169</f>
        <v>0.307</v>
      </c>
      <c r="T74" s="416">
        <f>Rounding!T169</f>
        <v>0.307</v>
      </c>
      <c r="U74" s="416">
        <f>Rounding!U169</f>
        <v>0.307</v>
      </c>
      <c r="V74" s="416">
        <f>Rounding!V169</f>
        <v>0.307</v>
      </c>
      <c r="W74" s="416">
        <f>Rounding!W169</f>
        <v>0.221</v>
      </c>
      <c r="X74" s="416">
        <f>Rounding!X169</f>
        <v>0.221</v>
      </c>
      <c r="Y74" s="416">
        <f>Rounding!Y169</f>
        <v>0.221</v>
      </c>
      <c r="Z74" s="416">
        <f>Rounding!Z169</f>
        <v>0.221</v>
      </c>
      <c r="AA74" s="416">
        <f>Rounding!AA169</f>
        <v>0.221</v>
      </c>
      <c r="AB74" s="416">
        <f>Rounding!AB169</f>
        <v>0.183</v>
      </c>
      <c r="AC74" s="416">
        <f>Rounding!AC169</f>
        <v>0.183</v>
      </c>
      <c r="AD74" s="416">
        <f>Rounding!AD169</f>
        <v>0.183</v>
      </c>
      <c r="AE74" s="416">
        <f>Rounding!AE169</f>
        <v>0.183</v>
      </c>
      <c r="AF74" s="416">
        <f>Rounding!AF169</f>
        <v>0.183</v>
      </c>
      <c r="AG74" s="416">
        <f>Rounding!AG169</f>
        <v>1.6579999999999999</v>
      </c>
      <c r="AH74" s="416">
        <f>Rounding!AH169</f>
        <v>-0.75700000000000001</v>
      </c>
      <c r="AI74" s="416">
        <f>Rounding!AI169</f>
        <v>-0.61899999999999999</v>
      </c>
      <c r="AJ74" s="416">
        <f>Rounding!AJ169</f>
        <v>-0.75700000000000001</v>
      </c>
      <c r="AK74" s="416">
        <f>Rounding!AK169</f>
        <v>0</v>
      </c>
      <c r="AL74" s="416">
        <f>Rounding!AL169</f>
        <v>-0.61899999999999999</v>
      </c>
      <c r="AM74" s="416">
        <f>Rounding!AM169</f>
        <v>0</v>
      </c>
      <c r="AN74" s="416">
        <f>Rounding!AN169</f>
        <v>-0.307</v>
      </c>
      <c r="AO74" s="416">
        <f>Rounding!AO169</f>
        <v>0</v>
      </c>
      <c r="AP74" s="349"/>
      <c r="AQ74" s="349"/>
    </row>
    <row r="75" spans="3:43" x14ac:dyDescent="0.25">
      <c r="C75" s="86"/>
      <c r="F75" s="293" t="s">
        <v>136</v>
      </c>
      <c r="G75" s="108" t="s">
        <v>183</v>
      </c>
      <c r="H75" s="416"/>
      <c r="I75" s="349"/>
      <c r="J75" s="416">
        <f>Rounding!J170</f>
        <v>2.5000000000000001E-2</v>
      </c>
      <c r="K75" s="416">
        <f>Rounding!K170</f>
        <v>2.5000000000000001E-2</v>
      </c>
      <c r="L75" s="416">
        <f>Rounding!L170</f>
        <v>2.1999999999999999E-2</v>
      </c>
      <c r="M75" s="416">
        <f>Rounding!M170</f>
        <v>2.1999999999999999E-2</v>
      </c>
      <c r="N75" s="416">
        <f>Rounding!N170</f>
        <v>2.1999999999999999E-2</v>
      </c>
      <c r="O75" s="416">
        <f>Rounding!O170</f>
        <v>2.1999999999999999E-2</v>
      </c>
      <c r="P75" s="416">
        <f>Rounding!P170</f>
        <v>2.1999999999999999E-2</v>
      </c>
      <c r="Q75" s="416">
        <f>Rounding!Q170</f>
        <v>2.1999999999999999E-2</v>
      </c>
      <c r="R75" s="416">
        <f>Rounding!R170</f>
        <v>1.4E-2</v>
      </c>
      <c r="S75" s="416">
        <f>Rounding!S170</f>
        <v>1.4E-2</v>
      </c>
      <c r="T75" s="416">
        <f>Rounding!T170</f>
        <v>1.4E-2</v>
      </c>
      <c r="U75" s="416">
        <f>Rounding!U170</f>
        <v>1.4E-2</v>
      </c>
      <c r="V75" s="416">
        <f>Rounding!V170</f>
        <v>1.4E-2</v>
      </c>
      <c r="W75" s="416">
        <f>Rounding!W170</f>
        <v>8.9999999999999993E-3</v>
      </c>
      <c r="X75" s="416">
        <f>Rounding!X170</f>
        <v>8.9999999999999993E-3</v>
      </c>
      <c r="Y75" s="416">
        <f>Rounding!Y170</f>
        <v>8.9999999999999993E-3</v>
      </c>
      <c r="Z75" s="416">
        <f>Rounding!Z170</f>
        <v>8.9999999999999993E-3</v>
      </c>
      <c r="AA75" s="416">
        <f>Rounding!AA170</f>
        <v>8.9999999999999993E-3</v>
      </c>
      <c r="AB75" s="416">
        <f>Rounding!AB170</f>
        <v>8.0000000000000002E-3</v>
      </c>
      <c r="AC75" s="416">
        <f>Rounding!AC170</f>
        <v>8.0000000000000002E-3</v>
      </c>
      <c r="AD75" s="416">
        <f>Rounding!AD170</f>
        <v>8.0000000000000002E-3</v>
      </c>
      <c r="AE75" s="416">
        <f>Rounding!AE170</f>
        <v>8.0000000000000002E-3</v>
      </c>
      <c r="AF75" s="416">
        <f>Rounding!AF170</f>
        <v>8.0000000000000002E-3</v>
      </c>
      <c r="AG75" s="416">
        <f>Rounding!AG170</f>
        <v>1.268</v>
      </c>
      <c r="AH75" s="416">
        <f>Rounding!AH170</f>
        <v>-3.6999999999999998E-2</v>
      </c>
      <c r="AI75" s="416">
        <f>Rounding!AI170</f>
        <v>-2.9000000000000001E-2</v>
      </c>
      <c r="AJ75" s="416">
        <f>Rounding!AJ170</f>
        <v>-3.6999999999999998E-2</v>
      </c>
      <c r="AK75" s="416">
        <f>Rounding!AK170</f>
        <v>0</v>
      </c>
      <c r="AL75" s="416">
        <f>Rounding!AL170</f>
        <v>-2.9000000000000001E-2</v>
      </c>
      <c r="AM75" s="416">
        <f>Rounding!AM170</f>
        <v>0</v>
      </c>
      <c r="AN75" s="416">
        <f>Rounding!AN170</f>
        <v>-1.2999999999999999E-2</v>
      </c>
      <c r="AO75" s="416">
        <f>Rounding!AO170</f>
        <v>0</v>
      </c>
      <c r="AP75" s="349"/>
      <c r="AQ75" s="349"/>
    </row>
    <row r="76" spans="3:43" x14ac:dyDescent="0.25">
      <c r="C76" s="86"/>
      <c r="F76" s="293" t="s">
        <v>254</v>
      </c>
      <c r="G76" s="108" t="s">
        <v>252</v>
      </c>
      <c r="H76" s="380"/>
      <c r="J76" s="273">
        <f>Rounding!J171</f>
        <v>5.09</v>
      </c>
      <c r="K76" s="273">
        <f>Rounding!K171</f>
        <v>0</v>
      </c>
      <c r="L76" s="273">
        <f>Rounding!L171</f>
        <v>3.87</v>
      </c>
      <c r="M76" s="273">
        <f>Rounding!M171</f>
        <v>5.36</v>
      </c>
      <c r="N76" s="273">
        <f>Rounding!N171</f>
        <v>8.77</v>
      </c>
      <c r="O76" s="273">
        <f>Rounding!O171</f>
        <v>14.98</v>
      </c>
      <c r="P76" s="273">
        <f>Rounding!P171</f>
        <v>34.11</v>
      </c>
      <c r="Q76" s="273">
        <f>Rounding!Q171</f>
        <v>0</v>
      </c>
      <c r="R76" s="273">
        <f>Rounding!R171</f>
        <v>8.09</v>
      </c>
      <c r="S76" s="273">
        <f>Rounding!S171</f>
        <v>63.57</v>
      </c>
      <c r="T76" s="273">
        <f>Rounding!T171</f>
        <v>111.22</v>
      </c>
      <c r="U76" s="273">
        <f>Rounding!U171</f>
        <v>167.69</v>
      </c>
      <c r="V76" s="273">
        <f>Rounding!V171</f>
        <v>416.21</v>
      </c>
      <c r="W76" s="273">
        <f>Rounding!W171</f>
        <v>29.84</v>
      </c>
      <c r="X76" s="273">
        <f>Rounding!X171</f>
        <v>118.46</v>
      </c>
      <c r="Y76" s="273">
        <f>Rounding!Y171</f>
        <v>194.57</v>
      </c>
      <c r="Z76" s="273">
        <f>Rounding!Z171</f>
        <v>284.77</v>
      </c>
      <c r="AA76" s="273">
        <f>Rounding!AA171</f>
        <v>681.76</v>
      </c>
      <c r="AB76" s="273">
        <f>Rounding!AB171</f>
        <v>147.81</v>
      </c>
      <c r="AC76" s="273">
        <f>Rounding!AC171</f>
        <v>770.29</v>
      </c>
      <c r="AD76" s="273">
        <f>Rounding!AD171</f>
        <v>1963.98</v>
      </c>
      <c r="AE76" s="273">
        <f>Rounding!AE171</f>
        <v>3481.34</v>
      </c>
      <c r="AF76" s="273">
        <f>Rounding!AF171</f>
        <v>8905.42</v>
      </c>
      <c r="AG76" s="273">
        <f>Rounding!AG171</f>
        <v>0</v>
      </c>
      <c r="AH76" s="273">
        <f>Rounding!AH171</f>
        <v>0</v>
      </c>
      <c r="AI76" s="273">
        <f>Rounding!AI171</f>
        <v>0</v>
      </c>
      <c r="AJ76" s="273">
        <f>Rounding!AJ171</f>
        <v>0</v>
      </c>
      <c r="AK76" s="273">
        <f>Rounding!AK171</f>
        <v>0</v>
      </c>
      <c r="AL76" s="273">
        <f>Rounding!AL171</f>
        <v>0</v>
      </c>
      <c r="AM76" s="273">
        <f>Rounding!AM171</f>
        <v>0</v>
      </c>
      <c r="AN76" s="273">
        <f>Rounding!AN171</f>
        <v>0</v>
      </c>
      <c r="AO76" s="273">
        <f>Rounding!AO171</f>
        <v>0</v>
      </c>
    </row>
    <row r="77" spans="3:43" x14ac:dyDescent="0.25">
      <c r="C77" s="86"/>
      <c r="F77" s="293" t="s">
        <v>255</v>
      </c>
      <c r="G77" s="108" t="s">
        <v>251</v>
      </c>
      <c r="H77" s="380"/>
      <c r="J77" s="273">
        <f>Rounding!J172</f>
        <v>0</v>
      </c>
      <c r="K77" s="273">
        <f>Rounding!K172</f>
        <v>0</v>
      </c>
      <c r="L77" s="273">
        <f>Rounding!L172</f>
        <v>0</v>
      </c>
      <c r="M77" s="273">
        <f>Rounding!M172</f>
        <v>0</v>
      </c>
      <c r="N77" s="273">
        <f>Rounding!N172</f>
        <v>0</v>
      </c>
      <c r="O77" s="273">
        <f>Rounding!O172</f>
        <v>0</v>
      </c>
      <c r="P77" s="273">
        <f>Rounding!P172</f>
        <v>0</v>
      </c>
      <c r="Q77" s="273">
        <f>Rounding!Q172</f>
        <v>0</v>
      </c>
      <c r="R77" s="273">
        <f>Rounding!R172</f>
        <v>1.7</v>
      </c>
      <c r="S77" s="273">
        <f>Rounding!S172</f>
        <v>1.7</v>
      </c>
      <c r="T77" s="273">
        <f>Rounding!T172</f>
        <v>1.7</v>
      </c>
      <c r="U77" s="273">
        <f>Rounding!U172</f>
        <v>1.7</v>
      </c>
      <c r="V77" s="273">
        <f>Rounding!V172</f>
        <v>1.7</v>
      </c>
      <c r="W77" s="273">
        <f>Rounding!W172</f>
        <v>3.64</v>
      </c>
      <c r="X77" s="273">
        <f>Rounding!X172</f>
        <v>3.64</v>
      </c>
      <c r="Y77" s="273">
        <f>Rounding!Y172</f>
        <v>3.64</v>
      </c>
      <c r="Z77" s="273">
        <f>Rounding!Z172</f>
        <v>3.64</v>
      </c>
      <c r="AA77" s="273">
        <f>Rounding!AA172</f>
        <v>3.64</v>
      </c>
      <c r="AB77" s="273">
        <f>Rounding!AB172</f>
        <v>4.9800000000000004</v>
      </c>
      <c r="AC77" s="273">
        <f>Rounding!AC172</f>
        <v>4.9800000000000004</v>
      </c>
      <c r="AD77" s="273">
        <f>Rounding!AD172</f>
        <v>4.9800000000000004</v>
      </c>
      <c r="AE77" s="273">
        <f>Rounding!AE172</f>
        <v>4.9800000000000004</v>
      </c>
      <c r="AF77" s="273">
        <f>Rounding!AF172</f>
        <v>4.9800000000000004</v>
      </c>
      <c r="AG77" s="273">
        <f>Rounding!AG172</f>
        <v>0</v>
      </c>
      <c r="AH77" s="273">
        <f>Rounding!AH172</f>
        <v>0</v>
      </c>
      <c r="AI77" s="273">
        <f>Rounding!AI172</f>
        <v>0</v>
      </c>
      <c r="AJ77" s="273">
        <f>Rounding!AJ172</f>
        <v>0</v>
      </c>
      <c r="AK77" s="273">
        <f>Rounding!AK172</f>
        <v>0</v>
      </c>
      <c r="AL77" s="273">
        <f>Rounding!AL172</f>
        <v>0</v>
      </c>
      <c r="AM77" s="273">
        <f>Rounding!AM172</f>
        <v>0</v>
      </c>
      <c r="AN77" s="273">
        <f>Rounding!AN172</f>
        <v>0</v>
      </c>
      <c r="AO77" s="273">
        <f>Rounding!AO172</f>
        <v>0</v>
      </c>
    </row>
    <row r="78" spans="3:43" x14ac:dyDescent="0.25">
      <c r="C78" s="86"/>
      <c r="F78" s="293" t="s">
        <v>256</v>
      </c>
      <c r="G78" s="108" t="s">
        <v>251</v>
      </c>
      <c r="H78" s="380"/>
      <c r="J78" s="273">
        <f>Rounding!J173</f>
        <v>0</v>
      </c>
      <c r="K78" s="273">
        <f>Rounding!K173</f>
        <v>0</v>
      </c>
      <c r="L78" s="273">
        <f>Rounding!L173</f>
        <v>0</v>
      </c>
      <c r="M78" s="273">
        <f>Rounding!M173</f>
        <v>0</v>
      </c>
      <c r="N78" s="273">
        <f>Rounding!N173</f>
        <v>0</v>
      </c>
      <c r="O78" s="273">
        <f>Rounding!O173</f>
        <v>0</v>
      </c>
      <c r="P78" s="273">
        <f>Rounding!P173</f>
        <v>0</v>
      </c>
      <c r="Q78" s="273">
        <f>Rounding!Q173</f>
        <v>0</v>
      </c>
      <c r="R78" s="273">
        <f>Rounding!R173</f>
        <v>3.17</v>
      </c>
      <c r="S78" s="273">
        <f>Rounding!S173</f>
        <v>3.17</v>
      </c>
      <c r="T78" s="273">
        <f>Rounding!T173</f>
        <v>3.17</v>
      </c>
      <c r="U78" s="273">
        <f>Rounding!U173</f>
        <v>3.17</v>
      </c>
      <c r="V78" s="273">
        <f>Rounding!V173</f>
        <v>3.17</v>
      </c>
      <c r="W78" s="273">
        <f>Rounding!W173</f>
        <v>4.75</v>
      </c>
      <c r="X78" s="273">
        <f>Rounding!X173</f>
        <v>4.75</v>
      </c>
      <c r="Y78" s="273">
        <f>Rounding!Y173</f>
        <v>4.75</v>
      </c>
      <c r="Z78" s="273">
        <f>Rounding!Z173</f>
        <v>4.75</v>
      </c>
      <c r="AA78" s="273">
        <f>Rounding!AA173</f>
        <v>4.75</v>
      </c>
      <c r="AB78" s="273">
        <f>Rounding!AB173</f>
        <v>6.02</v>
      </c>
      <c r="AC78" s="273">
        <f>Rounding!AC173</f>
        <v>6.02</v>
      </c>
      <c r="AD78" s="273">
        <f>Rounding!AD173</f>
        <v>6.02</v>
      </c>
      <c r="AE78" s="273">
        <f>Rounding!AE173</f>
        <v>6.02</v>
      </c>
      <c r="AF78" s="273">
        <f>Rounding!AF173</f>
        <v>6.02</v>
      </c>
      <c r="AG78" s="273">
        <f>Rounding!AG173</f>
        <v>0</v>
      </c>
      <c r="AH78" s="273">
        <f>Rounding!AH173</f>
        <v>0</v>
      </c>
      <c r="AI78" s="273">
        <f>Rounding!AI173</f>
        <v>0</v>
      </c>
      <c r="AJ78" s="273">
        <f>Rounding!AJ173</f>
        <v>0</v>
      </c>
      <c r="AK78" s="273">
        <f>Rounding!AK173</f>
        <v>0</v>
      </c>
      <c r="AL78" s="273">
        <f>Rounding!AL173</f>
        <v>0</v>
      </c>
      <c r="AM78" s="273">
        <f>Rounding!AM173</f>
        <v>0</v>
      </c>
      <c r="AN78" s="273">
        <f>Rounding!AN173</f>
        <v>0</v>
      </c>
      <c r="AO78" s="273">
        <f>Rounding!AO173</f>
        <v>0</v>
      </c>
    </row>
    <row r="79" spans="3:43" x14ac:dyDescent="0.25">
      <c r="C79" s="86"/>
      <c r="F79" s="93" t="s">
        <v>257</v>
      </c>
      <c r="G79" s="131" t="s">
        <v>258</v>
      </c>
      <c r="H79" s="361"/>
      <c r="I79" s="351"/>
      <c r="J79" s="361">
        <f>Rounding!J174</f>
        <v>0</v>
      </c>
      <c r="K79" s="361">
        <f>Rounding!K174</f>
        <v>0</v>
      </c>
      <c r="L79" s="361">
        <f>Rounding!L174</f>
        <v>0</v>
      </c>
      <c r="M79" s="361">
        <f>Rounding!M174</f>
        <v>0</v>
      </c>
      <c r="N79" s="361">
        <f>Rounding!N174</f>
        <v>0</v>
      </c>
      <c r="O79" s="361">
        <f>Rounding!O174</f>
        <v>0</v>
      </c>
      <c r="P79" s="361">
        <f>Rounding!P174</f>
        <v>0</v>
      </c>
      <c r="Q79" s="361">
        <f>Rounding!Q174</f>
        <v>0</v>
      </c>
      <c r="R79" s="361">
        <f>Rounding!R174</f>
        <v>0.10199999999999999</v>
      </c>
      <c r="S79" s="361">
        <f>Rounding!S174</f>
        <v>0.10199999999999999</v>
      </c>
      <c r="T79" s="361">
        <f>Rounding!T174</f>
        <v>0.10199999999999999</v>
      </c>
      <c r="U79" s="361">
        <f>Rounding!U174</f>
        <v>0.10199999999999999</v>
      </c>
      <c r="V79" s="361">
        <f>Rounding!V174</f>
        <v>0.10199999999999999</v>
      </c>
      <c r="W79" s="361">
        <f>Rounding!W174</f>
        <v>9.0999999999999998E-2</v>
      </c>
      <c r="X79" s="361">
        <f>Rounding!X174</f>
        <v>9.0999999999999998E-2</v>
      </c>
      <c r="Y79" s="361">
        <f>Rounding!Y174</f>
        <v>9.0999999999999998E-2</v>
      </c>
      <c r="Z79" s="361">
        <f>Rounding!Z174</f>
        <v>9.0999999999999998E-2</v>
      </c>
      <c r="AA79" s="361">
        <f>Rounding!AA174</f>
        <v>9.0999999999999998E-2</v>
      </c>
      <c r="AB79" s="361">
        <f>Rounding!AB174</f>
        <v>7.9000000000000001E-2</v>
      </c>
      <c r="AC79" s="361">
        <f>Rounding!AC174</f>
        <v>7.9000000000000001E-2</v>
      </c>
      <c r="AD79" s="361">
        <f>Rounding!AD174</f>
        <v>7.9000000000000001E-2</v>
      </c>
      <c r="AE79" s="361">
        <f>Rounding!AE174</f>
        <v>7.9000000000000001E-2</v>
      </c>
      <c r="AF79" s="361">
        <f>Rounding!AF174</f>
        <v>7.9000000000000001E-2</v>
      </c>
      <c r="AG79" s="361">
        <f>Rounding!AG174</f>
        <v>0</v>
      </c>
      <c r="AH79" s="361">
        <f>Rounding!AH174</f>
        <v>0</v>
      </c>
      <c r="AI79" s="361">
        <f>Rounding!AI174</f>
        <v>0</v>
      </c>
      <c r="AJ79" s="361">
        <f>Rounding!AJ174</f>
        <v>0.22800000000000001</v>
      </c>
      <c r="AK79" s="361">
        <f>Rounding!AK174</f>
        <v>0</v>
      </c>
      <c r="AL79" s="361">
        <f>Rounding!AL174</f>
        <v>0.191</v>
      </c>
      <c r="AM79" s="361">
        <f>Rounding!AM174</f>
        <v>0</v>
      </c>
      <c r="AN79" s="361">
        <f>Rounding!AN174</f>
        <v>0.16600000000000001</v>
      </c>
      <c r="AO79" s="361">
        <f>Rounding!AO174</f>
        <v>0</v>
      </c>
      <c r="AP79" s="349"/>
      <c r="AQ79" s="349"/>
    </row>
    <row r="80" spans="3:43" x14ac:dyDescent="0.25">
      <c r="C80" s="86"/>
      <c r="D80" s="98"/>
      <c r="E80" s="98"/>
      <c r="G80" s="108"/>
      <c r="J80" s="252"/>
      <c r="K80" s="252"/>
      <c r="L80" s="252"/>
      <c r="M80" s="252"/>
      <c r="N80" s="252"/>
      <c r="O80" s="252"/>
      <c r="P80" s="252"/>
      <c r="Q80" s="252"/>
      <c r="R80" s="252"/>
      <c r="S80" s="252"/>
      <c r="T80" s="252"/>
      <c r="U80" s="252"/>
      <c r="V80" s="252"/>
      <c r="W80" s="252"/>
      <c r="X80" s="252"/>
      <c r="Y80" s="252"/>
      <c r="Z80" s="252"/>
      <c r="AA80" s="252"/>
      <c r="AB80" s="252"/>
      <c r="AC80" s="252"/>
      <c r="AD80" s="252"/>
      <c r="AE80" s="252"/>
      <c r="AF80" s="252"/>
      <c r="AG80" s="252"/>
      <c r="AH80" s="252"/>
      <c r="AI80" s="252"/>
      <c r="AJ80" s="252"/>
      <c r="AK80" s="252"/>
      <c r="AL80" s="252"/>
      <c r="AM80" s="252"/>
      <c r="AN80" s="252"/>
      <c r="AO80" s="252"/>
    </row>
    <row r="81" spans="2:43" x14ac:dyDescent="0.25">
      <c r="C81" s="7" t="str">
        <f ca="1">INDEX('Version control'!$H$35:$H$61,MATCH($A$1,'Version control'!$F$35:$F$61,0),1)&amp;"-C: Net revenue components"</f>
        <v>Section 521-C: Net revenue components</v>
      </c>
      <c r="D81" s="7"/>
      <c r="E81" s="7"/>
      <c r="F81" s="7"/>
      <c r="G81" s="7"/>
      <c r="H81" s="7"/>
      <c r="I81" s="7"/>
      <c r="J81" s="242"/>
      <c r="K81" s="242"/>
      <c r="L81" s="242"/>
      <c r="M81" s="242"/>
      <c r="N81" s="242"/>
      <c r="O81" s="242"/>
      <c r="P81" s="242"/>
      <c r="Q81" s="242"/>
      <c r="R81" s="242"/>
      <c r="S81" s="242"/>
      <c r="T81" s="242"/>
      <c r="U81" s="242"/>
      <c r="V81" s="242"/>
      <c r="W81" s="242"/>
      <c r="X81" s="242"/>
      <c r="Y81" s="242"/>
      <c r="Z81" s="242"/>
      <c r="AA81" s="242"/>
      <c r="AB81" s="242"/>
      <c r="AC81" s="242"/>
      <c r="AD81" s="242"/>
      <c r="AE81" s="242"/>
      <c r="AF81" s="242"/>
      <c r="AG81" s="242"/>
      <c r="AH81" s="242"/>
      <c r="AI81" s="242"/>
      <c r="AJ81" s="242"/>
      <c r="AK81" s="242"/>
      <c r="AL81" s="242"/>
      <c r="AM81" s="242"/>
      <c r="AN81" s="242"/>
      <c r="AO81" s="242"/>
      <c r="AP81" s="7"/>
      <c r="AQ81" s="7"/>
    </row>
    <row r="82" spans="2:43" x14ac:dyDescent="0.25">
      <c r="D82" s="96"/>
      <c r="J82" s="252"/>
      <c r="K82" s="252"/>
      <c r="L82" s="252"/>
      <c r="M82" s="252"/>
      <c r="N82" s="252"/>
      <c r="O82" s="252"/>
      <c r="P82" s="252"/>
      <c r="Q82" s="252"/>
      <c r="R82" s="252"/>
      <c r="S82" s="252"/>
      <c r="T82" s="252"/>
      <c r="U82" s="252"/>
      <c r="V82" s="252"/>
      <c r="W82" s="252"/>
      <c r="X82" s="252"/>
      <c r="Y82" s="252"/>
      <c r="Z82" s="252"/>
      <c r="AA82" s="252"/>
      <c r="AB82" s="252"/>
      <c r="AC82" s="252"/>
      <c r="AD82" s="252"/>
      <c r="AE82" s="252"/>
      <c r="AF82" s="252"/>
      <c r="AG82" s="252"/>
      <c r="AH82" s="252"/>
      <c r="AI82" s="252"/>
      <c r="AJ82" s="252"/>
      <c r="AK82" s="252"/>
      <c r="AL82" s="252"/>
      <c r="AM82" s="252"/>
      <c r="AN82" s="252"/>
      <c r="AO82" s="252"/>
    </row>
    <row r="83" spans="2:43" x14ac:dyDescent="0.25">
      <c r="E83" s="293" t="s">
        <v>184</v>
      </c>
      <c r="G83" s="108" t="s">
        <v>107</v>
      </c>
      <c r="H83" s="273">
        <f>'General inputs'!$H$91</f>
        <v>612226791.48677313</v>
      </c>
      <c r="J83" s="233"/>
      <c r="K83" s="233"/>
      <c r="L83" s="233"/>
      <c r="M83" s="233"/>
      <c r="N83" s="233"/>
      <c r="O83" s="233"/>
      <c r="P83" s="233"/>
      <c r="Q83" s="233"/>
      <c r="R83" s="233"/>
      <c r="S83" s="233"/>
      <c r="T83" s="233"/>
      <c r="U83" s="233"/>
      <c r="V83" s="233"/>
      <c r="W83" s="233"/>
      <c r="X83" s="233"/>
      <c r="Y83" s="233"/>
      <c r="Z83" s="233"/>
      <c r="AA83" s="233"/>
      <c r="AB83" s="233"/>
      <c r="AC83" s="233"/>
      <c r="AD83" s="233"/>
      <c r="AE83" s="233"/>
      <c r="AF83" s="233"/>
      <c r="AG83" s="233"/>
      <c r="AH83" s="233"/>
      <c r="AI83" s="233"/>
      <c r="AJ83" s="233"/>
      <c r="AK83" s="233"/>
      <c r="AL83" s="233"/>
      <c r="AM83" s="233"/>
      <c r="AN83" s="233"/>
      <c r="AO83" s="233"/>
    </row>
    <row r="84" spans="2:43" x14ac:dyDescent="0.25">
      <c r="G84" s="108"/>
      <c r="H84" s="273"/>
      <c r="J84" s="233"/>
      <c r="K84" s="233"/>
      <c r="L84" s="233"/>
      <c r="M84" s="233"/>
      <c r="N84" s="233"/>
      <c r="O84" s="233"/>
      <c r="P84" s="233"/>
      <c r="Q84" s="233"/>
      <c r="R84" s="233"/>
      <c r="S84" s="233"/>
      <c r="T84" s="233"/>
      <c r="U84" s="233"/>
      <c r="V84" s="233"/>
      <c r="W84" s="233"/>
      <c r="X84" s="233"/>
      <c r="Y84" s="233"/>
      <c r="Z84" s="233"/>
      <c r="AA84" s="233"/>
      <c r="AB84" s="233"/>
      <c r="AC84" s="233"/>
      <c r="AD84" s="233"/>
      <c r="AE84" s="233"/>
      <c r="AF84" s="233"/>
      <c r="AG84" s="233"/>
      <c r="AH84" s="233"/>
      <c r="AI84" s="233"/>
      <c r="AJ84" s="233"/>
      <c r="AK84" s="233"/>
      <c r="AL84" s="233"/>
      <c r="AM84" s="233"/>
      <c r="AN84" s="233"/>
      <c r="AO84" s="233"/>
    </row>
    <row r="85" spans="2:43" x14ac:dyDescent="0.25">
      <c r="E85" s="293" t="s">
        <v>614</v>
      </c>
      <c r="G85" s="108" t="s">
        <v>107</v>
      </c>
      <c r="H85" s="273">
        <f>'Revenue matching'!H83</f>
        <v>485469032.89714849</v>
      </c>
      <c r="J85" s="233"/>
      <c r="K85" s="233"/>
      <c r="L85" s="233"/>
      <c r="M85" s="233"/>
      <c r="N85" s="233"/>
      <c r="O85" s="233"/>
      <c r="P85" s="233"/>
      <c r="Q85" s="233"/>
      <c r="R85" s="233"/>
      <c r="S85" s="233"/>
      <c r="T85" s="233"/>
      <c r="U85" s="233"/>
      <c r="V85" s="233"/>
      <c r="W85" s="233"/>
      <c r="X85" s="233"/>
      <c r="Y85" s="233"/>
      <c r="Z85" s="233"/>
      <c r="AA85" s="233"/>
      <c r="AB85" s="233"/>
      <c r="AC85" s="233"/>
      <c r="AD85" s="233"/>
      <c r="AE85" s="233"/>
      <c r="AF85" s="233"/>
      <c r="AG85" s="233"/>
      <c r="AH85" s="233"/>
      <c r="AI85" s="233"/>
      <c r="AJ85" s="233"/>
      <c r="AK85" s="233"/>
      <c r="AL85" s="233"/>
      <c r="AM85" s="233"/>
      <c r="AN85" s="233"/>
      <c r="AO85" s="233"/>
    </row>
    <row r="86" spans="2:43" x14ac:dyDescent="0.25">
      <c r="E86" s="293" t="s">
        <v>986</v>
      </c>
      <c r="G86" s="108" t="s">
        <v>107</v>
      </c>
      <c r="H86" s="272">
        <f>'SoLR &amp; bad debt adders'!H57</f>
        <v>3108877.3592610648</v>
      </c>
      <c r="J86" s="233"/>
      <c r="K86" s="233"/>
      <c r="L86" s="233"/>
      <c r="M86" s="233"/>
      <c r="N86" s="233"/>
      <c r="O86" s="233"/>
      <c r="P86" s="233"/>
      <c r="Q86" s="233"/>
      <c r="R86" s="233"/>
      <c r="S86" s="233"/>
      <c r="T86" s="233"/>
      <c r="U86" s="233"/>
      <c r="V86" s="233"/>
      <c r="W86" s="233"/>
      <c r="X86" s="233"/>
      <c r="Y86" s="233"/>
      <c r="Z86" s="233"/>
      <c r="AA86" s="233"/>
      <c r="AB86" s="233"/>
      <c r="AC86" s="233"/>
      <c r="AD86" s="233"/>
      <c r="AE86" s="233"/>
      <c r="AF86" s="233"/>
      <c r="AG86" s="233"/>
      <c r="AH86" s="233"/>
      <c r="AI86" s="233"/>
      <c r="AJ86" s="233"/>
      <c r="AK86" s="233"/>
      <c r="AL86" s="233"/>
      <c r="AM86" s="233"/>
      <c r="AN86" s="233"/>
      <c r="AO86" s="233"/>
    </row>
    <row r="87" spans="2:43" x14ac:dyDescent="0.25">
      <c r="E87" s="293" t="s">
        <v>987</v>
      </c>
      <c r="G87" s="108" t="s">
        <v>107</v>
      </c>
      <c r="H87" s="272">
        <f>'SoLR &amp; bad debt adders'!H61</f>
        <v>13.235972448889127</v>
      </c>
      <c r="J87" s="233"/>
      <c r="K87" s="233"/>
      <c r="L87" s="233"/>
      <c r="M87" s="233"/>
      <c r="N87" s="233"/>
      <c r="O87" s="233"/>
      <c r="P87" s="233"/>
      <c r="Q87" s="233"/>
      <c r="R87" s="233"/>
      <c r="S87" s="233"/>
      <c r="T87" s="233"/>
      <c r="U87" s="233"/>
      <c r="V87" s="233"/>
      <c r="W87" s="233"/>
      <c r="X87" s="233"/>
      <c r="Y87" s="233"/>
      <c r="Z87" s="233"/>
      <c r="AA87" s="233"/>
      <c r="AB87" s="233"/>
      <c r="AC87" s="233"/>
      <c r="AD87" s="233"/>
      <c r="AE87" s="233"/>
      <c r="AF87" s="233"/>
      <c r="AG87" s="233"/>
      <c r="AH87" s="233"/>
      <c r="AI87" s="233"/>
      <c r="AJ87" s="233"/>
      <c r="AK87" s="233"/>
      <c r="AL87" s="233"/>
      <c r="AM87" s="233"/>
      <c r="AN87" s="233"/>
      <c r="AO87" s="233"/>
    </row>
    <row r="88" spans="2:43" x14ac:dyDescent="0.25">
      <c r="E88" s="293" t="s">
        <v>1218</v>
      </c>
      <c r="G88" s="108" t="s">
        <v>107</v>
      </c>
      <c r="H88" s="272">
        <f>'Revenue matching'!H85</f>
        <v>123648867.99439108</v>
      </c>
      <c r="J88" s="233"/>
      <c r="K88" s="233"/>
      <c r="L88" s="233"/>
      <c r="M88" s="233"/>
      <c r="N88" s="233"/>
      <c r="O88" s="233"/>
      <c r="P88" s="233"/>
      <c r="Q88" s="233"/>
      <c r="R88" s="233"/>
      <c r="S88" s="233"/>
      <c r="T88" s="233"/>
      <c r="U88" s="233"/>
      <c r="V88" s="233"/>
      <c r="W88" s="233"/>
      <c r="X88" s="233"/>
      <c r="Y88" s="233"/>
      <c r="Z88" s="233"/>
      <c r="AA88" s="233"/>
      <c r="AB88" s="233"/>
      <c r="AC88" s="233"/>
      <c r="AD88" s="233"/>
      <c r="AE88" s="233"/>
      <c r="AF88" s="233"/>
      <c r="AG88" s="233"/>
      <c r="AH88" s="233"/>
      <c r="AI88" s="233"/>
      <c r="AJ88" s="233"/>
      <c r="AK88" s="233"/>
      <c r="AL88" s="233"/>
      <c r="AM88" s="233"/>
      <c r="AN88" s="233"/>
      <c r="AO88" s="233"/>
    </row>
    <row r="89" spans="2:43" x14ac:dyDescent="0.25">
      <c r="D89" s="96"/>
      <c r="H89" s="252"/>
      <c r="J89" s="252"/>
      <c r="K89" s="252"/>
      <c r="L89" s="252"/>
      <c r="M89" s="252"/>
      <c r="N89" s="252"/>
      <c r="O89" s="252"/>
      <c r="P89" s="252"/>
      <c r="Q89" s="252"/>
      <c r="R89" s="252"/>
      <c r="S89" s="252"/>
      <c r="T89" s="252"/>
      <c r="U89" s="252"/>
      <c r="V89" s="252"/>
      <c r="W89" s="252"/>
      <c r="X89" s="252"/>
      <c r="Y89" s="252"/>
      <c r="Z89" s="252"/>
      <c r="AA89" s="252"/>
      <c r="AB89" s="252"/>
      <c r="AC89" s="252"/>
      <c r="AD89" s="252"/>
      <c r="AE89" s="252"/>
      <c r="AF89" s="252"/>
      <c r="AG89" s="252"/>
      <c r="AH89" s="252"/>
      <c r="AI89" s="252"/>
      <c r="AJ89" s="252"/>
      <c r="AK89" s="252"/>
      <c r="AL89" s="252"/>
      <c r="AM89" s="252"/>
      <c r="AN89" s="252"/>
      <c r="AO89" s="252"/>
    </row>
    <row r="90" spans="2:43" x14ac:dyDescent="0.25">
      <c r="B90" s="95" t="s">
        <v>483</v>
      </c>
      <c r="C90" s="95"/>
      <c r="D90" s="95"/>
      <c r="E90" s="95"/>
      <c r="F90" s="95"/>
      <c r="G90" s="95"/>
      <c r="H90" s="281"/>
      <c r="I90" s="95"/>
      <c r="J90" s="281"/>
      <c r="K90" s="281"/>
      <c r="L90" s="281"/>
      <c r="M90" s="281"/>
      <c r="N90" s="281"/>
      <c r="O90" s="281"/>
      <c r="P90" s="281"/>
      <c r="Q90" s="281"/>
      <c r="R90" s="281"/>
      <c r="S90" s="281"/>
      <c r="T90" s="281"/>
      <c r="U90" s="281"/>
      <c r="V90" s="281"/>
      <c r="W90" s="281"/>
      <c r="X90" s="281"/>
      <c r="Y90" s="281"/>
      <c r="Z90" s="281"/>
      <c r="AA90" s="281"/>
      <c r="AB90" s="281"/>
      <c r="AC90" s="281"/>
      <c r="AD90" s="281"/>
      <c r="AE90" s="281"/>
      <c r="AF90" s="281"/>
      <c r="AG90" s="281"/>
      <c r="AH90" s="281"/>
      <c r="AI90" s="281"/>
      <c r="AJ90" s="281"/>
      <c r="AK90" s="281"/>
      <c r="AL90" s="281"/>
      <c r="AM90" s="281"/>
      <c r="AN90" s="281"/>
      <c r="AO90" s="281"/>
      <c r="AP90" s="95"/>
      <c r="AQ90" s="95"/>
    </row>
    <row r="91" spans="2:43" x14ac:dyDescent="0.25">
      <c r="D91" s="98"/>
      <c r="E91" s="98"/>
      <c r="H91" s="252"/>
      <c r="J91" s="252"/>
      <c r="K91" s="252"/>
      <c r="L91" s="252"/>
      <c r="M91" s="252"/>
      <c r="N91" s="252"/>
      <c r="O91" s="252"/>
      <c r="P91" s="252"/>
      <c r="Q91" s="252"/>
      <c r="R91" s="252"/>
      <c r="S91" s="252"/>
      <c r="T91" s="252"/>
      <c r="U91" s="252"/>
      <c r="V91" s="252"/>
      <c r="W91" s="252"/>
      <c r="X91" s="252"/>
      <c r="Y91" s="252"/>
      <c r="Z91" s="252"/>
      <c r="AA91" s="252"/>
      <c r="AB91" s="252"/>
      <c r="AC91" s="252"/>
      <c r="AD91" s="252"/>
      <c r="AE91" s="252"/>
      <c r="AF91" s="252"/>
      <c r="AG91" s="252"/>
      <c r="AH91" s="252"/>
      <c r="AI91" s="252"/>
      <c r="AJ91" s="252"/>
      <c r="AK91" s="252"/>
      <c r="AL91" s="252"/>
      <c r="AM91" s="252"/>
      <c r="AN91" s="252"/>
      <c r="AO91" s="252"/>
    </row>
    <row r="92" spans="2:43" x14ac:dyDescent="0.25">
      <c r="C92" s="7" t="str">
        <f ca="1">INDEX('Version control'!$H$35:$H$61,MATCH($A$1,'Version control'!$F$35:$F$61,0),1)&amp;"-D: Net revenue by tariff"</f>
        <v>Section 521-D: Net revenue by tariff</v>
      </c>
      <c r="D92" s="7"/>
      <c r="E92" s="7"/>
      <c r="F92" s="7"/>
      <c r="G92" s="7"/>
      <c r="H92" s="242"/>
      <c r="I92" s="7"/>
      <c r="J92" s="242"/>
      <c r="K92" s="242"/>
      <c r="L92" s="242"/>
      <c r="M92" s="242"/>
      <c r="N92" s="242"/>
      <c r="O92" s="242"/>
      <c r="P92" s="242"/>
      <c r="Q92" s="242"/>
      <c r="R92" s="242"/>
      <c r="S92" s="242"/>
      <c r="T92" s="242"/>
      <c r="U92" s="242"/>
      <c r="V92" s="242"/>
      <c r="W92" s="242"/>
      <c r="X92" s="242"/>
      <c r="Y92" s="242"/>
      <c r="Z92" s="242"/>
      <c r="AA92" s="242"/>
      <c r="AB92" s="242"/>
      <c r="AC92" s="242"/>
      <c r="AD92" s="242"/>
      <c r="AE92" s="242"/>
      <c r="AF92" s="242"/>
      <c r="AG92" s="242"/>
      <c r="AH92" s="242"/>
      <c r="AI92" s="242"/>
      <c r="AJ92" s="242"/>
      <c r="AK92" s="242"/>
      <c r="AL92" s="242"/>
      <c r="AM92" s="242"/>
      <c r="AN92" s="242"/>
      <c r="AO92" s="242"/>
      <c r="AP92" s="7"/>
      <c r="AQ92" s="7"/>
    </row>
    <row r="93" spans="2:43" x14ac:dyDescent="0.25">
      <c r="F93" s="88"/>
      <c r="G93" s="168"/>
      <c r="H93" s="276"/>
      <c r="I93" s="88"/>
      <c r="J93" s="252"/>
      <c r="K93" s="252"/>
      <c r="L93" s="252"/>
      <c r="M93" s="252"/>
      <c r="N93" s="252"/>
      <c r="O93" s="252"/>
      <c r="P93" s="252"/>
      <c r="Q93" s="252"/>
      <c r="R93" s="252"/>
      <c r="S93" s="252"/>
      <c r="T93" s="252"/>
      <c r="U93" s="252"/>
      <c r="V93" s="252"/>
      <c r="W93" s="252"/>
      <c r="X93" s="252"/>
      <c r="Y93" s="252"/>
      <c r="Z93" s="252"/>
      <c r="AA93" s="252"/>
      <c r="AB93" s="252"/>
      <c r="AC93" s="252"/>
      <c r="AD93" s="252"/>
      <c r="AE93" s="252"/>
      <c r="AF93" s="252"/>
      <c r="AG93" s="252"/>
      <c r="AH93" s="252"/>
      <c r="AI93" s="252"/>
      <c r="AJ93" s="252"/>
      <c r="AK93" s="252"/>
      <c r="AL93" s="252"/>
      <c r="AM93" s="252"/>
      <c r="AN93" s="252"/>
      <c r="AO93" s="252"/>
    </row>
    <row r="94" spans="2:43" x14ac:dyDescent="0.25">
      <c r="E94" s="96" t="s">
        <v>904</v>
      </c>
      <c r="G94" s="108"/>
      <c r="H94" s="285" t="s">
        <v>215</v>
      </c>
      <c r="J94" s="252"/>
      <c r="K94" s="252"/>
      <c r="L94" s="252"/>
      <c r="M94" s="252"/>
      <c r="N94" s="252"/>
      <c r="O94" s="252"/>
      <c r="P94" s="252"/>
      <c r="Q94" s="252"/>
      <c r="R94" s="252"/>
      <c r="S94" s="252"/>
      <c r="T94" s="252"/>
      <c r="U94" s="252"/>
      <c r="V94" s="252"/>
      <c r="W94" s="252"/>
      <c r="X94" s="252"/>
      <c r="Y94" s="252"/>
      <c r="Z94" s="252"/>
      <c r="AA94" s="252"/>
      <c r="AB94" s="252"/>
      <c r="AC94" s="252"/>
      <c r="AD94" s="252"/>
      <c r="AE94" s="252"/>
      <c r="AF94" s="252"/>
      <c r="AG94" s="252"/>
      <c r="AH94" s="252"/>
      <c r="AI94" s="252"/>
      <c r="AJ94" s="252"/>
      <c r="AK94" s="252"/>
      <c r="AL94" s="252"/>
      <c r="AM94" s="252"/>
      <c r="AN94" s="252"/>
      <c r="AO94" s="252"/>
    </row>
    <row r="95" spans="2:43" x14ac:dyDescent="0.25">
      <c r="E95" s="14"/>
      <c r="F95" s="91" t="s">
        <v>134</v>
      </c>
      <c r="G95" s="129" t="s">
        <v>107</v>
      </c>
      <c r="H95" s="267">
        <f t="shared" ref="H95:H101" si="0">SUM(J95:AO95)</f>
        <v>197648599.00448802</v>
      </c>
      <c r="I95" s="91"/>
      <c r="J95" s="267">
        <f t="shared" ref="J95:AO95" si="1">J22 * thousand * J55 / hundred</f>
        <v>130664297.93241011</v>
      </c>
      <c r="K95" s="267">
        <f t="shared" si="1"/>
        <v>30276.905709617611</v>
      </c>
      <c r="L95" s="267">
        <f t="shared" si="1"/>
        <v>1339.5753178216148</v>
      </c>
      <c r="M95" s="267">
        <f t="shared" si="1"/>
        <v>1670193.4230027909</v>
      </c>
      <c r="N95" s="267">
        <f t="shared" si="1"/>
        <v>4122626.6656452622</v>
      </c>
      <c r="O95" s="267">
        <f t="shared" si="1"/>
        <v>4946410.4650219996</v>
      </c>
      <c r="P95" s="267">
        <f t="shared" si="1"/>
        <v>12449257.579226406</v>
      </c>
      <c r="Q95" s="267">
        <f t="shared" si="1"/>
        <v>41808.771031645454</v>
      </c>
      <c r="R95" s="267">
        <f t="shared" si="1"/>
        <v>5768.5571551386411</v>
      </c>
      <c r="S95" s="267">
        <f t="shared" si="1"/>
        <v>5751026.2611705568</v>
      </c>
      <c r="T95" s="267">
        <f t="shared" si="1"/>
        <v>5462829.6017824458</v>
      </c>
      <c r="U95" s="267">
        <f t="shared" si="1"/>
        <v>4500676.6391695114</v>
      </c>
      <c r="V95" s="267">
        <f t="shared" si="1"/>
        <v>14806767.504090128</v>
      </c>
      <c r="W95" s="267">
        <f t="shared" si="1"/>
        <v>0</v>
      </c>
      <c r="X95" s="267">
        <f t="shared" si="1"/>
        <v>5422.5811868985847</v>
      </c>
      <c r="Y95" s="267">
        <f t="shared" si="1"/>
        <v>68767.217854738759</v>
      </c>
      <c r="Z95" s="267">
        <f t="shared" si="1"/>
        <v>84864.239004923686</v>
      </c>
      <c r="AA95" s="267">
        <f t="shared" si="1"/>
        <v>1129016.7833422136</v>
      </c>
      <c r="AB95" s="267">
        <f t="shared" si="1"/>
        <v>8989.5630950676386</v>
      </c>
      <c r="AC95" s="267">
        <f t="shared" si="1"/>
        <v>918384.80456191313</v>
      </c>
      <c r="AD95" s="267">
        <f t="shared" si="1"/>
        <v>3185428.7563904007</v>
      </c>
      <c r="AE95" s="267">
        <f t="shared" si="1"/>
        <v>2528320.1874552183</v>
      </c>
      <c r="AF95" s="267">
        <f t="shared" si="1"/>
        <v>6713872.4729170585</v>
      </c>
      <c r="AG95" s="267">
        <f t="shared" si="1"/>
        <v>2261551.7191324397</v>
      </c>
      <c r="AH95" s="267">
        <f t="shared" si="1"/>
        <v>-39384.260716807752</v>
      </c>
      <c r="AI95" s="267">
        <f t="shared" si="1"/>
        <v>-1343.5751248600986</v>
      </c>
      <c r="AJ95" s="267">
        <f t="shared" si="1"/>
        <v>-202571.05082120423</v>
      </c>
      <c r="AK95" s="267">
        <f t="shared" si="1"/>
        <v>0</v>
      </c>
      <c r="AL95" s="267">
        <f t="shared" si="1"/>
        <v>0</v>
      </c>
      <c r="AM95" s="267">
        <f t="shared" si="1"/>
        <v>0</v>
      </c>
      <c r="AN95" s="267">
        <f t="shared" si="1"/>
        <v>-3466000.3145233728</v>
      </c>
      <c r="AO95" s="267">
        <f t="shared" si="1"/>
        <v>0</v>
      </c>
    </row>
    <row r="96" spans="2:43" x14ac:dyDescent="0.25">
      <c r="E96" s="14"/>
      <c r="F96" s="293" t="s">
        <v>135</v>
      </c>
      <c r="G96" s="108" t="s">
        <v>107</v>
      </c>
      <c r="H96" s="275">
        <f t="shared" si="0"/>
        <v>120011479.92296873</v>
      </c>
      <c r="J96" s="275">
        <f t="shared" ref="J96:AO96" si="2">J23 * thousand * J56 / hundred</f>
        <v>74759890.759853765</v>
      </c>
      <c r="K96" s="275">
        <f t="shared" si="2"/>
        <v>481119.60988906719</v>
      </c>
      <c r="L96" s="275">
        <f t="shared" si="2"/>
        <v>1092.6554249880869</v>
      </c>
      <c r="M96" s="275">
        <f t="shared" si="2"/>
        <v>1362331.6883675531</v>
      </c>
      <c r="N96" s="275">
        <f t="shared" si="2"/>
        <v>3362715.2810960514</v>
      </c>
      <c r="O96" s="275">
        <f t="shared" si="2"/>
        <v>4034653.488251159</v>
      </c>
      <c r="P96" s="275">
        <f t="shared" si="2"/>
        <v>10154523.340379439</v>
      </c>
      <c r="Q96" s="275">
        <f t="shared" si="2"/>
        <v>78292.083146950288</v>
      </c>
      <c r="R96" s="275">
        <f t="shared" si="2"/>
        <v>3680.9456875422275</v>
      </c>
      <c r="S96" s="275">
        <f t="shared" si="2"/>
        <v>3669759.1348540746</v>
      </c>
      <c r="T96" s="275">
        <f t="shared" si="2"/>
        <v>3485859.379333104</v>
      </c>
      <c r="U96" s="275">
        <f t="shared" si="2"/>
        <v>2871904.6757152039</v>
      </c>
      <c r="V96" s="275">
        <f t="shared" si="2"/>
        <v>9448273.7233641967</v>
      </c>
      <c r="W96" s="275">
        <f t="shared" si="2"/>
        <v>0</v>
      </c>
      <c r="X96" s="275">
        <f t="shared" si="2"/>
        <v>2262.7360699902874</v>
      </c>
      <c r="Y96" s="275">
        <f t="shared" si="2"/>
        <v>28695.202323341007</v>
      </c>
      <c r="Z96" s="275">
        <f t="shared" si="2"/>
        <v>35412.171442018611</v>
      </c>
      <c r="AA96" s="275">
        <f t="shared" si="2"/>
        <v>471116.41324340663</v>
      </c>
      <c r="AB96" s="275">
        <f t="shared" si="2"/>
        <v>9406.5367086389615</v>
      </c>
      <c r="AC96" s="275">
        <f t="shared" si="2"/>
        <v>347915.44460699888</v>
      </c>
      <c r="AD96" s="275">
        <f t="shared" si="2"/>
        <v>1206748.9101936379</v>
      </c>
      <c r="AE96" s="275">
        <f t="shared" si="2"/>
        <v>957813.80283936486</v>
      </c>
      <c r="AF96" s="275">
        <f t="shared" si="2"/>
        <v>2543443.570545441</v>
      </c>
      <c r="AG96" s="275">
        <f t="shared" si="2"/>
        <v>2617908.9617352821</v>
      </c>
      <c r="AH96" s="275">
        <f t="shared" si="2"/>
        <v>-40045.614598554675</v>
      </c>
      <c r="AI96" s="275">
        <f t="shared" si="2"/>
        <v>-1237.6756403044481</v>
      </c>
      <c r="AJ96" s="275">
        <f t="shared" si="2"/>
        <v>-246427.42660230387</v>
      </c>
      <c r="AK96" s="275">
        <f t="shared" si="2"/>
        <v>0</v>
      </c>
      <c r="AL96" s="275">
        <f t="shared" si="2"/>
        <v>0</v>
      </c>
      <c r="AM96" s="275">
        <f t="shared" si="2"/>
        <v>0</v>
      </c>
      <c r="AN96" s="275">
        <f t="shared" si="2"/>
        <v>-1635629.8752613617</v>
      </c>
      <c r="AO96" s="275">
        <f t="shared" si="2"/>
        <v>0</v>
      </c>
    </row>
    <row r="97" spans="5:41" x14ac:dyDescent="0.25">
      <c r="E97" s="14"/>
      <c r="F97" s="293" t="s">
        <v>136</v>
      </c>
      <c r="G97" s="108" t="s">
        <v>107</v>
      </c>
      <c r="H97" s="275">
        <f t="shared" si="0"/>
        <v>6095692.5816170089</v>
      </c>
      <c r="J97" s="275">
        <f t="shared" ref="J97:AO97" si="3">J24 * thousand * J57 / hundred</f>
        <v>2005661.2189562246</v>
      </c>
      <c r="K97" s="275">
        <f t="shared" si="3"/>
        <v>57304.465519620913</v>
      </c>
      <c r="L97" s="275">
        <f t="shared" si="3"/>
        <v>23.705865553278116</v>
      </c>
      <c r="M97" s="275">
        <f t="shared" si="3"/>
        <v>29556.666360544274</v>
      </c>
      <c r="N97" s="275">
        <f t="shared" si="3"/>
        <v>72956.281115325968</v>
      </c>
      <c r="O97" s="275">
        <f t="shared" si="3"/>
        <v>87534.414747073053</v>
      </c>
      <c r="P97" s="275">
        <f t="shared" si="3"/>
        <v>220308.94604059108</v>
      </c>
      <c r="Q97" s="275">
        <f t="shared" si="3"/>
        <v>11016.74156378953</v>
      </c>
      <c r="R97" s="275">
        <f t="shared" si="3"/>
        <v>90.380826797931746</v>
      </c>
      <c r="S97" s="275">
        <f t="shared" si="3"/>
        <v>90106.155567547787</v>
      </c>
      <c r="T97" s="275">
        <f t="shared" si="3"/>
        <v>85590.736606552266</v>
      </c>
      <c r="U97" s="275">
        <f t="shared" si="3"/>
        <v>70515.878556550568</v>
      </c>
      <c r="V97" s="275">
        <f t="shared" si="3"/>
        <v>231990.05457236402</v>
      </c>
      <c r="W97" s="275">
        <f t="shared" si="3"/>
        <v>0</v>
      </c>
      <c r="X97" s="275">
        <f t="shared" si="3"/>
        <v>59.643435710964951</v>
      </c>
      <c r="Y97" s="275">
        <f t="shared" si="3"/>
        <v>756.37652914273281</v>
      </c>
      <c r="Z97" s="275">
        <f t="shared" si="3"/>
        <v>933.42904583510347</v>
      </c>
      <c r="AA97" s="275">
        <f t="shared" si="3"/>
        <v>12418.152465207369</v>
      </c>
      <c r="AB97" s="275">
        <f t="shared" si="3"/>
        <v>324.95870173557228</v>
      </c>
      <c r="AC97" s="275">
        <f t="shared" si="3"/>
        <v>9933.6297696926322</v>
      </c>
      <c r="AD97" s="275">
        <f t="shared" si="3"/>
        <v>34454.914504828856</v>
      </c>
      <c r="AE97" s="275">
        <f t="shared" si="3"/>
        <v>27347.35652927155</v>
      </c>
      <c r="AF97" s="275">
        <f t="shared" si="3"/>
        <v>72620.020644508229</v>
      </c>
      <c r="AG97" s="275">
        <f t="shared" si="3"/>
        <v>3011532.7031748593</v>
      </c>
      <c r="AH97" s="275">
        <f t="shared" si="3"/>
        <v>-261.20846855519426</v>
      </c>
      <c r="AI97" s="275">
        <f t="shared" si="3"/>
        <v>-8.3490313719034059</v>
      </c>
      <c r="AJ97" s="275">
        <f t="shared" si="3"/>
        <v>-3150.9623024638418</v>
      </c>
      <c r="AK97" s="275">
        <f t="shared" si="3"/>
        <v>0</v>
      </c>
      <c r="AL97" s="275">
        <f t="shared" si="3"/>
        <v>0</v>
      </c>
      <c r="AM97" s="275">
        <f t="shared" si="3"/>
        <v>0</v>
      </c>
      <c r="AN97" s="275">
        <f t="shared" si="3"/>
        <v>-33923.72967992747</v>
      </c>
      <c r="AO97" s="275">
        <f t="shared" si="3"/>
        <v>0</v>
      </c>
    </row>
    <row r="98" spans="5:41" x14ac:dyDescent="0.25">
      <c r="E98" s="14"/>
      <c r="F98" s="91" t="s">
        <v>254</v>
      </c>
      <c r="G98" s="129" t="s">
        <v>107</v>
      </c>
      <c r="H98" s="267">
        <f t="shared" si="0"/>
        <v>185601322.21567768</v>
      </c>
      <c r="I98" s="91"/>
      <c r="J98" s="267">
        <f t="shared" ref="J98:AO98" si="4" xml:space="preserve"> J25 * J58 * days_in_year / hundred</f>
        <v>113516850.86846261</v>
      </c>
      <c r="K98" s="267">
        <f t="shared" si="4"/>
        <v>0</v>
      </c>
      <c r="L98" s="267">
        <f t="shared" si="4"/>
        <v>251.74237682888881</v>
      </c>
      <c r="M98" s="267">
        <f t="shared" si="4"/>
        <v>3852079.9256038601</v>
      </c>
      <c r="N98" s="267">
        <f t="shared" si="4"/>
        <v>4766635.2448048657</v>
      </c>
      <c r="O98" s="267">
        <f t="shared" si="4"/>
        <v>4329066.7776205428</v>
      </c>
      <c r="P98" s="267">
        <f t="shared" si="4"/>
        <v>9147817.438574614</v>
      </c>
      <c r="Q98" s="267">
        <f t="shared" si="4"/>
        <v>0</v>
      </c>
      <c r="R98" s="267">
        <f t="shared" si="4"/>
        <v>798.55816548219229</v>
      </c>
      <c r="S98" s="267">
        <f t="shared" si="4"/>
        <v>5233413.800991076</v>
      </c>
      <c r="T98" s="267">
        <f t="shared" si="4"/>
        <v>4735766.8118379274</v>
      </c>
      <c r="U98" s="267">
        <f t="shared" si="4"/>
        <v>3804011.2862916375</v>
      </c>
      <c r="V98" s="267">
        <f t="shared" si="4"/>
        <v>12853242.128101468</v>
      </c>
      <c r="W98" s="267">
        <f t="shared" si="4"/>
        <v>0</v>
      </c>
      <c r="X98" s="267">
        <f t="shared" si="4"/>
        <v>2962.5250615384616</v>
      </c>
      <c r="Y98" s="267">
        <f t="shared" si="4"/>
        <v>36986.025830769227</v>
      </c>
      <c r="Z98" s="267">
        <f t="shared" si="4"/>
        <v>64109.494003846143</v>
      </c>
      <c r="AA98" s="267">
        <f t="shared" si="4"/>
        <v>586687.91923384613</v>
      </c>
      <c r="AB98" s="267">
        <f t="shared" si="4"/>
        <v>54307.065130144729</v>
      </c>
      <c r="AC98" s="267">
        <f t="shared" si="4"/>
        <v>1805497.7407719418</v>
      </c>
      <c r="AD98" s="267">
        <f t="shared" si="4"/>
        <v>5472692.7017784826</v>
      </c>
      <c r="AE98" s="267">
        <f t="shared" si="4"/>
        <v>4194981.5562080704</v>
      </c>
      <c r="AF98" s="267">
        <f t="shared" si="4"/>
        <v>10846749.16357003</v>
      </c>
      <c r="AG98" s="267">
        <f t="shared" si="4"/>
        <v>0</v>
      </c>
      <c r="AH98" s="267">
        <f t="shared" si="4"/>
        <v>0</v>
      </c>
      <c r="AI98" s="267">
        <f t="shared" si="4"/>
        <v>0</v>
      </c>
      <c r="AJ98" s="267">
        <f t="shared" si="4"/>
        <v>0</v>
      </c>
      <c r="AK98" s="267">
        <f t="shared" si="4"/>
        <v>0</v>
      </c>
      <c r="AL98" s="267">
        <f t="shared" si="4"/>
        <v>0</v>
      </c>
      <c r="AM98" s="267">
        <f t="shared" si="4"/>
        <v>0</v>
      </c>
      <c r="AN98" s="267">
        <f t="shared" si="4"/>
        <v>296413.44125806453</v>
      </c>
      <c r="AO98" s="267">
        <f t="shared" si="4"/>
        <v>0</v>
      </c>
    </row>
    <row r="99" spans="5:41" x14ac:dyDescent="0.25">
      <c r="E99" s="14"/>
      <c r="F99" s="293" t="s">
        <v>255</v>
      </c>
      <c r="G99" s="108" t="s">
        <v>107</v>
      </c>
      <c r="H99" s="275">
        <f t="shared" si="0"/>
        <v>89213327.358258128</v>
      </c>
      <c r="J99" s="275">
        <f t="shared" ref="J99:AO99" si="5" xml:space="preserve"> J26 * J59 * days_in_year / hundred</f>
        <v>0</v>
      </c>
      <c r="K99" s="275">
        <f t="shared" si="5"/>
        <v>0</v>
      </c>
      <c r="L99" s="275">
        <f t="shared" si="5"/>
        <v>0</v>
      </c>
      <c r="M99" s="275">
        <f t="shared" si="5"/>
        <v>0</v>
      </c>
      <c r="N99" s="275">
        <f t="shared" si="5"/>
        <v>0</v>
      </c>
      <c r="O99" s="275">
        <f t="shared" si="5"/>
        <v>0</v>
      </c>
      <c r="P99" s="275">
        <f t="shared" si="5"/>
        <v>0</v>
      </c>
      <c r="Q99" s="275">
        <f t="shared" si="5"/>
        <v>0</v>
      </c>
      <c r="R99" s="275">
        <f t="shared" si="5"/>
        <v>8391.3289091138849</v>
      </c>
      <c r="S99" s="275">
        <f t="shared" si="5"/>
        <v>8365827.2986763539</v>
      </c>
      <c r="T99" s="275">
        <f t="shared" si="5"/>
        <v>7946597.1698252866</v>
      </c>
      <c r="U99" s="275">
        <f t="shared" si="5"/>
        <v>6546985.1432769522</v>
      </c>
      <c r="V99" s="275">
        <f t="shared" si="5"/>
        <v>21538913.954751894</v>
      </c>
      <c r="W99" s="275">
        <f t="shared" si="5"/>
        <v>0</v>
      </c>
      <c r="X99" s="275">
        <f t="shared" si="5"/>
        <v>8823.3207921281264</v>
      </c>
      <c r="Y99" s="275">
        <f t="shared" si="5"/>
        <v>111894.17035940243</v>
      </c>
      <c r="Z99" s="275">
        <f t="shared" si="5"/>
        <v>138086.34277885969</v>
      </c>
      <c r="AA99" s="275">
        <f t="shared" si="5"/>
        <v>1837072.9576522016</v>
      </c>
      <c r="AB99" s="275">
        <f t="shared" si="5"/>
        <v>187550.7623375846</v>
      </c>
      <c r="AC99" s="275">
        <f t="shared" si="5"/>
        <v>2926167.2903695614</v>
      </c>
      <c r="AD99" s="275">
        <f t="shared" si="5"/>
        <v>10149446.491766077</v>
      </c>
      <c r="AE99" s="275">
        <f t="shared" si="5"/>
        <v>8055760.2819241118</v>
      </c>
      <c r="AF99" s="275">
        <f t="shared" si="5"/>
        <v>21391810.844838586</v>
      </c>
      <c r="AG99" s="275">
        <f t="shared" si="5"/>
        <v>0</v>
      </c>
      <c r="AH99" s="275">
        <f t="shared" si="5"/>
        <v>0</v>
      </c>
      <c r="AI99" s="275">
        <f t="shared" si="5"/>
        <v>0</v>
      </c>
      <c r="AJ99" s="275">
        <f t="shared" si="5"/>
        <v>0</v>
      </c>
      <c r="AK99" s="275">
        <f t="shared" si="5"/>
        <v>0</v>
      </c>
      <c r="AL99" s="275">
        <f t="shared" si="5"/>
        <v>0</v>
      </c>
      <c r="AM99" s="275">
        <f t="shared" si="5"/>
        <v>0</v>
      </c>
      <c r="AN99" s="275">
        <f t="shared" si="5"/>
        <v>0</v>
      </c>
      <c r="AO99" s="275">
        <f t="shared" si="5"/>
        <v>0</v>
      </c>
    </row>
    <row r="100" spans="5:41" x14ac:dyDescent="0.25">
      <c r="E100" s="14"/>
      <c r="F100" s="293" t="s">
        <v>256</v>
      </c>
      <c r="G100" s="108" t="s">
        <v>107</v>
      </c>
      <c r="H100" s="275">
        <f t="shared" si="0"/>
        <v>1767492.0025880388</v>
      </c>
      <c r="J100" s="275">
        <f t="shared" ref="J100:AO100" si="6" xml:space="preserve"> J27 * J60 * days_in_year / hundred</f>
        <v>0</v>
      </c>
      <c r="K100" s="275">
        <f t="shared" si="6"/>
        <v>0</v>
      </c>
      <c r="L100" s="275">
        <f t="shared" si="6"/>
        <v>0</v>
      </c>
      <c r="M100" s="275">
        <f t="shared" si="6"/>
        <v>0</v>
      </c>
      <c r="N100" s="275">
        <f t="shared" si="6"/>
        <v>0</v>
      </c>
      <c r="O100" s="275">
        <f t="shared" si="6"/>
        <v>0</v>
      </c>
      <c r="P100" s="275">
        <f t="shared" si="6"/>
        <v>0</v>
      </c>
      <c r="Q100" s="275">
        <f t="shared" si="6"/>
        <v>0</v>
      </c>
      <c r="R100" s="275">
        <f t="shared" si="6"/>
        <v>213.83492449283264</v>
      </c>
      <c r="S100" s="275">
        <f t="shared" si="6"/>
        <v>213185.0709354977</v>
      </c>
      <c r="T100" s="275">
        <f t="shared" si="6"/>
        <v>202501.89501438435</v>
      </c>
      <c r="U100" s="275">
        <f t="shared" si="6"/>
        <v>166835.80025659606</v>
      </c>
      <c r="V100" s="275">
        <f t="shared" si="6"/>
        <v>548872.78154114855</v>
      </c>
      <c r="W100" s="275">
        <f t="shared" si="6"/>
        <v>0</v>
      </c>
      <c r="X100" s="275">
        <f t="shared" si="6"/>
        <v>78.759321158424342</v>
      </c>
      <c r="Y100" s="275">
        <f t="shared" si="6"/>
        <v>998.79729035286005</v>
      </c>
      <c r="Z100" s="275">
        <f t="shared" si="6"/>
        <v>1232.5956263785986</v>
      </c>
      <c r="AA100" s="275">
        <f t="shared" si="6"/>
        <v>16398.204539074544</v>
      </c>
      <c r="AB100" s="275">
        <f t="shared" si="6"/>
        <v>383.20659107085413</v>
      </c>
      <c r="AC100" s="275">
        <f t="shared" si="6"/>
        <v>42443.523892426587</v>
      </c>
      <c r="AD100" s="275">
        <f t="shared" si="6"/>
        <v>147215.87384492063</v>
      </c>
      <c r="AE100" s="275">
        <f t="shared" si="6"/>
        <v>116847.33648783455</v>
      </c>
      <c r="AF100" s="275">
        <f t="shared" si="6"/>
        <v>310284.32232270204</v>
      </c>
      <c r="AG100" s="275">
        <f t="shared" si="6"/>
        <v>0</v>
      </c>
      <c r="AH100" s="275">
        <f t="shared" si="6"/>
        <v>0</v>
      </c>
      <c r="AI100" s="275">
        <f t="shared" si="6"/>
        <v>0</v>
      </c>
      <c r="AJ100" s="275">
        <f t="shared" si="6"/>
        <v>0</v>
      </c>
      <c r="AK100" s="275">
        <f t="shared" si="6"/>
        <v>0</v>
      </c>
      <c r="AL100" s="275">
        <f t="shared" si="6"/>
        <v>0</v>
      </c>
      <c r="AM100" s="275">
        <f t="shared" si="6"/>
        <v>0</v>
      </c>
      <c r="AN100" s="275">
        <f t="shared" si="6"/>
        <v>0</v>
      </c>
      <c r="AO100" s="275">
        <f t="shared" si="6"/>
        <v>0</v>
      </c>
    </row>
    <row r="101" spans="5:41" x14ac:dyDescent="0.25">
      <c r="E101" s="14"/>
      <c r="F101" s="91" t="s">
        <v>257</v>
      </c>
      <c r="G101" s="129" t="s">
        <v>107</v>
      </c>
      <c r="H101" s="267">
        <f t="shared" si="0"/>
        <v>1313045.2331867011</v>
      </c>
      <c r="I101" s="91"/>
      <c r="J101" s="267">
        <f t="shared" ref="J101:AO101" si="7">J28 * thousand * J61 / hundred</f>
        <v>0</v>
      </c>
      <c r="K101" s="267">
        <f t="shared" si="7"/>
        <v>0</v>
      </c>
      <c r="L101" s="267">
        <f t="shared" si="7"/>
        <v>0</v>
      </c>
      <c r="M101" s="267">
        <f t="shared" si="7"/>
        <v>0</v>
      </c>
      <c r="N101" s="267">
        <f t="shared" si="7"/>
        <v>0</v>
      </c>
      <c r="O101" s="267">
        <f t="shared" si="7"/>
        <v>0</v>
      </c>
      <c r="P101" s="267">
        <f t="shared" si="7"/>
        <v>0</v>
      </c>
      <c r="Q101" s="267">
        <f t="shared" si="7"/>
        <v>0</v>
      </c>
      <c r="R101" s="267">
        <f t="shared" si="7"/>
        <v>174.42023100647765</v>
      </c>
      <c r="S101" s="267">
        <f t="shared" si="7"/>
        <v>173890.16040243779</v>
      </c>
      <c r="T101" s="267">
        <f t="shared" si="7"/>
        <v>165176.13945163705</v>
      </c>
      <c r="U101" s="267">
        <f t="shared" si="7"/>
        <v>136084.12606090179</v>
      </c>
      <c r="V101" s="267">
        <f t="shared" si="7"/>
        <v>447702.90716839343</v>
      </c>
      <c r="W101" s="267">
        <f t="shared" si="7"/>
        <v>0</v>
      </c>
      <c r="X101" s="267">
        <f t="shared" si="7"/>
        <v>120.60235115950876</v>
      </c>
      <c r="Y101" s="267">
        <f t="shared" si="7"/>
        <v>1529.4354976219468</v>
      </c>
      <c r="Z101" s="267">
        <f t="shared" si="7"/>
        <v>1887.445554173443</v>
      </c>
      <c r="AA101" s="267">
        <f t="shared" si="7"/>
        <v>25110.196394771508</v>
      </c>
      <c r="AB101" s="267">
        <f t="shared" si="7"/>
        <v>403.3411410896814</v>
      </c>
      <c r="AC101" s="267">
        <f t="shared" si="7"/>
        <v>19641.149500095518</v>
      </c>
      <c r="AD101" s="267">
        <f t="shared" si="7"/>
        <v>68125.563614929517</v>
      </c>
      <c r="AE101" s="267">
        <f t="shared" si="7"/>
        <v>54072.230441144769</v>
      </c>
      <c r="AF101" s="267">
        <f t="shared" si="7"/>
        <v>143587.05883427977</v>
      </c>
      <c r="AG101" s="267">
        <f t="shared" si="7"/>
        <v>0</v>
      </c>
      <c r="AH101" s="267">
        <f t="shared" si="7"/>
        <v>0</v>
      </c>
      <c r="AI101" s="267">
        <f t="shared" si="7"/>
        <v>0</v>
      </c>
      <c r="AJ101" s="267">
        <f t="shared" si="7"/>
        <v>12509.750350496897</v>
      </c>
      <c r="AK101" s="267">
        <f t="shared" si="7"/>
        <v>0</v>
      </c>
      <c r="AL101" s="267">
        <f t="shared" si="7"/>
        <v>0</v>
      </c>
      <c r="AM101" s="267">
        <f t="shared" si="7"/>
        <v>0</v>
      </c>
      <c r="AN101" s="267">
        <f t="shared" si="7"/>
        <v>63030.706192561986</v>
      </c>
      <c r="AO101" s="267">
        <f t="shared" si="7"/>
        <v>0</v>
      </c>
    </row>
    <row r="102" spans="5:41" x14ac:dyDescent="0.25">
      <c r="E102" s="14"/>
      <c r="F102" s="73" t="s">
        <v>111</v>
      </c>
      <c r="G102" s="169" t="s">
        <v>107</v>
      </c>
      <c r="H102" s="270">
        <f>SUM(H95:H101)</f>
        <v>601650958.31878424</v>
      </c>
      <c r="I102" s="183"/>
      <c r="J102" s="270">
        <f t="shared" ref="J102:AO102" si="8">SUM(J95:J101)</f>
        <v>320946700.7796827</v>
      </c>
      <c r="K102" s="270">
        <f t="shared" si="8"/>
        <v>568700.9811183057</v>
      </c>
      <c r="L102" s="270">
        <f t="shared" si="8"/>
        <v>2707.6789851918688</v>
      </c>
      <c r="M102" s="270">
        <f t="shared" si="8"/>
        <v>6914161.7033347478</v>
      </c>
      <c r="N102" s="270">
        <f t="shared" si="8"/>
        <v>12324933.472661506</v>
      </c>
      <c r="O102" s="270">
        <f t="shared" si="8"/>
        <v>13397665.145640774</v>
      </c>
      <c r="P102" s="270">
        <f t="shared" si="8"/>
        <v>31971907.304221049</v>
      </c>
      <c r="Q102" s="270">
        <f t="shared" si="8"/>
        <v>131117.59574238525</v>
      </c>
      <c r="R102" s="270">
        <f t="shared" si="8"/>
        <v>19118.02589957419</v>
      </c>
      <c r="S102" s="270">
        <f t="shared" si="8"/>
        <v>23497207.882597547</v>
      </c>
      <c r="T102" s="270">
        <f t="shared" si="8"/>
        <v>22084321.733851336</v>
      </c>
      <c r="U102" s="270">
        <f t="shared" si="8"/>
        <v>18097013.549327351</v>
      </c>
      <c r="V102" s="270">
        <f t="shared" si="8"/>
        <v>59875763.053589597</v>
      </c>
      <c r="W102" s="270">
        <f t="shared" si="8"/>
        <v>0</v>
      </c>
      <c r="X102" s="270">
        <f t="shared" si="8"/>
        <v>19730.168218584357</v>
      </c>
      <c r="Y102" s="270">
        <f t="shared" si="8"/>
        <v>249627.22568536899</v>
      </c>
      <c r="Z102" s="270">
        <f t="shared" si="8"/>
        <v>326525.71745603526</v>
      </c>
      <c r="AA102" s="270">
        <f t="shared" si="8"/>
        <v>4077820.6268707216</v>
      </c>
      <c r="AB102" s="270">
        <f t="shared" si="8"/>
        <v>261365.43370533205</v>
      </c>
      <c r="AC102" s="270">
        <f t="shared" si="8"/>
        <v>6069983.58347263</v>
      </c>
      <c r="AD102" s="270">
        <f t="shared" si="8"/>
        <v>20264113.212093279</v>
      </c>
      <c r="AE102" s="270">
        <f t="shared" si="8"/>
        <v>15935142.751885017</v>
      </c>
      <c r="AF102" s="270">
        <f t="shared" si="8"/>
        <v>42022367.453672603</v>
      </c>
      <c r="AG102" s="270">
        <f t="shared" si="8"/>
        <v>7890993.3840425815</v>
      </c>
      <c r="AH102" s="270">
        <f t="shared" si="8"/>
        <v>-79691.083783917624</v>
      </c>
      <c r="AI102" s="270">
        <f t="shared" si="8"/>
        <v>-2589.59979653645</v>
      </c>
      <c r="AJ102" s="270">
        <f t="shared" si="8"/>
        <v>-439639.68937547499</v>
      </c>
      <c r="AK102" s="270">
        <f t="shared" si="8"/>
        <v>0</v>
      </c>
      <c r="AL102" s="270">
        <f t="shared" si="8"/>
        <v>0</v>
      </c>
      <c r="AM102" s="270">
        <f t="shared" si="8"/>
        <v>0</v>
      </c>
      <c r="AN102" s="270">
        <f t="shared" si="8"/>
        <v>-4776109.7720140349</v>
      </c>
      <c r="AO102" s="270">
        <f t="shared" si="8"/>
        <v>0</v>
      </c>
    </row>
    <row r="103" spans="5:41" x14ac:dyDescent="0.25">
      <c r="E103" s="14"/>
      <c r="G103" s="108"/>
      <c r="H103" s="252"/>
      <c r="J103" s="252"/>
      <c r="K103" s="252"/>
      <c r="L103" s="252"/>
      <c r="M103" s="252"/>
      <c r="N103" s="252"/>
      <c r="O103" s="252"/>
      <c r="P103" s="252"/>
      <c r="Q103" s="252"/>
      <c r="R103" s="252"/>
      <c r="S103" s="252"/>
      <c r="T103" s="252"/>
      <c r="U103" s="252"/>
      <c r="V103" s="252"/>
      <c r="W103" s="252"/>
      <c r="X103" s="252"/>
      <c r="Y103" s="252"/>
      <c r="Z103" s="252"/>
      <c r="AA103" s="252"/>
      <c r="AB103" s="252"/>
      <c r="AC103" s="252"/>
      <c r="AD103" s="252"/>
      <c r="AE103" s="252"/>
      <c r="AF103" s="252"/>
      <c r="AG103" s="252"/>
      <c r="AH103" s="252"/>
      <c r="AI103" s="252"/>
      <c r="AJ103" s="252"/>
      <c r="AK103" s="252"/>
      <c r="AL103" s="252"/>
      <c r="AM103" s="252"/>
      <c r="AN103" s="252"/>
      <c r="AO103" s="252"/>
    </row>
    <row r="104" spans="5:41" x14ac:dyDescent="0.25">
      <c r="E104" s="96" t="s">
        <v>905</v>
      </c>
      <c r="G104" s="108"/>
      <c r="H104" s="285" t="s">
        <v>215</v>
      </c>
      <c r="J104" s="252"/>
      <c r="K104" s="252"/>
      <c r="L104" s="252"/>
      <c r="M104" s="252"/>
      <c r="N104" s="252"/>
      <c r="O104" s="252"/>
      <c r="P104" s="252"/>
      <c r="Q104" s="252"/>
      <c r="R104" s="252"/>
      <c r="S104" s="252"/>
      <c r="T104" s="252"/>
      <c r="U104" s="252"/>
      <c r="V104" s="252"/>
      <c r="W104" s="252"/>
      <c r="X104" s="252"/>
      <c r="Y104" s="252"/>
      <c r="Z104" s="252"/>
      <c r="AA104" s="252"/>
      <c r="AB104" s="252"/>
      <c r="AC104" s="252"/>
      <c r="AD104" s="252"/>
      <c r="AE104" s="252"/>
      <c r="AF104" s="252"/>
      <c r="AG104" s="252"/>
      <c r="AH104" s="252"/>
      <c r="AI104" s="252"/>
      <c r="AJ104" s="252"/>
      <c r="AK104" s="252"/>
      <c r="AL104" s="252"/>
      <c r="AM104" s="252"/>
      <c r="AN104" s="252"/>
      <c r="AO104" s="252"/>
    </row>
    <row r="105" spans="5:41" x14ac:dyDescent="0.25">
      <c r="E105" s="14"/>
      <c r="F105" s="91" t="s">
        <v>134</v>
      </c>
      <c r="G105" s="129" t="s">
        <v>107</v>
      </c>
      <c r="H105" s="267">
        <f t="shared" ref="H105:H111" si="9">SUM(J105:AO105)</f>
        <v>779699.57368570007</v>
      </c>
      <c r="I105" s="91"/>
      <c r="J105" s="267">
        <f t="shared" ref="J105:AO105" si="10">J33 * thousand * J64 / hundred</f>
        <v>690083.60356166528</v>
      </c>
      <c r="K105" s="267">
        <f t="shared" si="10"/>
        <v>0</v>
      </c>
      <c r="L105" s="267">
        <f t="shared" si="10"/>
        <v>1.4868744850598568</v>
      </c>
      <c r="M105" s="267">
        <f t="shared" si="10"/>
        <v>1853.847225116112</v>
      </c>
      <c r="N105" s="267">
        <f t="shared" si="10"/>
        <v>4575.9490481979865</v>
      </c>
      <c r="O105" s="267">
        <f t="shared" si="10"/>
        <v>5490.315785329858</v>
      </c>
      <c r="P105" s="267">
        <f t="shared" si="10"/>
        <v>13818.172973350305</v>
      </c>
      <c r="Q105" s="267">
        <f t="shared" si="10"/>
        <v>1432.7030042524939</v>
      </c>
      <c r="R105" s="267">
        <f t="shared" si="10"/>
        <v>11.892225121587728</v>
      </c>
      <c r="S105" s="267">
        <f t="shared" si="10"/>
        <v>11856.084136581554</v>
      </c>
      <c r="T105" s="267">
        <f t="shared" si="10"/>
        <v>11261.949509748581</v>
      </c>
      <c r="U105" s="267">
        <f t="shared" si="10"/>
        <v>9278.4137095350197</v>
      </c>
      <c r="V105" s="267">
        <f t="shared" si="10"/>
        <v>30525.035593136534</v>
      </c>
      <c r="W105" s="267">
        <f t="shared" si="10"/>
        <v>0</v>
      </c>
      <c r="X105" s="267">
        <f t="shared" si="10"/>
        <v>0</v>
      </c>
      <c r="Y105" s="267">
        <f t="shared" si="10"/>
        <v>0</v>
      </c>
      <c r="Z105" s="267">
        <f t="shared" si="10"/>
        <v>0</v>
      </c>
      <c r="AA105" s="267">
        <f t="shared" si="10"/>
        <v>0</v>
      </c>
      <c r="AB105" s="267">
        <f t="shared" si="10"/>
        <v>0</v>
      </c>
      <c r="AC105" s="267">
        <f t="shared" si="10"/>
        <v>0</v>
      </c>
      <c r="AD105" s="267">
        <f t="shared" si="10"/>
        <v>0</v>
      </c>
      <c r="AE105" s="267">
        <f t="shared" si="10"/>
        <v>0</v>
      </c>
      <c r="AF105" s="267">
        <f t="shared" si="10"/>
        <v>0</v>
      </c>
      <c r="AG105" s="267">
        <f t="shared" si="10"/>
        <v>1063.2841861522984</v>
      </c>
      <c r="AH105" s="267">
        <f t="shared" si="10"/>
        <v>-1553.1641469725398</v>
      </c>
      <c r="AI105" s="267">
        <f t="shared" si="10"/>
        <v>0</v>
      </c>
      <c r="AJ105" s="267">
        <f t="shared" si="10"/>
        <v>0</v>
      </c>
      <c r="AK105" s="267">
        <f t="shared" si="10"/>
        <v>0</v>
      </c>
      <c r="AL105" s="267">
        <f t="shared" si="10"/>
        <v>0</v>
      </c>
      <c r="AM105" s="267">
        <f t="shared" si="10"/>
        <v>0</v>
      </c>
      <c r="AN105" s="267">
        <f t="shared" si="10"/>
        <v>0</v>
      </c>
      <c r="AO105" s="267">
        <f t="shared" si="10"/>
        <v>0</v>
      </c>
    </row>
    <row r="106" spans="5:41" x14ac:dyDescent="0.25">
      <c r="E106" s="14"/>
      <c r="F106" s="293" t="s">
        <v>135</v>
      </c>
      <c r="G106" s="108" t="s">
        <v>107</v>
      </c>
      <c r="H106" s="275">
        <f t="shared" si="9"/>
        <v>431470.13347044023</v>
      </c>
      <c r="J106" s="275">
        <f t="shared" ref="J106:AO106" si="11">J34 * thousand * J65 / hundred</f>
        <v>368411.27314841159</v>
      </c>
      <c r="K106" s="275">
        <f t="shared" si="11"/>
        <v>0</v>
      </c>
      <c r="L106" s="275">
        <f t="shared" si="11"/>
        <v>1.2249139324816973</v>
      </c>
      <c r="M106" s="275">
        <f t="shared" si="11"/>
        <v>1527.2326733388284</v>
      </c>
      <c r="N106" s="275">
        <f t="shared" si="11"/>
        <v>3769.7490943483572</v>
      </c>
      <c r="O106" s="275">
        <f t="shared" si="11"/>
        <v>4523.0208512886011</v>
      </c>
      <c r="P106" s="275">
        <f t="shared" si="11"/>
        <v>11383.659324692386</v>
      </c>
      <c r="Q106" s="275">
        <f t="shared" si="11"/>
        <v>1137.7859537520376</v>
      </c>
      <c r="R106" s="275">
        <f t="shared" si="11"/>
        <v>7.7826433418184058</v>
      </c>
      <c r="S106" s="275">
        <f t="shared" si="11"/>
        <v>7758.9915530699336</v>
      </c>
      <c r="T106" s="275">
        <f t="shared" si="11"/>
        <v>7370.1713070361084</v>
      </c>
      <c r="U106" s="275">
        <f t="shared" si="11"/>
        <v>6072.0835622314989</v>
      </c>
      <c r="V106" s="275">
        <f t="shared" si="11"/>
        <v>19976.536147675666</v>
      </c>
      <c r="W106" s="275">
        <f t="shared" si="11"/>
        <v>0</v>
      </c>
      <c r="X106" s="275">
        <f t="shared" si="11"/>
        <v>0</v>
      </c>
      <c r="Y106" s="275">
        <f t="shared" si="11"/>
        <v>0</v>
      </c>
      <c r="Z106" s="275">
        <f t="shared" si="11"/>
        <v>0</v>
      </c>
      <c r="AA106" s="275">
        <f t="shared" si="11"/>
        <v>0</v>
      </c>
      <c r="AB106" s="275">
        <f t="shared" si="11"/>
        <v>0</v>
      </c>
      <c r="AC106" s="275">
        <f t="shared" si="11"/>
        <v>0</v>
      </c>
      <c r="AD106" s="275">
        <f t="shared" si="11"/>
        <v>0</v>
      </c>
      <c r="AE106" s="275">
        <f t="shared" si="11"/>
        <v>0</v>
      </c>
      <c r="AF106" s="275">
        <f t="shared" si="11"/>
        <v>0</v>
      </c>
      <c r="AG106" s="275">
        <f t="shared" si="11"/>
        <v>1218.70989390882</v>
      </c>
      <c r="AH106" s="275">
        <f t="shared" si="11"/>
        <v>-1688.0875965878738</v>
      </c>
      <c r="AI106" s="275">
        <f t="shared" si="11"/>
        <v>0</v>
      </c>
      <c r="AJ106" s="275">
        <f t="shared" si="11"/>
        <v>0</v>
      </c>
      <c r="AK106" s="275">
        <f t="shared" si="11"/>
        <v>0</v>
      </c>
      <c r="AL106" s="275">
        <f t="shared" si="11"/>
        <v>0</v>
      </c>
      <c r="AM106" s="275">
        <f t="shared" si="11"/>
        <v>0</v>
      </c>
      <c r="AN106" s="275">
        <f t="shared" si="11"/>
        <v>0</v>
      </c>
      <c r="AO106" s="275">
        <f t="shared" si="11"/>
        <v>0</v>
      </c>
    </row>
    <row r="107" spans="5:41" x14ac:dyDescent="0.25">
      <c r="E107" s="14"/>
      <c r="F107" s="293" t="s">
        <v>136</v>
      </c>
      <c r="G107" s="108" t="s">
        <v>107</v>
      </c>
      <c r="H107" s="275">
        <f t="shared" si="9"/>
        <v>11157.563347315752</v>
      </c>
      <c r="J107" s="275">
        <f t="shared" ref="J107:AO107" si="12">J35 * thousand * J66 / hundred</f>
        <v>8715.8798677915729</v>
      </c>
      <c r="K107" s="275">
        <f t="shared" si="12"/>
        <v>0</v>
      </c>
      <c r="L107" s="275">
        <f t="shared" si="12"/>
        <v>2.6903782561263627E-2</v>
      </c>
      <c r="M107" s="275">
        <f t="shared" si="12"/>
        <v>33.543855347223868</v>
      </c>
      <c r="N107" s="275">
        <f t="shared" si="12"/>
        <v>82.798070342288412</v>
      </c>
      <c r="O107" s="275">
        <f t="shared" si="12"/>
        <v>99.342791584214652</v>
      </c>
      <c r="P107" s="275">
        <f t="shared" si="12"/>
        <v>250.02858331648645</v>
      </c>
      <c r="Q107" s="275">
        <f t="shared" si="12"/>
        <v>29.148653488253625</v>
      </c>
      <c r="R107" s="275">
        <f t="shared" si="12"/>
        <v>0.21613714707917514</v>
      </c>
      <c r="S107" s="275">
        <f t="shared" si="12"/>
        <v>215.48029696811511</v>
      </c>
      <c r="T107" s="275">
        <f t="shared" si="12"/>
        <v>204.68210218860997</v>
      </c>
      <c r="U107" s="275">
        <f t="shared" si="12"/>
        <v>168.63201361356872</v>
      </c>
      <c r="V107" s="275">
        <f t="shared" si="12"/>
        <v>554.78214044353422</v>
      </c>
      <c r="W107" s="275">
        <f t="shared" si="12"/>
        <v>0</v>
      </c>
      <c r="X107" s="275">
        <f t="shared" si="12"/>
        <v>0</v>
      </c>
      <c r="Y107" s="275">
        <f t="shared" si="12"/>
        <v>0</v>
      </c>
      <c r="Z107" s="275">
        <f t="shared" si="12"/>
        <v>0</v>
      </c>
      <c r="AA107" s="275">
        <f t="shared" si="12"/>
        <v>0</v>
      </c>
      <c r="AB107" s="275">
        <f t="shared" si="12"/>
        <v>0</v>
      </c>
      <c r="AC107" s="275">
        <f t="shared" si="12"/>
        <v>0</v>
      </c>
      <c r="AD107" s="275">
        <f t="shared" si="12"/>
        <v>0</v>
      </c>
      <c r="AE107" s="275">
        <f t="shared" si="12"/>
        <v>0</v>
      </c>
      <c r="AF107" s="275">
        <f t="shared" si="12"/>
        <v>0</v>
      </c>
      <c r="AG107" s="275">
        <f t="shared" si="12"/>
        <v>810.68258079285079</v>
      </c>
      <c r="AH107" s="275">
        <f t="shared" si="12"/>
        <v>-7.6806494906094001</v>
      </c>
      <c r="AI107" s="275">
        <f t="shared" si="12"/>
        <v>0</v>
      </c>
      <c r="AJ107" s="275">
        <f t="shared" si="12"/>
        <v>0</v>
      </c>
      <c r="AK107" s="275">
        <f t="shared" si="12"/>
        <v>0</v>
      </c>
      <c r="AL107" s="275">
        <f t="shared" si="12"/>
        <v>0</v>
      </c>
      <c r="AM107" s="275">
        <f t="shared" si="12"/>
        <v>0</v>
      </c>
      <c r="AN107" s="275">
        <f t="shared" si="12"/>
        <v>0</v>
      </c>
      <c r="AO107" s="275">
        <f t="shared" si="12"/>
        <v>0</v>
      </c>
    </row>
    <row r="108" spans="5:41" x14ac:dyDescent="0.25">
      <c r="E108" s="14"/>
      <c r="F108" s="91" t="s">
        <v>254</v>
      </c>
      <c r="G108" s="129" t="s">
        <v>107</v>
      </c>
      <c r="H108" s="267">
        <f t="shared" si="9"/>
        <v>910921.847516882</v>
      </c>
      <c r="I108" s="91"/>
      <c r="J108" s="267">
        <f t="shared" ref="J108:AO108" si="13" xml:space="preserve"> J36 * J67 * days_in_year / hundred</f>
        <v>778339.12364307791</v>
      </c>
      <c r="K108" s="267">
        <f t="shared" si="13"/>
        <v>0</v>
      </c>
      <c r="L108" s="267">
        <f t="shared" si="13"/>
        <v>0.30424962599768696</v>
      </c>
      <c r="M108" s="267">
        <f t="shared" si="13"/>
        <v>4643.9863731241676</v>
      </c>
      <c r="N108" s="267">
        <f t="shared" si="13"/>
        <v>5726.5836563844441</v>
      </c>
      <c r="O108" s="267">
        <f t="shared" si="13"/>
        <v>5190.5542458050868</v>
      </c>
      <c r="P108" s="267">
        <f t="shared" si="13"/>
        <v>10952.334302625824</v>
      </c>
      <c r="Q108" s="267">
        <f t="shared" si="13"/>
        <v>0</v>
      </c>
      <c r="R108" s="267">
        <f t="shared" si="13"/>
        <v>3.1963858239204455</v>
      </c>
      <c r="S108" s="267">
        <f t="shared" si="13"/>
        <v>20855.216338453221</v>
      </c>
      <c r="T108" s="267">
        <f t="shared" si="13"/>
        <v>18867.011145730416</v>
      </c>
      <c r="U108" s="267">
        <f t="shared" si="13"/>
        <v>15152.506227627953</v>
      </c>
      <c r="V108" s="267">
        <f t="shared" si="13"/>
        <v>51191.030948602936</v>
      </c>
      <c r="W108" s="267">
        <f t="shared" si="13"/>
        <v>0</v>
      </c>
      <c r="X108" s="267">
        <f t="shared" si="13"/>
        <v>0</v>
      </c>
      <c r="Y108" s="267">
        <f t="shared" si="13"/>
        <v>0</v>
      </c>
      <c r="Z108" s="267">
        <f t="shared" si="13"/>
        <v>0</v>
      </c>
      <c r="AA108" s="267">
        <f t="shared" si="13"/>
        <v>0</v>
      </c>
      <c r="AB108" s="267">
        <f t="shared" si="13"/>
        <v>0</v>
      </c>
      <c r="AC108" s="267">
        <f t="shared" si="13"/>
        <v>0</v>
      </c>
      <c r="AD108" s="267">
        <f t="shared" si="13"/>
        <v>0</v>
      </c>
      <c r="AE108" s="267">
        <f t="shared" si="13"/>
        <v>0</v>
      </c>
      <c r="AF108" s="267">
        <f t="shared" si="13"/>
        <v>0</v>
      </c>
      <c r="AG108" s="267">
        <f t="shared" si="13"/>
        <v>0</v>
      </c>
      <c r="AH108" s="267">
        <f t="shared" si="13"/>
        <v>0</v>
      </c>
      <c r="AI108" s="267">
        <f t="shared" si="13"/>
        <v>0</v>
      </c>
      <c r="AJ108" s="267">
        <f t="shared" si="13"/>
        <v>0</v>
      </c>
      <c r="AK108" s="267">
        <f t="shared" si="13"/>
        <v>0</v>
      </c>
      <c r="AL108" s="267">
        <f t="shared" si="13"/>
        <v>0</v>
      </c>
      <c r="AM108" s="267">
        <f t="shared" si="13"/>
        <v>0</v>
      </c>
      <c r="AN108" s="267">
        <f t="shared" si="13"/>
        <v>0</v>
      </c>
      <c r="AO108" s="267">
        <f t="shared" si="13"/>
        <v>0</v>
      </c>
    </row>
    <row r="109" spans="5:41" x14ac:dyDescent="0.25">
      <c r="E109" s="14"/>
      <c r="F109" s="293" t="s">
        <v>255</v>
      </c>
      <c r="G109" s="108" t="s">
        <v>107</v>
      </c>
      <c r="H109" s="275">
        <f t="shared" si="9"/>
        <v>178547.05838571434</v>
      </c>
      <c r="J109" s="275">
        <f t="shared" ref="J109:AO109" si="14" xml:space="preserve"> J37 * J68 * days_in_year / hundred</f>
        <v>0</v>
      </c>
      <c r="K109" s="275">
        <f t="shared" si="14"/>
        <v>0</v>
      </c>
      <c r="L109" s="275">
        <f t="shared" si="14"/>
        <v>0</v>
      </c>
      <c r="M109" s="275">
        <f t="shared" si="14"/>
        <v>0</v>
      </c>
      <c r="N109" s="275">
        <f t="shared" si="14"/>
        <v>0</v>
      </c>
      <c r="O109" s="275">
        <f t="shared" si="14"/>
        <v>0</v>
      </c>
      <c r="P109" s="275">
        <f t="shared" si="14"/>
        <v>0</v>
      </c>
      <c r="Q109" s="275">
        <f t="shared" si="14"/>
        <v>0</v>
      </c>
      <c r="R109" s="275">
        <f t="shared" si="14"/>
        <v>33.739201294152778</v>
      </c>
      <c r="S109" s="275">
        <f t="shared" si="14"/>
        <v>33636.666406389952</v>
      </c>
      <c r="T109" s="275">
        <f t="shared" si="14"/>
        <v>31951.058577275158</v>
      </c>
      <c r="U109" s="275">
        <f t="shared" si="14"/>
        <v>26323.607620592549</v>
      </c>
      <c r="V109" s="275">
        <f t="shared" si="14"/>
        <v>86601.986580162513</v>
      </c>
      <c r="W109" s="275">
        <f t="shared" si="14"/>
        <v>0</v>
      </c>
      <c r="X109" s="275">
        <f t="shared" si="14"/>
        <v>0</v>
      </c>
      <c r="Y109" s="275">
        <f t="shared" si="14"/>
        <v>0</v>
      </c>
      <c r="Z109" s="275">
        <f t="shared" si="14"/>
        <v>0</v>
      </c>
      <c r="AA109" s="275">
        <f t="shared" si="14"/>
        <v>0</v>
      </c>
      <c r="AB109" s="275">
        <f t="shared" si="14"/>
        <v>0</v>
      </c>
      <c r="AC109" s="275">
        <f t="shared" si="14"/>
        <v>0</v>
      </c>
      <c r="AD109" s="275">
        <f t="shared" si="14"/>
        <v>0</v>
      </c>
      <c r="AE109" s="275">
        <f t="shared" si="14"/>
        <v>0</v>
      </c>
      <c r="AF109" s="275">
        <f t="shared" si="14"/>
        <v>0</v>
      </c>
      <c r="AG109" s="275">
        <f t="shared" si="14"/>
        <v>0</v>
      </c>
      <c r="AH109" s="275">
        <f t="shared" si="14"/>
        <v>0</v>
      </c>
      <c r="AI109" s="275">
        <f t="shared" si="14"/>
        <v>0</v>
      </c>
      <c r="AJ109" s="275">
        <f t="shared" si="14"/>
        <v>0</v>
      </c>
      <c r="AK109" s="275">
        <f t="shared" si="14"/>
        <v>0</v>
      </c>
      <c r="AL109" s="275">
        <f t="shared" si="14"/>
        <v>0</v>
      </c>
      <c r="AM109" s="275">
        <f t="shared" si="14"/>
        <v>0</v>
      </c>
      <c r="AN109" s="275">
        <f t="shared" si="14"/>
        <v>0</v>
      </c>
      <c r="AO109" s="275">
        <f t="shared" si="14"/>
        <v>0</v>
      </c>
    </row>
    <row r="110" spans="5:41" x14ac:dyDescent="0.25">
      <c r="E110" s="14"/>
      <c r="F110" s="293" t="s">
        <v>256</v>
      </c>
      <c r="G110" s="108" t="s">
        <v>107</v>
      </c>
      <c r="H110" s="275">
        <f t="shared" si="9"/>
        <v>302.23920535714268</v>
      </c>
      <c r="J110" s="275">
        <f t="shared" ref="J110:AO110" si="15" xml:space="preserve"> J38 * J69 * days_in_year / hundred</f>
        <v>0</v>
      </c>
      <c r="K110" s="275">
        <f t="shared" si="15"/>
        <v>0</v>
      </c>
      <c r="L110" s="275">
        <f t="shared" si="15"/>
        <v>0</v>
      </c>
      <c r="M110" s="275">
        <f t="shared" si="15"/>
        <v>0</v>
      </c>
      <c r="N110" s="275">
        <f t="shared" si="15"/>
        <v>0</v>
      </c>
      <c r="O110" s="275">
        <f t="shared" si="15"/>
        <v>0</v>
      </c>
      <c r="P110" s="275">
        <f t="shared" si="15"/>
        <v>0</v>
      </c>
      <c r="Q110" s="275">
        <f t="shared" si="15"/>
        <v>0</v>
      </c>
      <c r="R110" s="275">
        <f t="shared" si="15"/>
        <v>5.711272692323062E-2</v>
      </c>
      <c r="S110" s="275">
        <f t="shared" si="15"/>
        <v>56.939158883079145</v>
      </c>
      <c r="T110" s="275">
        <f t="shared" si="15"/>
        <v>54.08581156152956</v>
      </c>
      <c r="U110" s="275">
        <f t="shared" si="15"/>
        <v>44.559828211752176</v>
      </c>
      <c r="V110" s="275">
        <f t="shared" si="15"/>
        <v>146.59729397385857</v>
      </c>
      <c r="W110" s="275">
        <f t="shared" si="15"/>
        <v>0</v>
      </c>
      <c r="X110" s="275">
        <f t="shared" si="15"/>
        <v>0</v>
      </c>
      <c r="Y110" s="275">
        <f t="shared" si="15"/>
        <v>0</v>
      </c>
      <c r="Z110" s="275">
        <f t="shared" si="15"/>
        <v>0</v>
      </c>
      <c r="AA110" s="275">
        <f t="shared" si="15"/>
        <v>0</v>
      </c>
      <c r="AB110" s="275">
        <f t="shared" si="15"/>
        <v>0</v>
      </c>
      <c r="AC110" s="275">
        <f t="shared" si="15"/>
        <v>0</v>
      </c>
      <c r="AD110" s="275">
        <f t="shared" si="15"/>
        <v>0</v>
      </c>
      <c r="AE110" s="275">
        <f t="shared" si="15"/>
        <v>0</v>
      </c>
      <c r="AF110" s="275">
        <f t="shared" si="15"/>
        <v>0</v>
      </c>
      <c r="AG110" s="275">
        <f t="shared" si="15"/>
        <v>0</v>
      </c>
      <c r="AH110" s="275">
        <f t="shared" si="15"/>
        <v>0</v>
      </c>
      <c r="AI110" s="275">
        <f t="shared" si="15"/>
        <v>0</v>
      </c>
      <c r="AJ110" s="275">
        <f t="shared" si="15"/>
        <v>0</v>
      </c>
      <c r="AK110" s="275">
        <f t="shared" si="15"/>
        <v>0</v>
      </c>
      <c r="AL110" s="275">
        <f t="shared" si="15"/>
        <v>0</v>
      </c>
      <c r="AM110" s="275">
        <f t="shared" si="15"/>
        <v>0</v>
      </c>
      <c r="AN110" s="275">
        <f t="shared" si="15"/>
        <v>0</v>
      </c>
      <c r="AO110" s="275">
        <f t="shared" si="15"/>
        <v>0</v>
      </c>
    </row>
    <row r="111" spans="5:41" x14ac:dyDescent="0.25">
      <c r="E111" s="14"/>
      <c r="F111" s="91" t="s">
        <v>257</v>
      </c>
      <c r="G111" s="129" t="s">
        <v>107</v>
      </c>
      <c r="H111" s="267">
        <f t="shared" si="9"/>
        <v>2814.1906905367355</v>
      </c>
      <c r="I111" s="91"/>
      <c r="J111" s="267">
        <f t="shared" ref="J111:AO111" si="16">J39 * thousand * J70 / hundred</f>
        <v>0</v>
      </c>
      <c r="K111" s="267">
        <f t="shared" si="16"/>
        <v>0</v>
      </c>
      <c r="L111" s="267">
        <f t="shared" si="16"/>
        <v>0</v>
      </c>
      <c r="M111" s="267">
        <f t="shared" si="16"/>
        <v>0</v>
      </c>
      <c r="N111" s="267">
        <f t="shared" si="16"/>
        <v>0</v>
      </c>
      <c r="O111" s="267">
        <f t="shared" si="16"/>
        <v>0</v>
      </c>
      <c r="P111" s="267">
        <f t="shared" si="16"/>
        <v>0</v>
      </c>
      <c r="Q111" s="267">
        <f t="shared" si="16"/>
        <v>0</v>
      </c>
      <c r="R111" s="267">
        <f t="shared" si="16"/>
        <v>0.53178443289181987</v>
      </c>
      <c r="S111" s="267">
        <f t="shared" si="16"/>
        <v>530.16831706663481</v>
      </c>
      <c r="T111" s="267">
        <f t="shared" si="16"/>
        <v>503.60040884412535</v>
      </c>
      <c r="U111" s="267">
        <f t="shared" si="16"/>
        <v>414.90267146927459</v>
      </c>
      <c r="V111" s="267">
        <f t="shared" si="16"/>
        <v>1364.9875087238088</v>
      </c>
      <c r="W111" s="267">
        <f t="shared" si="16"/>
        <v>0</v>
      </c>
      <c r="X111" s="267">
        <f t="shared" si="16"/>
        <v>0</v>
      </c>
      <c r="Y111" s="267">
        <f t="shared" si="16"/>
        <v>0</v>
      </c>
      <c r="Z111" s="267">
        <f t="shared" si="16"/>
        <v>0</v>
      </c>
      <c r="AA111" s="267">
        <f t="shared" si="16"/>
        <v>0</v>
      </c>
      <c r="AB111" s="267">
        <f t="shared" si="16"/>
        <v>0</v>
      </c>
      <c r="AC111" s="267">
        <f t="shared" si="16"/>
        <v>0</v>
      </c>
      <c r="AD111" s="267">
        <f t="shared" si="16"/>
        <v>0</v>
      </c>
      <c r="AE111" s="267">
        <f t="shared" si="16"/>
        <v>0</v>
      </c>
      <c r="AF111" s="267">
        <f t="shared" si="16"/>
        <v>0</v>
      </c>
      <c r="AG111" s="267">
        <f t="shared" si="16"/>
        <v>0</v>
      </c>
      <c r="AH111" s="267">
        <f t="shared" si="16"/>
        <v>0</v>
      </c>
      <c r="AI111" s="267">
        <f t="shared" si="16"/>
        <v>0</v>
      </c>
      <c r="AJ111" s="267">
        <f t="shared" si="16"/>
        <v>0</v>
      </c>
      <c r="AK111" s="267">
        <f t="shared" si="16"/>
        <v>0</v>
      </c>
      <c r="AL111" s="267">
        <f t="shared" si="16"/>
        <v>0</v>
      </c>
      <c r="AM111" s="267">
        <f t="shared" si="16"/>
        <v>0</v>
      </c>
      <c r="AN111" s="267">
        <f t="shared" si="16"/>
        <v>0</v>
      </c>
      <c r="AO111" s="267">
        <f t="shared" si="16"/>
        <v>0</v>
      </c>
    </row>
    <row r="112" spans="5:41" x14ac:dyDescent="0.25">
      <c r="E112" s="14"/>
      <c r="F112" s="73" t="s">
        <v>111</v>
      </c>
      <c r="G112" s="169" t="s">
        <v>107</v>
      </c>
      <c r="H112" s="270">
        <f>SUM(H105:H111)</f>
        <v>2314912.6063019461</v>
      </c>
      <c r="I112" s="73"/>
      <c r="J112" s="270">
        <f t="shared" ref="J112:AO112" si="17">SUM(J105:J111)</f>
        <v>1845549.8802209464</v>
      </c>
      <c r="K112" s="270">
        <f t="shared" si="17"/>
        <v>0</v>
      </c>
      <c r="L112" s="270">
        <f t="shared" si="17"/>
        <v>3.0429418261005048</v>
      </c>
      <c r="M112" s="270">
        <f t="shared" si="17"/>
        <v>8058.6101269263318</v>
      </c>
      <c r="N112" s="270">
        <f t="shared" si="17"/>
        <v>14155.079869273077</v>
      </c>
      <c r="O112" s="270">
        <f t="shared" si="17"/>
        <v>15303.233674007763</v>
      </c>
      <c r="P112" s="270">
        <f t="shared" si="17"/>
        <v>36404.195183985001</v>
      </c>
      <c r="Q112" s="270">
        <f t="shared" si="17"/>
        <v>2599.6376114927853</v>
      </c>
      <c r="R112" s="270">
        <f t="shared" si="17"/>
        <v>57.415489888373578</v>
      </c>
      <c r="S112" s="270">
        <f t="shared" si="17"/>
        <v>74909.546207412495</v>
      </c>
      <c r="T112" s="270">
        <f t="shared" si="17"/>
        <v>70212.558862384525</v>
      </c>
      <c r="U112" s="270">
        <f t="shared" si="17"/>
        <v>57454.705633281614</v>
      </c>
      <c r="V112" s="270">
        <f t="shared" si="17"/>
        <v>190360.95621271885</v>
      </c>
      <c r="W112" s="270">
        <f t="shared" si="17"/>
        <v>0</v>
      </c>
      <c r="X112" s="270">
        <f t="shared" si="17"/>
        <v>0</v>
      </c>
      <c r="Y112" s="270">
        <f t="shared" si="17"/>
        <v>0</v>
      </c>
      <c r="Z112" s="270">
        <f t="shared" si="17"/>
        <v>0</v>
      </c>
      <c r="AA112" s="270">
        <f t="shared" si="17"/>
        <v>0</v>
      </c>
      <c r="AB112" s="270">
        <f t="shared" si="17"/>
        <v>0</v>
      </c>
      <c r="AC112" s="270">
        <f t="shared" si="17"/>
        <v>0</v>
      </c>
      <c r="AD112" s="270">
        <f t="shared" si="17"/>
        <v>0</v>
      </c>
      <c r="AE112" s="270">
        <f t="shared" si="17"/>
        <v>0</v>
      </c>
      <c r="AF112" s="270">
        <f t="shared" si="17"/>
        <v>0</v>
      </c>
      <c r="AG112" s="270">
        <f t="shared" si="17"/>
        <v>3092.6766608539692</v>
      </c>
      <c r="AH112" s="270">
        <f t="shared" si="17"/>
        <v>-3248.9323930510232</v>
      </c>
      <c r="AI112" s="270">
        <f t="shared" si="17"/>
        <v>0</v>
      </c>
      <c r="AJ112" s="270">
        <f t="shared" si="17"/>
        <v>0</v>
      </c>
      <c r="AK112" s="270">
        <f t="shared" si="17"/>
        <v>0</v>
      </c>
      <c r="AL112" s="270">
        <f t="shared" si="17"/>
        <v>0</v>
      </c>
      <c r="AM112" s="270">
        <f t="shared" si="17"/>
        <v>0</v>
      </c>
      <c r="AN112" s="270">
        <f t="shared" si="17"/>
        <v>0</v>
      </c>
      <c r="AO112" s="270">
        <f t="shared" si="17"/>
        <v>0</v>
      </c>
    </row>
    <row r="113" spans="3:43" x14ac:dyDescent="0.25">
      <c r="E113" s="14"/>
      <c r="G113" s="108"/>
      <c r="H113" s="252"/>
      <c r="J113" s="252"/>
      <c r="K113" s="252"/>
      <c r="L113" s="252"/>
      <c r="M113" s="252"/>
      <c r="N113" s="252"/>
      <c r="O113" s="252"/>
      <c r="P113" s="252"/>
      <c r="Q113" s="252"/>
      <c r="R113" s="252"/>
      <c r="S113" s="252"/>
      <c r="T113" s="252"/>
      <c r="U113" s="252"/>
      <c r="V113" s="252"/>
      <c r="W113" s="252"/>
      <c r="X113" s="252"/>
      <c r="Y113" s="252"/>
      <c r="Z113" s="252"/>
      <c r="AA113" s="252"/>
      <c r="AB113" s="252"/>
      <c r="AC113" s="252"/>
      <c r="AD113" s="252"/>
      <c r="AE113" s="252"/>
      <c r="AF113" s="252"/>
      <c r="AG113" s="252"/>
      <c r="AH113" s="252"/>
      <c r="AI113" s="252"/>
      <c r="AJ113" s="252"/>
      <c r="AK113" s="252"/>
      <c r="AL113" s="252"/>
      <c r="AM113" s="252"/>
      <c r="AN113" s="252"/>
      <c r="AO113" s="252"/>
    </row>
    <row r="114" spans="3:43" x14ac:dyDescent="0.25">
      <c r="E114" s="96" t="s">
        <v>906</v>
      </c>
      <c r="G114" s="108"/>
      <c r="H114" s="285" t="s">
        <v>215</v>
      </c>
      <c r="J114" s="252"/>
      <c r="K114" s="252"/>
      <c r="L114" s="252"/>
      <c r="M114" s="252"/>
      <c r="N114" s="252"/>
      <c r="O114" s="252"/>
      <c r="P114" s="252"/>
      <c r="Q114" s="252"/>
      <c r="R114" s="252"/>
      <c r="S114" s="252"/>
      <c r="T114" s="252"/>
      <c r="U114" s="252"/>
      <c r="V114" s="252"/>
      <c r="W114" s="252"/>
      <c r="X114" s="252"/>
      <c r="Y114" s="252"/>
      <c r="Z114" s="252"/>
      <c r="AA114" s="252"/>
      <c r="AB114" s="252"/>
      <c r="AC114" s="252"/>
      <c r="AD114" s="252"/>
      <c r="AE114" s="252"/>
      <c r="AF114" s="252"/>
      <c r="AG114" s="252"/>
      <c r="AH114" s="252"/>
      <c r="AI114" s="252"/>
      <c r="AJ114" s="252"/>
      <c r="AK114" s="252"/>
      <c r="AL114" s="252"/>
      <c r="AM114" s="252"/>
      <c r="AN114" s="252"/>
      <c r="AO114" s="252"/>
    </row>
    <row r="115" spans="3:43" x14ac:dyDescent="0.25">
      <c r="C115" s="86"/>
      <c r="F115" s="91" t="s">
        <v>134</v>
      </c>
      <c r="G115" s="129" t="s">
        <v>107</v>
      </c>
      <c r="H115" s="267">
        <f t="shared" ref="H115:H121" si="18">SUM(J115:AO115)</f>
        <v>2374188.0973371752</v>
      </c>
      <c r="I115" s="91"/>
      <c r="J115" s="267">
        <f t="shared" ref="J115:AO115" si="19">J44 * thousand * J73 / hundred</f>
        <v>1779229.7402539405</v>
      </c>
      <c r="K115" s="267">
        <f t="shared" si="19"/>
        <v>7160.4170552425321</v>
      </c>
      <c r="L115" s="267">
        <f t="shared" si="19"/>
        <v>2.9843712573747729</v>
      </c>
      <c r="M115" s="267">
        <f t="shared" si="19"/>
        <v>3720.9384045471606</v>
      </c>
      <c r="N115" s="267">
        <f t="shared" si="19"/>
        <v>9184.5888485360356</v>
      </c>
      <c r="O115" s="267">
        <f t="shared" si="19"/>
        <v>11019.854593166832</v>
      </c>
      <c r="P115" s="267">
        <f t="shared" si="19"/>
        <v>27735.063494239341</v>
      </c>
      <c r="Q115" s="267">
        <f t="shared" si="19"/>
        <v>1790.4276426073252</v>
      </c>
      <c r="R115" s="267">
        <f t="shared" si="19"/>
        <v>70.543691274688442</v>
      </c>
      <c r="S115" s="267">
        <f t="shared" si="19"/>
        <v>70329.305954651863</v>
      </c>
      <c r="T115" s="267">
        <f t="shared" si="19"/>
        <v>66804.948716003186</v>
      </c>
      <c r="U115" s="267">
        <f t="shared" si="19"/>
        <v>55038.779164726118</v>
      </c>
      <c r="V115" s="267">
        <f t="shared" si="19"/>
        <v>181071.97475787497</v>
      </c>
      <c r="W115" s="267">
        <f t="shared" si="19"/>
        <v>0</v>
      </c>
      <c r="X115" s="267">
        <f t="shared" si="19"/>
        <v>294.93541584713222</v>
      </c>
      <c r="Y115" s="267">
        <f t="shared" si="19"/>
        <v>3740.2645152903319</v>
      </c>
      <c r="Z115" s="267">
        <f t="shared" si="19"/>
        <v>4615.7851323537388</v>
      </c>
      <c r="AA115" s="267">
        <f t="shared" si="19"/>
        <v>61407.477918071971</v>
      </c>
      <c r="AB115" s="267">
        <f t="shared" si="19"/>
        <v>52.495736586460623</v>
      </c>
      <c r="AC115" s="267">
        <f t="shared" si="19"/>
        <v>5814.367763956343</v>
      </c>
      <c r="AD115" s="267">
        <f t="shared" si="19"/>
        <v>20167.204622218105</v>
      </c>
      <c r="AE115" s="267">
        <f t="shared" si="19"/>
        <v>16006.997635280055</v>
      </c>
      <c r="AF115" s="267">
        <f t="shared" si="19"/>
        <v>42506.064433921187</v>
      </c>
      <c r="AG115" s="267">
        <f t="shared" si="19"/>
        <v>8530.4415976645305</v>
      </c>
      <c r="AH115" s="267">
        <f t="shared" si="19"/>
        <v>-315.46281808097177</v>
      </c>
      <c r="AI115" s="267">
        <f t="shared" si="19"/>
        <v>-169.51598941499356</v>
      </c>
      <c r="AJ115" s="267">
        <f t="shared" si="19"/>
        <v>-599.53105258730159</v>
      </c>
      <c r="AK115" s="267">
        <f t="shared" si="19"/>
        <v>0</v>
      </c>
      <c r="AL115" s="267">
        <f t="shared" si="19"/>
        <v>0</v>
      </c>
      <c r="AM115" s="267">
        <f t="shared" si="19"/>
        <v>0</v>
      </c>
      <c r="AN115" s="267">
        <f t="shared" si="19"/>
        <v>-1022.994522</v>
      </c>
      <c r="AO115" s="267">
        <f t="shared" si="19"/>
        <v>0</v>
      </c>
    </row>
    <row r="116" spans="3:43" x14ac:dyDescent="0.25">
      <c r="C116" s="86"/>
      <c r="F116" s="293" t="s">
        <v>135</v>
      </c>
      <c r="G116" s="108" t="s">
        <v>107</v>
      </c>
      <c r="H116" s="275">
        <f t="shared" si="18"/>
        <v>1314710.877135606</v>
      </c>
      <c r="J116" s="275">
        <f t="shared" ref="J116:AO116" si="20">J45 * thousand * J74 / hundred</f>
        <v>974992.11938577844</v>
      </c>
      <c r="K116" s="275">
        <f t="shared" si="20"/>
        <v>4365.358930852005</v>
      </c>
      <c r="L116" s="275">
        <f t="shared" si="20"/>
        <v>2.6676978389253754</v>
      </c>
      <c r="M116" s="275">
        <f t="shared" si="20"/>
        <v>3326.1074057242736</v>
      </c>
      <c r="N116" s="275">
        <f t="shared" si="20"/>
        <v>8210.0066344328807</v>
      </c>
      <c r="O116" s="275">
        <f t="shared" si="20"/>
        <v>9850.5312336116349</v>
      </c>
      <c r="P116" s="275">
        <f t="shared" si="20"/>
        <v>24792.079324314764</v>
      </c>
      <c r="Q116" s="275">
        <f t="shared" si="20"/>
        <v>1415.5312474646612</v>
      </c>
      <c r="R116" s="275">
        <f t="shared" si="20"/>
        <v>42.466408562189933</v>
      </c>
      <c r="S116" s="275">
        <f t="shared" si="20"/>
        <v>42337.351315171785</v>
      </c>
      <c r="T116" s="275">
        <f t="shared" si="20"/>
        <v>40215.73290094985</v>
      </c>
      <c r="U116" s="275">
        <f t="shared" si="20"/>
        <v>33132.647874524322</v>
      </c>
      <c r="V116" s="275">
        <f t="shared" si="20"/>
        <v>109003.03514439847</v>
      </c>
      <c r="W116" s="275">
        <f t="shared" si="20"/>
        <v>0</v>
      </c>
      <c r="X116" s="275">
        <f t="shared" si="20"/>
        <v>128.10489576141535</v>
      </c>
      <c r="Y116" s="275">
        <f t="shared" si="20"/>
        <v>1624.5800609436972</v>
      </c>
      <c r="Z116" s="275">
        <f t="shared" si="20"/>
        <v>2004.861544141397</v>
      </c>
      <c r="AA116" s="275">
        <f t="shared" si="20"/>
        <v>26672.275132069444</v>
      </c>
      <c r="AB116" s="275">
        <f t="shared" si="20"/>
        <v>14.785412071637893</v>
      </c>
      <c r="AC116" s="275">
        <f t="shared" si="20"/>
        <v>1637.6153363340864</v>
      </c>
      <c r="AD116" s="275">
        <f t="shared" si="20"/>
        <v>5680.0885188348802</v>
      </c>
      <c r="AE116" s="275">
        <f t="shared" si="20"/>
        <v>4508.3671828768929</v>
      </c>
      <c r="AF116" s="275">
        <f t="shared" si="20"/>
        <v>11971.82321966328</v>
      </c>
      <c r="AG116" s="275">
        <f t="shared" si="20"/>
        <v>9551.5649742885616</v>
      </c>
      <c r="AH116" s="275">
        <f t="shared" si="20"/>
        <v>-350.69733553974436</v>
      </c>
      <c r="AI116" s="275">
        <f t="shared" si="20"/>
        <v>-79.084563892091523</v>
      </c>
      <c r="AJ116" s="275">
        <f t="shared" si="20"/>
        <v>-335.7980625714286</v>
      </c>
      <c r="AK116" s="275">
        <f t="shared" si="20"/>
        <v>0</v>
      </c>
      <c r="AL116" s="275">
        <f t="shared" si="20"/>
        <v>0</v>
      </c>
      <c r="AM116" s="275">
        <f t="shared" si="20"/>
        <v>0</v>
      </c>
      <c r="AN116" s="275">
        <f t="shared" si="20"/>
        <v>-3.2446829999999993</v>
      </c>
      <c r="AO116" s="275">
        <f t="shared" si="20"/>
        <v>0</v>
      </c>
    </row>
    <row r="117" spans="3:43" x14ac:dyDescent="0.25">
      <c r="C117" s="86"/>
      <c r="F117" s="293" t="s">
        <v>136</v>
      </c>
      <c r="G117" s="108" t="s">
        <v>107</v>
      </c>
      <c r="H117" s="275">
        <f t="shared" si="18"/>
        <v>35751.543843917185</v>
      </c>
      <c r="J117" s="275">
        <f t="shared" ref="J117:AO117" si="21">J46 * thousand * J75 / hundred</f>
        <v>21656.397026466777</v>
      </c>
      <c r="K117" s="275">
        <f t="shared" si="21"/>
        <v>189.46350025767961</v>
      </c>
      <c r="L117" s="275">
        <f t="shared" si="21"/>
        <v>5.0413268234490889E-2</v>
      </c>
      <c r="M117" s="275">
        <f t="shared" si="21"/>
        <v>62.855673672941421</v>
      </c>
      <c r="N117" s="275">
        <f t="shared" si="21"/>
        <v>155.14998011744186</v>
      </c>
      <c r="O117" s="275">
        <f t="shared" si="21"/>
        <v>186.15206943089831</v>
      </c>
      <c r="P117" s="275">
        <f t="shared" si="21"/>
        <v>468.5124854960826</v>
      </c>
      <c r="Q117" s="275">
        <f t="shared" si="21"/>
        <v>34.680965447468246</v>
      </c>
      <c r="R117" s="275">
        <f t="shared" si="21"/>
        <v>1.0672494341610423</v>
      </c>
      <c r="S117" s="275">
        <f t="shared" si="21"/>
        <v>1064.0060171046462</v>
      </c>
      <c r="T117" s="275">
        <f t="shared" si="21"/>
        <v>1010.6863197544908</v>
      </c>
      <c r="U117" s="275">
        <f t="shared" si="21"/>
        <v>832.67695323373118</v>
      </c>
      <c r="V117" s="275">
        <f t="shared" si="21"/>
        <v>2739.4223226890263</v>
      </c>
      <c r="W117" s="275">
        <f t="shared" si="21"/>
        <v>0</v>
      </c>
      <c r="X117" s="275">
        <f t="shared" si="21"/>
        <v>2.9165999685973727</v>
      </c>
      <c r="Y117" s="275">
        <f t="shared" si="21"/>
        <v>36.987268336386606</v>
      </c>
      <c r="Z117" s="275">
        <f t="shared" si="21"/>
        <v>45.645243157413226</v>
      </c>
      <c r="AA117" s="275">
        <f t="shared" si="21"/>
        <v>607.25514314063355</v>
      </c>
      <c r="AB117" s="275">
        <f t="shared" si="21"/>
        <v>0.46090779375747692</v>
      </c>
      <c r="AC117" s="275">
        <f t="shared" si="21"/>
        <v>51.049620263274704</v>
      </c>
      <c r="AD117" s="275">
        <f t="shared" si="21"/>
        <v>177.0662227659742</v>
      </c>
      <c r="AE117" s="275">
        <f t="shared" si="21"/>
        <v>140.53998371099914</v>
      </c>
      <c r="AF117" s="275">
        <f t="shared" si="21"/>
        <v>373.19938062560027</v>
      </c>
      <c r="AG117" s="275">
        <f t="shared" si="21"/>
        <v>5929.4768705025735</v>
      </c>
      <c r="AH117" s="275">
        <f t="shared" si="21"/>
        <v>-1.6992435404089195</v>
      </c>
      <c r="AI117" s="275">
        <f t="shared" si="21"/>
        <v>-1.2721691930959171</v>
      </c>
      <c r="AJ117" s="275">
        <f t="shared" si="21"/>
        <v>-11.202959988095239</v>
      </c>
      <c r="AK117" s="275">
        <f t="shared" si="21"/>
        <v>0</v>
      </c>
      <c r="AL117" s="275">
        <f t="shared" si="21"/>
        <v>0</v>
      </c>
      <c r="AM117" s="275">
        <f t="shared" si="21"/>
        <v>0</v>
      </c>
      <c r="AN117" s="275">
        <f t="shared" si="21"/>
        <v>0</v>
      </c>
      <c r="AO117" s="275">
        <f t="shared" si="21"/>
        <v>0</v>
      </c>
    </row>
    <row r="118" spans="3:43" x14ac:dyDescent="0.25">
      <c r="C118" s="86"/>
      <c r="F118" s="91" t="s">
        <v>254</v>
      </c>
      <c r="G118" s="129" t="s">
        <v>107</v>
      </c>
      <c r="H118" s="267">
        <f t="shared" si="18"/>
        <v>2779670.1696025147</v>
      </c>
      <c r="I118" s="91"/>
      <c r="J118" s="267">
        <f t="shared" ref="J118:AO118" si="22" xml:space="preserve"> J47 * J76 * days_in_year / hundred</f>
        <v>2145099.4168003579</v>
      </c>
      <c r="K118" s="267">
        <f t="shared" si="22"/>
        <v>0</v>
      </c>
      <c r="L118" s="267">
        <f t="shared" si="22"/>
        <v>0.80071403616978631</v>
      </c>
      <c r="M118" s="267">
        <f t="shared" si="22"/>
        <v>12153.058102704008</v>
      </c>
      <c r="N118" s="267">
        <f t="shared" si="22"/>
        <v>14942.032740738219</v>
      </c>
      <c r="O118" s="267">
        <f t="shared" si="22"/>
        <v>13511.167503702529</v>
      </c>
      <c r="P118" s="267">
        <f t="shared" si="22"/>
        <v>28459.960770092235</v>
      </c>
      <c r="Q118" s="267">
        <f t="shared" si="22"/>
        <v>0</v>
      </c>
      <c r="R118" s="267">
        <f t="shared" si="22"/>
        <v>10.384418350359081</v>
      </c>
      <c r="S118" s="267">
        <f t="shared" si="22"/>
        <v>67392.159634061638</v>
      </c>
      <c r="T118" s="267">
        <f t="shared" si="22"/>
        <v>60948.411282920169</v>
      </c>
      <c r="U118" s="267">
        <f t="shared" si="22"/>
        <v>48941.336987881601</v>
      </c>
      <c r="V118" s="267">
        <f t="shared" si="22"/>
        <v>165313.65692763959</v>
      </c>
      <c r="W118" s="267">
        <f t="shared" si="22"/>
        <v>0</v>
      </c>
      <c r="X118" s="267">
        <f t="shared" si="22"/>
        <v>379.36814999999996</v>
      </c>
      <c r="Y118" s="267">
        <f t="shared" si="22"/>
        <v>4735.6392299999989</v>
      </c>
      <c r="Z118" s="267">
        <f t="shared" si="22"/>
        <v>8207.7833249999985</v>
      </c>
      <c r="AA118" s="267">
        <f t="shared" si="22"/>
        <v>75106.772159999993</v>
      </c>
      <c r="AB118" s="267">
        <f t="shared" si="22"/>
        <v>322.59734542829813</v>
      </c>
      <c r="AC118" s="267">
        <f t="shared" si="22"/>
        <v>10851.5389441074</v>
      </c>
      <c r="AD118" s="267">
        <f t="shared" si="22"/>
        <v>32891.729267380055</v>
      </c>
      <c r="AE118" s="267">
        <f t="shared" si="22"/>
        <v>25212.328274392337</v>
      </c>
      <c r="AF118" s="267">
        <f t="shared" si="22"/>
        <v>65190.027023721981</v>
      </c>
      <c r="AG118" s="267">
        <f t="shared" si="22"/>
        <v>0</v>
      </c>
      <c r="AH118" s="267">
        <f t="shared" si="22"/>
        <v>0</v>
      </c>
      <c r="AI118" s="267">
        <f t="shared" si="22"/>
        <v>0</v>
      </c>
      <c r="AJ118" s="267">
        <f t="shared" si="22"/>
        <v>0</v>
      </c>
      <c r="AK118" s="267">
        <f t="shared" si="22"/>
        <v>0</v>
      </c>
      <c r="AL118" s="267">
        <f t="shared" si="22"/>
        <v>0</v>
      </c>
      <c r="AM118" s="267">
        <f t="shared" si="22"/>
        <v>0</v>
      </c>
      <c r="AN118" s="267">
        <f t="shared" si="22"/>
        <v>0</v>
      </c>
      <c r="AO118" s="267">
        <f t="shared" si="22"/>
        <v>0</v>
      </c>
    </row>
    <row r="119" spans="3:43" x14ac:dyDescent="0.25">
      <c r="C119" s="86"/>
      <c r="F119" s="293" t="s">
        <v>255</v>
      </c>
      <c r="G119" s="108" t="s">
        <v>107</v>
      </c>
      <c r="H119" s="275">
        <f t="shared" si="18"/>
        <v>1747249.2821117719</v>
      </c>
      <c r="J119" s="275">
        <f t="shared" ref="J119:AO119" si="23" xml:space="preserve"> J48 * J77 * days_in_year / hundred</f>
        <v>0</v>
      </c>
      <c r="K119" s="275">
        <f t="shared" si="23"/>
        <v>0</v>
      </c>
      <c r="L119" s="275">
        <f t="shared" si="23"/>
        <v>0</v>
      </c>
      <c r="M119" s="275">
        <f t="shared" si="23"/>
        <v>0</v>
      </c>
      <c r="N119" s="275">
        <f t="shared" si="23"/>
        <v>0</v>
      </c>
      <c r="O119" s="275">
        <f t="shared" si="23"/>
        <v>0</v>
      </c>
      <c r="P119" s="275">
        <f t="shared" si="23"/>
        <v>0</v>
      </c>
      <c r="Q119" s="275">
        <f t="shared" si="23"/>
        <v>0</v>
      </c>
      <c r="R119" s="275">
        <f t="shared" si="23"/>
        <v>175.99338952112018</v>
      </c>
      <c r="S119" s="275">
        <f t="shared" si="23"/>
        <v>175458.53802051058</v>
      </c>
      <c r="T119" s="275">
        <f t="shared" si="23"/>
        <v>166665.92219469781</v>
      </c>
      <c r="U119" s="275">
        <f t="shared" si="23"/>
        <v>137311.51751879088</v>
      </c>
      <c r="V119" s="275">
        <f t="shared" si="23"/>
        <v>451740.89998825168</v>
      </c>
      <c r="W119" s="275">
        <f t="shared" si="23"/>
        <v>0</v>
      </c>
      <c r="X119" s="275">
        <f t="shared" si="23"/>
        <v>1579.1881819732296</v>
      </c>
      <c r="Y119" s="275">
        <f t="shared" si="23"/>
        <v>20026.694668170196</v>
      </c>
      <c r="Z119" s="275">
        <f t="shared" si="23"/>
        <v>24714.540675300999</v>
      </c>
      <c r="AA119" s="275">
        <f t="shared" si="23"/>
        <v>328797.28307455563</v>
      </c>
      <c r="AB119" s="275">
        <f t="shared" si="23"/>
        <v>273.68170518108968</v>
      </c>
      <c r="AC119" s="275">
        <f t="shared" si="23"/>
        <v>30312.672755218482</v>
      </c>
      <c r="AD119" s="275">
        <f t="shared" si="23"/>
        <v>105139.87056175784</v>
      </c>
      <c r="AE119" s="275">
        <f t="shared" si="23"/>
        <v>83451.013215861603</v>
      </c>
      <c r="AF119" s="275">
        <f t="shared" si="23"/>
        <v>221601.46616198093</v>
      </c>
      <c r="AG119" s="275">
        <f t="shared" si="23"/>
        <v>0</v>
      </c>
      <c r="AH119" s="275">
        <f t="shared" si="23"/>
        <v>0</v>
      </c>
      <c r="AI119" s="275">
        <f t="shared" si="23"/>
        <v>0</v>
      </c>
      <c r="AJ119" s="275">
        <f t="shared" si="23"/>
        <v>0</v>
      </c>
      <c r="AK119" s="275">
        <f t="shared" si="23"/>
        <v>0</v>
      </c>
      <c r="AL119" s="275">
        <f t="shared" si="23"/>
        <v>0</v>
      </c>
      <c r="AM119" s="275">
        <f t="shared" si="23"/>
        <v>0</v>
      </c>
      <c r="AN119" s="275">
        <f t="shared" si="23"/>
        <v>0</v>
      </c>
      <c r="AO119" s="275">
        <f t="shared" si="23"/>
        <v>0</v>
      </c>
    </row>
    <row r="120" spans="3:43" x14ac:dyDescent="0.25">
      <c r="C120" s="86"/>
      <c r="F120" s="293" t="s">
        <v>256</v>
      </c>
      <c r="G120" s="108" t="s">
        <v>107</v>
      </c>
      <c r="H120" s="275">
        <f t="shared" si="18"/>
        <v>4384.7608948890947</v>
      </c>
      <c r="J120" s="275">
        <f t="shared" ref="J120:AO120" si="24" xml:space="preserve"> J49 * J78 * days_in_year / hundred</f>
        <v>0</v>
      </c>
      <c r="K120" s="275">
        <f t="shared" si="24"/>
        <v>0</v>
      </c>
      <c r="L120" s="275">
        <f t="shared" si="24"/>
        <v>0</v>
      </c>
      <c r="M120" s="275">
        <f t="shared" si="24"/>
        <v>0</v>
      </c>
      <c r="N120" s="275">
        <f t="shared" si="24"/>
        <v>0</v>
      </c>
      <c r="O120" s="275">
        <f t="shared" si="24"/>
        <v>0</v>
      </c>
      <c r="P120" s="275">
        <f t="shared" si="24"/>
        <v>0</v>
      </c>
      <c r="Q120" s="275">
        <f t="shared" si="24"/>
        <v>0</v>
      </c>
      <c r="R120" s="275">
        <f t="shared" si="24"/>
        <v>0.1929451670113195</v>
      </c>
      <c r="S120" s="275">
        <f t="shared" si="24"/>
        <v>192.35879832785824</v>
      </c>
      <c r="T120" s="275">
        <f t="shared" si="24"/>
        <v>182.71927303890286</v>
      </c>
      <c r="U120" s="275">
        <f t="shared" si="24"/>
        <v>150.53743639082225</v>
      </c>
      <c r="V120" s="275">
        <f t="shared" si="24"/>
        <v>495.25282529783408</v>
      </c>
      <c r="W120" s="275">
        <f t="shared" si="24"/>
        <v>0</v>
      </c>
      <c r="X120" s="275">
        <f t="shared" si="24"/>
        <v>11.285212527382336</v>
      </c>
      <c r="Y120" s="275">
        <f t="shared" si="24"/>
        <v>143.11499296359764</v>
      </c>
      <c r="Z120" s="275">
        <f t="shared" si="24"/>
        <v>176.61533135899265</v>
      </c>
      <c r="AA120" s="275">
        <f t="shared" si="24"/>
        <v>2349.6548798166932</v>
      </c>
      <c r="AB120" s="275">
        <f t="shared" si="24"/>
        <v>0.42409625119918937</v>
      </c>
      <c r="AC120" s="275">
        <f t="shared" si="24"/>
        <v>46.972415897546895</v>
      </c>
      <c r="AD120" s="275">
        <f t="shared" si="24"/>
        <v>162.92439031430899</v>
      </c>
      <c r="AE120" s="275">
        <f t="shared" si="24"/>
        <v>129.31540981229719</v>
      </c>
      <c r="AF120" s="275">
        <f t="shared" si="24"/>
        <v>343.39288772464789</v>
      </c>
      <c r="AG120" s="275">
        <f t="shared" si="24"/>
        <v>0</v>
      </c>
      <c r="AH120" s="275">
        <f t="shared" si="24"/>
        <v>0</v>
      </c>
      <c r="AI120" s="275">
        <f t="shared" si="24"/>
        <v>0</v>
      </c>
      <c r="AJ120" s="275">
        <f t="shared" si="24"/>
        <v>0</v>
      </c>
      <c r="AK120" s="275">
        <f t="shared" si="24"/>
        <v>0</v>
      </c>
      <c r="AL120" s="275">
        <f t="shared" si="24"/>
        <v>0</v>
      </c>
      <c r="AM120" s="275">
        <f t="shared" si="24"/>
        <v>0</v>
      </c>
      <c r="AN120" s="275">
        <f t="shared" si="24"/>
        <v>0</v>
      </c>
      <c r="AO120" s="275">
        <f t="shared" si="24"/>
        <v>0</v>
      </c>
    </row>
    <row r="121" spans="3:43" x14ac:dyDescent="0.25">
      <c r="C121" s="86"/>
      <c r="F121" s="91" t="s">
        <v>257</v>
      </c>
      <c r="G121" s="129" t="s">
        <v>107</v>
      </c>
      <c r="H121" s="267">
        <f t="shared" si="18"/>
        <v>16233.359274265109</v>
      </c>
      <c r="I121" s="91"/>
      <c r="J121" s="267">
        <f t="shared" ref="J121:AO121" si="25">J50 * thousand * J79 / hundred</f>
        <v>0</v>
      </c>
      <c r="K121" s="267">
        <f t="shared" si="25"/>
        <v>0</v>
      </c>
      <c r="L121" s="267">
        <f t="shared" si="25"/>
        <v>0</v>
      </c>
      <c r="M121" s="267">
        <f t="shared" si="25"/>
        <v>0</v>
      </c>
      <c r="N121" s="267">
        <f t="shared" si="25"/>
        <v>0</v>
      </c>
      <c r="O121" s="267">
        <f t="shared" si="25"/>
        <v>0</v>
      </c>
      <c r="P121" s="267">
        <f t="shared" si="25"/>
        <v>0</v>
      </c>
      <c r="Q121" s="267">
        <f t="shared" si="25"/>
        <v>0</v>
      </c>
      <c r="R121" s="267">
        <f t="shared" si="25"/>
        <v>2.4747800270168696</v>
      </c>
      <c r="S121" s="267">
        <f t="shared" si="25"/>
        <v>2467.2590637879075</v>
      </c>
      <c r="T121" s="267">
        <f t="shared" si="25"/>
        <v>2343.619249303043</v>
      </c>
      <c r="U121" s="267">
        <f t="shared" si="25"/>
        <v>1930.8441184042365</v>
      </c>
      <c r="V121" s="267">
        <f t="shared" si="25"/>
        <v>6352.2803880278088</v>
      </c>
      <c r="W121" s="267">
        <f t="shared" si="25"/>
        <v>0</v>
      </c>
      <c r="X121" s="267">
        <f t="shared" si="25"/>
        <v>8.1660967449412869</v>
      </c>
      <c r="Y121" s="267">
        <f t="shared" si="25"/>
        <v>103.55949215458986</v>
      </c>
      <c r="Z121" s="267">
        <f t="shared" si="25"/>
        <v>127.80068421555337</v>
      </c>
      <c r="AA121" s="267">
        <f t="shared" si="25"/>
        <v>1700.2346228970096</v>
      </c>
      <c r="AB121" s="267">
        <f t="shared" si="25"/>
        <v>0.74329828721904856</v>
      </c>
      <c r="AC121" s="267">
        <f t="shared" si="25"/>
        <v>82.326868451352553</v>
      </c>
      <c r="AD121" s="267">
        <f t="shared" si="25"/>
        <v>285.55173483472919</v>
      </c>
      <c r="AE121" s="267">
        <f t="shared" si="25"/>
        <v>226.64648025705915</v>
      </c>
      <c r="AF121" s="267">
        <f t="shared" si="25"/>
        <v>601.85239687264129</v>
      </c>
      <c r="AG121" s="267">
        <f t="shared" si="25"/>
        <v>0</v>
      </c>
      <c r="AH121" s="267">
        <f t="shared" si="25"/>
        <v>0</v>
      </c>
      <c r="AI121" s="267">
        <f t="shared" si="25"/>
        <v>0</v>
      </c>
      <c r="AJ121" s="267">
        <f t="shared" si="25"/>
        <v>0</v>
      </c>
      <c r="AK121" s="267">
        <f t="shared" si="25"/>
        <v>0</v>
      </c>
      <c r="AL121" s="267">
        <f t="shared" si="25"/>
        <v>0</v>
      </c>
      <c r="AM121" s="267">
        <f t="shared" si="25"/>
        <v>0</v>
      </c>
      <c r="AN121" s="267">
        <f t="shared" si="25"/>
        <v>0</v>
      </c>
      <c r="AO121" s="267">
        <f t="shared" si="25"/>
        <v>0</v>
      </c>
    </row>
    <row r="122" spans="3:43" x14ac:dyDescent="0.25">
      <c r="C122" s="86"/>
      <c r="F122" s="73" t="s">
        <v>111</v>
      </c>
      <c r="G122" s="169" t="s">
        <v>107</v>
      </c>
      <c r="H122" s="270">
        <f>SUM(H115:H121)</f>
        <v>8272188.0902001383</v>
      </c>
      <c r="I122" s="73"/>
      <c r="J122" s="270">
        <f t="shared" ref="J122:AO122" si="26">SUM(J115:J121)</f>
        <v>4920977.6734665437</v>
      </c>
      <c r="K122" s="270">
        <f t="shared" si="26"/>
        <v>11715.239486352217</v>
      </c>
      <c r="L122" s="270">
        <f t="shared" si="26"/>
        <v>6.5031964007044261</v>
      </c>
      <c r="M122" s="270">
        <f t="shared" si="26"/>
        <v>19262.959586648383</v>
      </c>
      <c r="N122" s="270">
        <f t="shared" si="26"/>
        <v>32491.778203824579</v>
      </c>
      <c r="O122" s="270">
        <f t="shared" si="26"/>
        <v>34567.705399911894</v>
      </c>
      <c r="P122" s="270">
        <f t="shared" si="26"/>
        <v>81455.616074142425</v>
      </c>
      <c r="Q122" s="270">
        <f t="shared" si="26"/>
        <v>3240.6398555194546</v>
      </c>
      <c r="R122" s="270">
        <f t="shared" si="26"/>
        <v>303.12288233654687</v>
      </c>
      <c r="S122" s="270">
        <f t="shared" si="26"/>
        <v>359240.97880361631</v>
      </c>
      <c r="T122" s="270">
        <f t="shared" si="26"/>
        <v>338172.03993666748</v>
      </c>
      <c r="U122" s="270">
        <f t="shared" si="26"/>
        <v>277338.34005395172</v>
      </c>
      <c r="V122" s="270">
        <f t="shared" si="26"/>
        <v>916716.52235417941</v>
      </c>
      <c r="W122" s="270">
        <f t="shared" si="26"/>
        <v>0</v>
      </c>
      <c r="X122" s="270">
        <f t="shared" si="26"/>
        <v>2403.9645528226984</v>
      </c>
      <c r="Y122" s="270">
        <f t="shared" si="26"/>
        <v>30410.840227858796</v>
      </c>
      <c r="Z122" s="270">
        <f t="shared" si="26"/>
        <v>39893.031935528088</v>
      </c>
      <c r="AA122" s="270">
        <f t="shared" si="26"/>
        <v>496640.95293055137</v>
      </c>
      <c r="AB122" s="270">
        <f t="shared" si="26"/>
        <v>665.18850159966212</v>
      </c>
      <c r="AC122" s="270">
        <f t="shared" si="26"/>
        <v>48796.543704228483</v>
      </c>
      <c r="AD122" s="270">
        <f t="shared" si="26"/>
        <v>164504.43531810591</v>
      </c>
      <c r="AE122" s="270">
        <f t="shared" si="26"/>
        <v>129675.20818219123</v>
      </c>
      <c r="AF122" s="270">
        <f t="shared" si="26"/>
        <v>342587.82550451026</v>
      </c>
      <c r="AG122" s="270">
        <f t="shared" si="26"/>
        <v>24011.483442455665</v>
      </c>
      <c r="AH122" s="270">
        <f t="shared" si="26"/>
        <v>-667.859397161125</v>
      </c>
      <c r="AI122" s="270">
        <f t="shared" si="26"/>
        <v>-249.872722500181</v>
      </c>
      <c r="AJ122" s="270">
        <f t="shared" si="26"/>
        <v>-946.53207514682549</v>
      </c>
      <c r="AK122" s="270">
        <f t="shared" si="26"/>
        <v>0</v>
      </c>
      <c r="AL122" s="270">
        <f t="shared" si="26"/>
        <v>0</v>
      </c>
      <c r="AM122" s="270">
        <f t="shared" si="26"/>
        <v>0</v>
      </c>
      <c r="AN122" s="270">
        <f t="shared" si="26"/>
        <v>-1026.2392049999999</v>
      </c>
      <c r="AO122" s="270">
        <f t="shared" si="26"/>
        <v>0</v>
      </c>
    </row>
    <row r="123" spans="3:43" x14ac:dyDescent="0.25">
      <c r="C123" s="86"/>
      <c r="D123" s="98"/>
      <c r="E123" s="98"/>
      <c r="G123" s="108"/>
      <c r="H123" s="252"/>
      <c r="J123" s="252"/>
      <c r="K123" s="252"/>
      <c r="L123" s="252"/>
      <c r="M123" s="252"/>
      <c r="N123" s="252"/>
      <c r="O123" s="252"/>
      <c r="P123" s="252"/>
      <c r="Q123" s="252"/>
      <c r="R123" s="252"/>
      <c r="S123" s="252"/>
      <c r="T123" s="252"/>
      <c r="U123" s="252"/>
      <c r="V123" s="252"/>
      <c r="W123" s="252"/>
      <c r="X123" s="252"/>
      <c r="Y123" s="252"/>
      <c r="Z123" s="252"/>
      <c r="AA123" s="252"/>
      <c r="AB123" s="252"/>
      <c r="AC123" s="252"/>
      <c r="AD123" s="252"/>
      <c r="AE123" s="252"/>
      <c r="AF123" s="252"/>
      <c r="AG123" s="252"/>
      <c r="AH123" s="252"/>
      <c r="AI123" s="252"/>
      <c r="AJ123" s="252"/>
      <c r="AK123" s="252"/>
      <c r="AL123" s="252"/>
      <c r="AM123" s="252"/>
      <c r="AN123" s="252"/>
      <c r="AO123" s="252"/>
    </row>
    <row r="124" spans="3:43" x14ac:dyDescent="0.25">
      <c r="C124" s="7" t="str">
        <f ca="1">INDEX('Version control'!$H$35:$H$61,MATCH($A$1,'Version control'!$F$35:$F$61,0),1)&amp;"-E: Net revenue summary (for information only)"</f>
        <v>Section 521-E: Net revenue summary (for information only)</v>
      </c>
      <c r="D124" s="7"/>
      <c r="E124" s="7"/>
      <c r="F124" s="7"/>
      <c r="G124" s="7"/>
      <c r="H124" s="242"/>
      <c r="I124" s="7"/>
      <c r="J124" s="242"/>
      <c r="K124" s="242"/>
      <c r="L124" s="242"/>
      <c r="M124" s="242"/>
      <c r="N124" s="242"/>
      <c r="O124" s="242"/>
      <c r="P124" s="242"/>
      <c r="Q124" s="242"/>
      <c r="R124" s="242"/>
      <c r="S124" s="242"/>
      <c r="T124" s="242"/>
      <c r="U124" s="242"/>
      <c r="V124" s="242"/>
      <c r="W124" s="242"/>
      <c r="X124" s="242"/>
      <c r="Y124" s="242"/>
      <c r="Z124" s="242"/>
      <c r="AA124" s="242"/>
      <c r="AB124" s="242"/>
      <c r="AC124" s="242"/>
      <c r="AD124" s="242"/>
      <c r="AE124" s="242"/>
      <c r="AF124" s="242"/>
      <c r="AG124" s="242"/>
      <c r="AH124" s="242"/>
      <c r="AI124" s="242"/>
      <c r="AJ124" s="242"/>
      <c r="AK124" s="242"/>
      <c r="AL124" s="242"/>
      <c r="AM124" s="242"/>
      <c r="AN124" s="242"/>
      <c r="AO124" s="242"/>
      <c r="AP124" s="7"/>
      <c r="AQ124" s="7"/>
    </row>
    <row r="125" spans="3:43" x14ac:dyDescent="0.25">
      <c r="F125" s="88"/>
      <c r="G125" s="168"/>
      <c r="H125" s="276"/>
      <c r="I125" s="88"/>
      <c r="J125" s="252"/>
      <c r="K125" s="252"/>
      <c r="L125" s="252"/>
      <c r="M125" s="252"/>
      <c r="N125" s="252"/>
      <c r="O125" s="252"/>
      <c r="P125" s="252"/>
      <c r="Q125" s="252"/>
      <c r="R125" s="252"/>
      <c r="S125" s="252"/>
      <c r="T125" s="252"/>
      <c r="U125" s="252"/>
      <c r="V125" s="252"/>
      <c r="W125" s="252"/>
      <c r="X125" s="252"/>
      <c r="Y125" s="252"/>
      <c r="Z125" s="252"/>
      <c r="AA125" s="252"/>
      <c r="AB125" s="252"/>
      <c r="AC125" s="252"/>
      <c r="AD125" s="252"/>
      <c r="AE125" s="252"/>
      <c r="AF125" s="252"/>
      <c r="AG125" s="252"/>
      <c r="AH125" s="252"/>
      <c r="AI125" s="252"/>
      <c r="AJ125" s="252"/>
      <c r="AK125" s="252"/>
      <c r="AL125" s="252"/>
      <c r="AM125" s="252"/>
      <c r="AN125" s="252"/>
      <c r="AO125" s="252"/>
    </row>
    <row r="126" spans="3:43" x14ac:dyDescent="0.25">
      <c r="E126" s="293" t="s">
        <v>184</v>
      </c>
      <c r="G126" s="108" t="s">
        <v>107</v>
      </c>
      <c r="H126" s="425">
        <f>H83</f>
        <v>612226791.48677313</v>
      </c>
      <c r="J126" s="233"/>
      <c r="K126" s="233"/>
      <c r="L126" s="233"/>
      <c r="M126" s="233"/>
      <c r="N126" s="233"/>
      <c r="O126" s="233"/>
      <c r="P126" s="233"/>
      <c r="Q126" s="233"/>
      <c r="R126" s="233"/>
      <c r="S126" s="233"/>
      <c r="T126" s="233"/>
      <c r="U126" s="233"/>
      <c r="V126" s="233"/>
      <c r="W126" s="233"/>
      <c r="X126" s="233"/>
      <c r="Y126" s="233"/>
      <c r="Z126" s="233"/>
      <c r="AA126" s="233"/>
      <c r="AB126" s="233"/>
      <c r="AC126" s="233"/>
      <c r="AD126" s="233"/>
      <c r="AE126" s="233"/>
      <c r="AF126" s="233"/>
      <c r="AG126" s="233"/>
      <c r="AH126" s="233"/>
      <c r="AI126" s="233"/>
      <c r="AJ126" s="233"/>
      <c r="AK126" s="233"/>
      <c r="AL126" s="233"/>
      <c r="AM126" s="233"/>
      <c r="AN126" s="233"/>
      <c r="AO126" s="233"/>
    </row>
    <row r="127" spans="3:43" x14ac:dyDescent="0.25">
      <c r="G127" s="108"/>
      <c r="H127" s="425"/>
      <c r="J127" s="233"/>
      <c r="K127" s="233"/>
      <c r="L127" s="233"/>
      <c r="M127" s="233"/>
      <c r="N127" s="233"/>
      <c r="O127" s="233"/>
      <c r="P127" s="233"/>
      <c r="Q127" s="233"/>
      <c r="R127" s="233"/>
      <c r="S127" s="233"/>
      <c r="T127" s="233"/>
      <c r="U127" s="233"/>
      <c r="V127" s="233"/>
      <c r="W127" s="233"/>
      <c r="X127" s="233"/>
      <c r="Y127" s="233"/>
      <c r="Z127" s="233"/>
      <c r="AA127" s="233"/>
      <c r="AB127" s="233"/>
      <c r="AC127" s="233"/>
      <c r="AD127" s="233"/>
      <c r="AE127" s="233"/>
      <c r="AF127" s="233"/>
      <c r="AG127" s="233"/>
      <c r="AH127" s="233"/>
      <c r="AI127" s="233"/>
      <c r="AJ127" s="233"/>
      <c r="AK127" s="233"/>
      <c r="AL127" s="233"/>
      <c r="AM127" s="233"/>
      <c r="AN127" s="233"/>
      <c r="AO127" s="233"/>
    </row>
    <row r="128" spans="3:43" x14ac:dyDescent="0.25">
      <c r="E128" s="293" t="s">
        <v>610</v>
      </c>
      <c r="G128" s="108" t="s">
        <v>107</v>
      </c>
      <c r="H128" s="247">
        <f>H85</f>
        <v>485469032.89714849</v>
      </c>
      <c r="J128" s="233"/>
      <c r="K128" s="233"/>
      <c r="L128" s="233"/>
      <c r="M128" s="233"/>
      <c r="N128" s="233"/>
      <c r="O128" s="233"/>
      <c r="P128" s="233"/>
      <c r="Q128" s="233"/>
      <c r="R128" s="233"/>
      <c r="S128" s="233"/>
      <c r="T128" s="233"/>
      <c r="U128" s="233"/>
      <c r="V128" s="233"/>
      <c r="W128" s="233"/>
      <c r="X128" s="233"/>
      <c r="Y128" s="233"/>
      <c r="Z128" s="233"/>
      <c r="AA128" s="233"/>
      <c r="AB128" s="233"/>
      <c r="AC128" s="233"/>
      <c r="AD128" s="233"/>
      <c r="AE128" s="233"/>
      <c r="AF128" s="233"/>
      <c r="AG128" s="233"/>
      <c r="AH128" s="233"/>
      <c r="AI128" s="233"/>
      <c r="AJ128" s="233"/>
      <c r="AK128" s="233"/>
      <c r="AL128" s="233"/>
      <c r="AM128" s="233"/>
      <c r="AN128" s="233"/>
      <c r="AO128" s="233"/>
    </row>
    <row r="129" spans="2:43" x14ac:dyDescent="0.25">
      <c r="E129" s="293" t="s">
        <v>986</v>
      </c>
      <c r="G129" s="108" t="s">
        <v>107</v>
      </c>
      <c r="H129" s="247">
        <f>H86</f>
        <v>3108877.3592610648</v>
      </c>
      <c r="J129" s="233"/>
      <c r="K129" s="233"/>
      <c r="L129" s="233"/>
      <c r="M129" s="233"/>
      <c r="N129" s="233"/>
      <c r="O129" s="233"/>
      <c r="P129" s="233"/>
      <c r="Q129" s="233"/>
      <c r="R129" s="233"/>
      <c r="S129" s="233"/>
      <c r="T129" s="233"/>
      <c r="U129" s="233"/>
      <c r="V129" s="233"/>
      <c r="W129" s="233"/>
      <c r="X129" s="233"/>
      <c r="Y129" s="233"/>
      <c r="Z129" s="233"/>
      <c r="AA129" s="233"/>
      <c r="AB129" s="233"/>
      <c r="AC129" s="233"/>
      <c r="AD129" s="233"/>
      <c r="AE129" s="233"/>
      <c r="AF129" s="233"/>
      <c r="AG129" s="233"/>
      <c r="AH129" s="233"/>
      <c r="AI129" s="233"/>
      <c r="AJ129" s="233"/>
      <c r="AK129" s="233"/>
      <c r="AL129" s="233"/>
      <c r="AM129" s="233"/>
      <c r="AN129" s="233"/>
      <c r="AO129" s="233"/>
    </row>
    <row r="130" spans="2:43" x14ac:dyDescent="0.25">
      <c r="E130" s="293" t="s">
        <v>987</v>
      </c>
      <c r="G130" s="108" t="s">
        <v>107</v>
      </c>
      <c r="H130" s="247">
        <f>H87</f>
        <v>13.235972448889127</v>
      </c>
      <c r="J130" s="233"/>
      <c r="K130" s="233"/>
      <c r="L130" s="233"/>
      <c r="M130" s="233"/>
      <c r="N130" s="233"/>
      <c r="O130" s="233"/>
      <c r="P130" s="233"/>
      <c r="Q130" s="233"/>
      <c r="R130" s="233"/>
      <c r="S130" s="233"/>
      <c r="T130" s="233"/>
      <c r="U130" s="233"/>
      <c r="V130" s="233"/>
      <c r="W130" s="233"/>
      <c r="X130" s="233"/>
      <c r="Y130" s="233"/>
      <c r="Z130" s="233"/>
      <c r="AA130" s="233"/>
      <c r="AB130" s="233"/>
      <c r="AC130" s="233"/>
      <c r="AD130" s="233"/>
      <c r="AE130" s="233"/>
      <c r="AF130" s="233"/>
      <c r="AG130" s="233"/>
      <c r="AH130" s="233"/>
      <c r="AI130" s="233"/>
      <c r="AJ130" s="233"/>
      <c r="AK130" s="233"/>
      <c r="AL130" s="233"/>
      <c r="AM130" s="233"/>
      <c r="AN130" s="233"/>
      <c r="AO130" s="233"/>
    </row>
    <row r="131" spans="2:43" x14ac:dyDescent="0.25">
      <c r="E131" s="293" t="s">
        <v>1219</v>
      </c>
      <c r="G131" s="108" t="s">
        <v>107</v>
      </c>
      <c r="H131" s="247">
        <f>H88</f>
        <v>123648867.99439108</v>
      </c>
      <c r="J131" s="233"/>
      <c r="K131" s="233"/>
      <c r="L131" s="233"/>
      <c r="M131" s="233"/>
      <c r="N131" s="233"/>
      <c r="O131" s="233"/>
      <c r="P131" s="233"/>
      <c r="Q131" s="233"/>
      <c r="R131" s="233"/>
      <c r="S131" s="233"/>
      <c r="T131" s="233"/>
      <c r="U131" s="233"/>
      <c r="V131" s="233"/>
      <c r="W131" s="233"/>
      <c r="X131" s="233"/>
      <c r="Y131" s="233"/>
      <c r="Z131" s="233"/>
      <c r="AA131" s="233"/>
      <c r="AB131" s="233"/>
      <c r="AC131" s="233"/>
      <c r="AD131" s="233"/>
      <c r="AE131" s="233"/>
      <c r="AF131" s="233"/>
      <c r="AG131" s="233"/>
      <c r="AH131" s="233"/>
      <c r="AI131" s="233"/>
      <c r="AJ131" s="233"/>
      <c r="AK131" s="233"/>
      <c r="AL131" s="233"/>
      <c r="AM131" s="233"/>
      <c r="AN131" s="233"/>
      <c r="AO131" s="233"/>
    </row>
    <row r="132" spans="2:43" x14ac:dyDescent="0.25">
      <c r="E132" s="93" t="s">
        <v>611</v>
      </c>
      <c r="F132" s="93"/>
      <c r="G132" s="131" t="s">
        <v>107</v>
      </c>
      <c r="H132" s="286">
        <f>SUM(H102,H112,H122) - SUM(H128:H129, H131)</f>
        <v>11280.76448571682</v>
      </c>
      <c r="J132" s="233"/>
      <c r="K132" s="233"/>
      <c r="L132" s="233"/>
      <c r="M132" s="233"/>
      <c r="N132" s="233"/>
      <c r="O132" s="233"/>
      <c r="P132" s="233"/>
      <c r="Q132" s="233"/>
      <c r="R132" s="233"/>
      <c r="S132" s="233"/>
      <c r="T132" s="233"/>
      <c r="U132" s="233"/>
      <c r="V132" s="233"/>
      <c r="W132" s="233"/>
      <c r="X132" s="233"/>
      <c r="Y132" s="233"/>
      <c r="Z132" s="233"/>
      <c r="AA132" s="233"/>
      <c r="AB132" s="233"/>
      <c r="AC132" s="233"/>
      <c r="AD132" s="233"/>
      <c r="AE132" s="233"/>
      <c r="AF132" s="233"/>
      <c r="AG132" s="233"/>
      <c r="AH132" s="233"/>
      <c r="AI132" s="233"/>
      <c r="AJ132" s="233"/>
      <c r="AK132" s="233"/>
      <c r="AL132" s="233"/>
      <c r="AM132" s="233"/>
      <c r="AN132" s="233"/>
      <c r="AO132" s="233"/>
    </row>
    <row r="133" spans="2:43" x14ac:dyDescent="0.25">
      <c r="E133" s="73" t="s">
        <v>613</v>
      </c>
      <c r="F133" s="73"/>
      <c r="G133" s="169" t="s">
        <v>107</v>
      </c>
      <c r="H133" s="286">
        <f>SUM(H128:H132)</f>
        <v>612238072.25125873</v>
      </c>
      <c r="J133" s="233"/>
      <c r="K133" s="233"/>
      <c r="L133" s="233"/>
      <c r="M133" s="233"/>
      <c r="N133" s="233"/>
      <c r="O133" s="233"/>
      <c r="P133" s="233"/>
      <c r="Q133" s="233"/>
      <c r="R133" s="233"/>
      <c r="S133" s="233"/>
      <c r="T133" s="233"/>
      <c r="U133" s="233"/>
      <c r="V133" s="233"/>
      <c r="W133" s="233"/>
      <c r="X133" s="233"/>
      <c r="Y133" s="233"/>
      <c r="Z133" s="233"/>
      <c r="AA133" s="233"/>
      <c r="AB133" s="233"/>
      <c r="AC133" s="233"/>
      <c r="AD133" s="233"/>
      <c r="AE133" s="233"/>
      <c r="AF133" s="233"/>
      <c r="AG133" s="233"/>
      <c r="AH133" s="233"/>
      <c r="AI133" s="233"/>
      <c r="AJ133" s="233"/>
      <c r="AK133" s="233"/>
      <c r="AL133" s="233"/>
      <c r="AM133" s="233"/>
      <c r="AN133" s="233"/>
      <c r="AO133" s="233"/>
    </row>
    <row r="134" spans="2:43" x14ac:dyDescent="0.25">
      <c r="G134" s="108"/>
      <c r="H134" s="233"/>
      <c r="J134" s="233"/>
      <c r="K134" s="233"/>
      <c r="L134" s="233"/>
      <c r="M134" s="233"/>
      <c r="N134" s="233"/>
      <c r="O134" s="233"/>
      <c r="P134" s="233"/>
      <c r="Q134" s="233"/>
      <c r="R134" s="233"/>
      <c r="S134" s="233"/>
      <c r="T134" s="233"/>
      <c r="U134" s="233"/>
      <c r="V134" s="233"/>
      <c r="W134" s="233"/>
      <c r="X134" s="233"/>
      <c r="Y134" s="233"/>
      <c r="Z134" s="233"/>
      <c r="AA134" s="233"/>
      <c r="AB134" s="233"/>
      <c r="AC134" s="233"/>
      <c r="AD134" s="233"/>
      <c r="AE134" s="233"/>
      <c r="AF134" s="233"/>
      <c r="AG134" s="233"/>
      <c r="AH134" s="233"/>
      <c r="AI134" s="233"/>
      <c r="AJ134" s="233"/>
      <c r="AK134" s="233"/>
      <c r="AL134" s="233"/>
      <c r="AM134" s="233"/>
      <c r="AN134" s="233"/>
      <c r="AO134" s="233"/>
    </row>
    <row r="135" spans="2:43" x14ac:dyDescent="0.25">
      <c r="E135" s="293" t="s">
        <v>612</v>
      </c>
      <c r="G135" s="108" t="s">
        <v>107</v>
      </c>
      <c r="H135" s="426">
        <f>H133 - H126</f>
        <v>11280.76448559761</v>
      </c>
      <c r="J135" s="233"/>
      <c r="K135" s="233"/>
      <c r="L135" s="233"/>
      <c r="M135" s="233"/>
      <c r="N135" s="233"/>
      <c r="O135" s="233"/>
      <c r="P135" s="233"/>
      <c r="Q135" s="233"/>
      <c r="R135" s="233"/>
      <c r="S135" s="233"/>
      <c r="T135" s="233"/>
      <c r="U135" s="233"/>
      <c r="V135" s="233"/>
      <c r="W135" s="233"/>
      <c r="X135" s="233"/>
      <c r="Y135" s="233"/>
      <c r="Z135" s="233"/>
      <c r="AA135" s="233"/>
      <c r="AB135" s="233"/>
      <c r="AC135" s="233"/>
      <c r="AD135" s="233"/>
      <c r="AE135" s="233"/>
      <c r="AF135" s="233"/>
      <c r="AG135" s="233"/>
      <c r="AH135" s="233"/>
      <c r="AI135" s="233"/>
      <c r="AJ135" s="233"/>
      <c r="AK135" s="233"/>
      <c r="AL135" s="233"/>
      <c r="AM135" s="233"/>
      <c r="AN135" s="233"/>
      <c r="AO135" s="233"/>
    </row>
    <row r="136" spans="2:43" x14ac:dyDescent="0.25">
      <c r="E136" s="293" t="s">
        <v>612</v>
      </c>
      <c r="G136" s="108" t="s">
        <v>94</v>
      </c>
      <c r="H136" s="427">
        <f>(H133 - H126) / H126</f>
        <v>1.8425793582477232E-5</v>
      </c>
      <c r="J136" s="233"/>
      <c r="K136" s="233"/>
      <c r="L136" s="233"/>
      <c r="M136" s="233"/>
      <c r="N136" s="233"/>
      <c r="O136" s="233"/>
      <c r="P136" s="233"/>
      <c r="Q136" s="233"/>
      <c r="R136" s="233"/>
      <c r="S136" s="233"/>
      <c r="T136" s="233"/>
      <c r="U136" s="233"/>
      <c r="V136" s="233"/>
      <c r="W136" s="233"/>
      <c r="X136" s="233"/>
      <c r="Y136" s="233"/>
      <c r="Z136" s="233"/>
      <c r="AA136" s="233"/>
      <c r="AB136" s="233"/>
      <c r="AC136" s="233"/>
      <c r="AD136" s="233"/>
      <c r="AE136" s="233"/>
      <c r="AF136" s="233"/>
      <c r="AG136" s="233"/>
      <c r="AH136" s="233"/>
      <c r="AI136" s="233"/>
      <c r="AJ136" s="233"/>
      <c r="AK136" s="233"/>
      <c r="AL136" s="233"/>
      <c r="AM136" s="233"/>
      <c r="AN136" s="233"/>
      <c r="AO136" s="233"/>
    </row>
    <row r="137" spans="2:43" x14ac:dyDescent="0.25">
      <c r="C137" s="86"/>
      <c r="D137" s="98"/>
      <c r="E137" s="98"/>
      <c r="G137" s="108"/>
      <c r="J137" s="252"/>
      <c r="K137" s="252"/>
      <c r="L137" s="252"/>
      <c r="M137" s="252"/>
      <c r="N137" s="252"/>
      <c r="O137" s="252"/>
      <c r="P137" s="252"/>
      <c r="Q137" s="252"/>
      <c r="R137" s="252"/>
      <c r="S137" s="252"/>
      <c r="T137" s="252"/>
      <c r="U137" s="252"/>
      <c r="V137" s="252"/>
      <c r="W137" s="252"/>
      <c r="X137" s="252"/>
      <c r="Y137" s="252"/>
      <c r="Z137" s="252"/>
      <c r="AA137" s="252"/>
      <c r="AB137" s="252"/>
      <c r="AC137" s="252"/>
      <c r="AD137" s="252"/>
      <c r="AE137" s="252"/>
      <c r="AF137" s="252"/>
      <c r="AG137" s="252"/>
      <c r="AH137" s="252"/>
      <c r="AI137" s="252"/>
      <c r="AJ137" s="252"/>
      <c r="AK137" s="252"/>
      <c r="AL137" s="252"/>
      <c r="AM137" s="252"/>
      <c r="AN137" s="252"/>
      <c r="AO137" s="252"/>
    </row>
    <row r="138" spans="2:43" x14ac:dyDescent="0.25">
      <c r="C138" s="7" t="str">
        <f ca="1">INDEX('Version control'!$H$35:$H$61,MATCH($A$1,'Version control'!$F$35:$F$61,0),1)&amp;"-F: Typical bills"</f>
        <v>Section 521-F: Typical bills</v>
      </c>
      <c r="D138" s="7"/>
      <c r="E138" s="7"/>
      <c r="F138" s="7"/>
      <c r="G138" s="7"/>
      <c r="H138" s="7"/>
      <c r="I138" s="7"/>
      <c r="J138" s="242"/>
      <c r="K138" s="242"/>
      <c r="L138" s="242"/>
      <c r="M138" s="242"/>
      <c r="N138" s="242"/>
      <c r="O138" s="242"/>
      <c r="P138" s="242"/>
      <c r="Q138" s="242"/>
      <c r="R138" s="242"/>
      <c r="S138" s="242"/>
      <c r="T138" s="242"/>
      <c r="U138" s="242"/>
      <c r="V138" s="242"/>
      <c r="W138" s="242"/>
      <c r="X138" s="242"/>
      <c r="Y138" s="242"/>
      <c r="Z138" s="242"/>
      <c r="AA138" s="242"/>
      <c r="AB138" s="242"/>
      <c r="AC138" s="242"/>
      <c r="AD138" s="242"/>
      <c r="AE138" s="242"/>
      <c r="AF138" s="242"/>
      <c r="AG138" s="242"/>
      <c r="AH138" s="242"/>
      <c r="AI138" s="242"/>
      <c r="AJ138" s="242"/>
      <c r="AK138" s="242"/>
      <c r="AL138" s="242"/>
      <c r="AM138" s="242"/>
      <c r="AN138" s="242"/>
      <c r="AO138" s="242"/>
      <c r="AP138" s="7"/>
      <c r="AQ138" s="7"/>
    </row>
    <row r="139" spans="2:43" x14ac:dyDescent="0.25">
      <c r="F139" s="88"/>
      <c r="G139" s="168"/>
      <c r="H139" s="88"/>
      <c r="I139" s="88"/>
      <c r="J139" s="252"/>
      <c r="K139" s="252"/>
      <c r="L139" s="252"/>
      <c r="M139" s="252"/>
      <c r="N139" s="252"/>
      <c r="O139" s="252"/>
      <c r="P139" s="252"/>
      <c r="Q139" s="252"/>
      <c r="R139" s="252"/>
      <c r="S139" s="252"/>
      <c r="T139" s="252"/>
      <c r="U139" s="252"/>
      <c r="V139" s="252"/>
      <c r="W139" s="252"/>
      <c r="X139" s="252"/>
      <c r="Y139" s="252"/>
      <c r="Z139" s="252"/>
      <c r="AA139" s="252"/>
      <c r="AB139" s="252"/>
      <c r="AC139" s="252"/>
      <c r="AD139" s="252"/>
      <c r="AE139" s="252"/>
      <c r="AF139" s="252"/>
      <c r="AG139" s="252"/>
      <c r="AH139" s="252"/>
      <c r="AI139" s="252"/>
      <c r="AJ139" s="252"/>
      <c r="AK139" s="252"/>
      <c r="AL139" s="252"/>
      <c r="AM139" s="252"/>
      <c r="AN139" s="252"/>
      <c r="AO139" s="252"/>
    </row>
    <row r="140" spans="2:43" x14ac:dyDescent="0.25">
      <c r="E140" s="293" t="s">
        <v>484</v>
      </c>
      <c r="G140" s="108" t="s">
        <v>681</v>
      </c>
      <c r="H140" s="293" t="s">
        <v>261</v>
      </c>
      <c r="J140" s="233">
        <f t="shared" ref="J140:AO140" si="27" xml:space="preserve"> IF( J25 &lt;&gt; 0, J102 / J25, 0)</f>
        <v>110.61941862037723</v>
      </c>
      <c r="K140" s="233">
        <f t="shared" si="27"/>
        <v>16.8440571855587</v>
      </c>
      <c r="L140" s="233">
        <f t="shared" si="27"/>
        <v>320.83337524133424</v>
      </c>
      <c r="M140" s="233">
        <f t="shared" si="27"/>
        <v>74.759706920699614</v>
      </c>
      <c r="N140" s="233">
        <f t="shared" si="27"/>
        <v>177.34679151664412</v>
      </c>
      <c r="O140" s="233">
        <f t="shared" si="27"/>
        <v>364.16390437130582</v>
      </c>
      <c r="P140" s="233">
        <f t="shared" si="27"/>
        <v>939.43083262968469</v>
      </c>
      <c r="Q140" s="233">
        <f t="shared" si="27"/>
        <v>27.568319562761168</v>
      </c>
      <c r="R140" s="233">
        <f t="shared" si="27"/>
        <v>1513.2473211087749</v>
      </c>
      <c r="S140" s="233">
        <f t="shared" si="27"/>
        <v>2251.9545397870538</v>
      </c>
      <c r="T140" s="233">
        <f t="shared" si="27"/>
        <v>4094.5397270806416</v>
      </c>
      <c r="U140" s="233">
        <f t="shared" si="27"/>
        <v>6299.9741787335979</v>
      </c>
      <c r="V140" s="233">
        <f t="shared" si="27"/>
        <v>15316.352784576897</v>
      </c>
      <c r="W140" s="233">
        <f t="shared" si="27"/>
        <v>0</v>
      </c>
      <c r="X140" s="233">
        <f t="shared" si="27"/>
        <v>3901.021853104131</v>
      </c>
      <c r="Y140" s="233">
        <f t="shared" si="27"/>
        <v>6494.2043904538659</v>
      </c>
      <c r="Z140" s="233">
        <f t="shared" si="27"/>
        <v>7173.3575444502894</v>
      </c>
      <c r="AA140" s="233">
        <f t="shared" si="27"/>
        <v>23437.823038871422</v>
      </c>
      <c r="AB140" s="233">
        <f t="shared" si="27"/>
        <v>3071.1063380389251</v>
      </c>
      <c r="AC140" s="233">
        <f t="shared" si="27"/>
        <v>11181.173880169694</v>
      </c>
      <c r="AD140" s="233">
        <f t="shared" si="27"/>
        <v>31398.934828220779</v>
      </c>
      <c r="AE140" s="233">
        <f t="shared" si="27"/>
        <v>57098.724071025623</v>
      </c>
      <c r="AF140" s="233">
        <f t="shared" si="27"/>
        <v>148967.22231478975</v>
      </c>
      <c r="AG140" s="233">
        <f t="shared" si="27"/>
        <v>1970.5314980753108</v>
      </c>
      <c r="AH140" s="233">
        <f t="shared" si="27"/>
        <v>-42.276437020645957</v>
      </c>
      <c r="AI140" s="233">
        <f t="shared" si="27"/>
        <v>-66.510019629353721</v>
      </c>
      <c r="AJ140" s="233">
        <f t="shared" si="27"/>
        <v>-525.40107675617708</v>
      </c>
      <c r="AK140" s="233">
        <f t="shared" si="27"/>
        <v>0</v>
      </c>
      <c r="AL140" s="233">
        <f t="shared" si="27"/>
        <v>0</v>
      </c>
      <c r="AM140" s="233">
        <f t="shared" si="27"/>
        <v>0</v>
      </c>
      <c r="AN140" s="233">
        <f t="shared" si="27"/>
        <v>-20555.241278971967</v>
      </c>
      <c r="AO140" s="233">
        <f t="shared" si="27"/>
        <v>0</v>
      </c>
    </row>
    <row r="141" spans="2:43" x14ac:dyDescent="0.25">
      <c r="E141" s="293" t="s">
        <v>485</v>
      </c>
      <c r="G141" s="108" t="s">
        <v>681</v>
      </c>
      <c r="H141" s="293" t="s">
        <v>146</v>
      </c>
      <c r="J141" s="233">
        <f t="shared" ref="J141:AO141" si="28" xml:space="preserve"> IF( J36 &lt;&gt; 0, J112 / J36, 0)</f>
        <v>60.661785295654873</v>
      </c>
      <c r="K141" s="233">
        <f t="shared" si="28"/>
        <v>0</v>
      </c>
      <c r="L141" s="233">
        <f t="shared" si="28"/>
        <v>194.74051509538614</v>
      </c>
      <c r="M141" s="233">
        <f t="shared" si="28"/>
        <v>47.061796536084444</v>
      </c>
      <c r="N141" s="233">
        <f t="shared" si="28"/>
        <v>110.00979998389938</v>
      </c>
      <c r="O141" s="233">
        <f t="shared" si="28"/>
        <v>224.66286153973664</v>
      </c>
      <c r="P141" s="233">
        <f t="shared" si="28"/>
        <v>577.73409433594725</v>
      </c>
      <c r="Q141" s="233">
        <f t="shared" si="28"/>
        <v>649.90940287319631</v>
      </c>
      <c r="R141" s="233">
        <f t="shared" si="28"/>
        <v>736.98148415163121</v>
      </c>
      <c r="S141" s="233">
        <f t="shared" si="28"/>
        <v>1164.2363643872391</v>
      </c>
      <c r="T141" s="233">
        <f t="shared" si="28"/>
        <v>2111.039981655475</v>
      </c>
      <c r="U141" s="233">
        <f t="shared" si="28"/>
        <v>3243.5313189723415</v>
      </c>
      <c r="V141" s="233">
        <f t="shared" si="28"/>
        <v>7896.6485842836773</v>
      </c>
      <c r="W141" s="233">
        <f t="shared" si="28"/>
        <v>0</v>
      </c>
      <c r="X141" s="233">
        <f t="shared" si="28"/>
        <v>0</v>
      </c>
      <c r="Y141" s="233">
        <f t="shared" si="28"/>
        <v>0</v>
      </c>
      <c r="Z141" s="233">
        <f t="shared" si="28"/>
        <v>0</v>
      </c>
      <c r="AA141" s="233">
        <f t="shared" si="28"/>
        <v>0</v>
      </c>
      <c r="AB141" s="233">
        <f t="shared" si="28"/>
        <v>0</v>
      </c>
      <c r="AC141" s="233">
        <f t="shared" si="28"/>
        <v>0</v>
      </c>
      <c r="AD141" s="233">
        <f t="shared" si="28"/>
        <v>0</v>
      </c>
      <c r="AE141" s="233">
        <f t="shared" si="28"/>
        <v>0</v>
      </c>
      <c r="AF141" s="233">
        <f t="shared" si="28"/>
        <v>0</v>
      </c>
      <c r="AG141" s="233">
        <f t="shared" si="28"/>
        <v>25.349808695524338</v>
      </c>
      <c r="AH141" s="233">
        <f t="shared" si="28"/>
        <v>-64.396997560474247</v>
      </c>
      <c r="AI141" s="233">
        <f t="shared" si="28"/>
        <v>0</v>
      </c>
      <c r="AJ141" s="233">
        <f t="shared" si="28"/>
        <v>0</v>
      </c>
      <c r="AK141" s="233">
        <f t="shared" si="28"/>
        <v>0</v>
      </c>
      <c r="AL141" s="233">
        <f t="shared" si="28"/>
        <v>0</v>
      </c>
      <c r="AM141" s="233">
        <f t="shared" si="28"/>
        <v>0</v>
      </c>
      <c r="AN141" s="233">
        <f t="shared" si="28"/>
        <v>0</v>
      </c>
      <c r="AO141" s="233">
        <f t="shared" si="28"/>
        <v>0</v>
      </c>
    </row>
    <row r="142" spans="2:43" x14ac:dyDescent="0.25">
      <c r="E142" s="293" t="s">
        <v>486</v>
      </c>
      <c r="G142" s="108" t="s">
        <v>681</v>
      </c>
      <c r="H142" s="293" t="s">
        <v>147</v>
      </c>
      <c r="J142" s="233">
        <f t="shared" ref="J142:AO142" si="29" xml:space="preserve"> IF( J47 &lt;&gt; 0, J122 / J47, 0)</f>
        <v>42.736882380407508</v>
      </c>
      <c r="K142" s="233">
        <f t="shared" si="29"/>
        <v>22.021126854045519</v>
      </c>
      <c r="L142" s="233">
        <f t="shared" si="29"/>
        <v>115.03804142047755</v>
      </c>
      <c r="M142" s="233">
        <f t="shared" si="29"/>
        <v>31.094481141578154</v>
      </c>
      <c r="N142" s="233">
        <f t="shared" si="29"/>
        <v>69.798240523094691</v>
      </c>
      <c r="O142" s="233">
        <f t="shared" si="29"/>
        <v>140.27186546984402</v>
      </c>
      <c r="P142" s="233">
        <f t="shared" si="29"/>
        <v>357.31359496405855</v>
      </c>
      <c r="Q142" s="233">
        <f t="shared" si="29"/>
        <v>339.39133621994284</v>
      </c>
      <c r="R142" s="233">
        <f t="shared" si="29"/>
        <v>864.30326373988919</v>
      </c>
      <c r="S142" s="233">
        <f t="shared" si="29"/>
        <v>1240.2515941969154</v>
      </c>
      <c r="T142" s="233">
        <f t="shared" si="29"/>
        <v>2258.5997924084368</v>
      </c>
      <c r="U142" s="233">
        <f t="shared" si="29"/>
        <v>3477.9419796785623</v>
      </c>
      <c r="V142" s="233">
        <f t="shared" si="29"/>
        <v>8447.338970947294</v>
      </c>
      <c r="W142" s="233">
        <f t="shared" si="29"/>
        <v>0</v>
      </c>
      <c r="X142" s="233">
        <f t="shared" si="29"/>
        <v>2747.3880603687981</v>
      </c>
      <c r="Y142" s="233">
        <f t="shared" si="29"/>
        <v>4573.0586808810222</v>
      </c>
      <c r="Z142" s="233">
        <f t="shared" si="29"/>
        <v>5065.7818330829314</v>
      </c>
      <c r="AA142" s="233">
        <f t="shared" si="29"/>
        <v>16499.699432908685</v>
      </c>
      <c r="AB142" s="233">
        <f t="shared" si="29"/>
        <v>1115.498129672229</v>
      </c>
      <c r="AC142" s="233">
        <f t="shared" si="29"/>
        <v>12677.484071828143</v>
      </c>
      <c r="AD142" s="233">
        <f t="shared" si="29"/>
        <v>35950.840735487596</v>
      </c>
      <c r="AE142" s="233">
        <f t="shared" si="29"/>
        <v>65534.731766289646</v>
      </c>
      <c r="AF142" s="233">
        <f t="shared" si="29"/>
        <v>171287.73097659144</v>
      </c>
      <c r="AG142" s="233">
        <f t="shared" si="29"/>
        <v>47.83164032361686</v>
      </c>
      <c r="AH142" s="233">
        <f t="shared" si="29"/>
        <v>-111.30989952685417</v>
      </c>
      <c r="AI142" s="233">
        <f t="shared" si="29"/>
        <v>-41.645453750030164</v>
      </c>
      <c r="AJ142" s="233">
        <f t="shared" si="29"/>
        <v>-946.53207514682549</v>
      </c>
      <c r="AK142" s="233">
        <f t="shared" si="29"/>
        <v>0</v>
      </c>
      <c r="AL142" s="233">
        <f t="shared" si="29"/>
        <v>0</v>
      </c>
      <c r="AM142" s="233">
        <f t="shared" si="29"/>
        <v>0</v>
      </c>
      <c r="AN142" s="233">
        <f t="shared" si="29"/>
        <v>-1026.2392049999999</v>
      </c>
      <c r="AO142" s="233">
        <f t="shared" si="29"/>
        <v>0</v>
      </c>
    </row>
    <row r="143" spans="2:43" x14ac:dyDescent="0.25">
      <c r="D143" s="98"/>
      <c r="E143" s="98"/>
      <c r="G143" s="108"/>
      <c r="J143" s="252"/>
      <c r="K143" s="252"/>
      <c r="L143" s="252"/>
      <c r="M143" s="252"/>
      <c r="N143" s="252"/>
      <c r="O143" s="252"/>
      <c r="P143" s="252"/>
      <c r="Q143" s="252"/>
      <c r="R143" s="252"/>
      <c r="S143" s="252"/>
      <c r="T143" s="252"/>
      <c r="U143" s="252"/>
      <c r="V143" s="252"/>
      <c r="W143" s="252"/>
      <c r="X143" s="252"/>
      <c r="Y143" s="252"/>
      <c r="Z143" s="252"/>
      <c r="AA143" s="252"/>
      <c r="AB143" s="252"/>
      <c r="AC143" s="252"/>
      <c r="AD143" s="252"/>
      <c r="AE143" s="252"/>
      <c r="AF143" s="252"/>
      <c r="AG143" s="252"/>
      <c r="AH143" s="252"/>
      <c r="AI143" s="252"/>
      <c r="AJ143" s="252"/>
      <c r="AK143" s="252"/>
      <c r="AL143" s="252"/>
      <c r="AM143" s="252"/>
      <c r="AN143" s="252"/>
      <c r="AO143" s="252"/>
    </row>
    <row r="144" spans="2:43" x14ac:dyDescent="0.25">
      <c r="B144" s="95" t="s">
        <v>109</v>
      </c>
      <c r="C144" s="95"/>
      <c r="D144" s="95"/>
      <c r="E144" s="95"/>
      <c r="F144" s="95"/>
      <c r="G144" s="128"/>
      <c r="H144" s="95"/>
      <c r="I144" s="95"/>
      <c r="J144" s="95"/>
      <c r="K144" s="95"/>
      <c r="L144" s="95"/>
      <c r="M144" s="95"/>
      <c r="N144" s="95"/>
      <c r="O144" s="95"/>
      <c r="P144" s="95"/>
      <c r="Q144" s="95"/>
      <c r="R144" s="95"/>
      <c r="S144" s="95"/>
      <c r="T144" s="95"/>
      <c r="U144" s="95"/>
      <c r="V144" s="95"/>
      <c r="W144" s="95"/>
      <c r="X144" s="95"/>
      <c r="Y144" s="95"/>
      <c r="Z144" s="95"/>
      <c r="AA144" s="95"/>
      <c r="AB144" s="95"/>
      <c r="AC144" s="95"/>
      <c r="AD144" s="95"/>
      <c r="AE144" s="95"/>
      <c r="AF144" s="95"/>
      <c r="AG144" s="95"/>
      <c r="AH144" s="95"/>
      <c r="AI144" s="95"/>
      <c r="AJ144" s="95"/>
      <c r="AK144" s="95"/>
      <c r="AL144" s="95"/>
      <c r="AM144" s="95"/>
      <c r="AN144" s="95"/>
      <c r="AO144" s="95"/>
      <c r="AP144" s="95"/>
      <c r="AQ144" s="95"/>
    </row>
    <row r="145" spans="2:43" x14ac:dyDescent="0.25">
      <c r="F145" s="88"/>
      <c r="G145" s="168"/>
      <c r="H145" s="88"/>
      <c r="I145" s="88"/>
    </row>
    <row r="146" spans="2:43" x14ac:dyDescent="0.25">
      <c r="D146" s="293" t="s">
        <v>415</v>
      </c>
      <c r="G146" s="122" t="s">
        <v>588</v>
      </c>
      <c r="H146" s="310">
        <f t="array" ref="H146">SUM(IF(ISERROR($H$13:$AP$143), 1))</f>
        <v>0</v>
      </c>
      <c r="I146" s="88"/>
    </row>
    <row r="147" spans="2:43" x14ac:dyDescent="0.25">
      <c r="F147" s="88"/>
      <c r="G147" s="88"/>
      <c r="H147" s="88"/>
      <c r="I147" s="88"/>
    </row>
    <row r="148" spans="2:43" x14ac:dyDescent="0.25">
      <c r="B148" s="95" t="s">
        <v>110</v>
      </c>
      <c r="C148" s="95"/>
      <c r="D148" s="95"/>
      <c r="E148" s="95"/>
      <c r="F148" s="95"/>
      <c r="G148" s="95"/>
      <c r="H148" s="95"/>
      <c r="I148" s="95"/>
      <c r="J148" s="95"/>
      <c r="K148" s="95"/>
      <c r="L148" s="95"/>
      <c r="M148" s="95"/>
      <c r="N148" s="95"/>
      <c r="O148" s="95"/>
      <c r="P148" s="95"/>
      <c r="Q148" s="95"/>
      <c r="R148" s="95"/>
      <c r="S148" s="95"/>
      <c r="T148" s="95"/>
      <c r="U148" s="95"/>
      <c r="V148" s="95"/>
      <c r="W148" s="95"/>
      <c r="X148" s="95"/>
      <c r="Y148" s="95"/>
      <c r="Z148" s="95"/>
      <c r="AA148" s="95"/>
      <c r="AB148" s="95"/>
      <c r="AC148" s="95"/>
      <c r="AD148" s="95"/>
      <c r="AE148" s="95"/>
      <c r="AF148" s="95"/>
      <c r="AG148" s="95"/>
      <c r="AH148" s="95"/>
      <c r="AI148" s="95"/>
      <c r="AJ148" s="95"/>
      <c r="AK148" s="95"/>
      <c r="AL148" s="95"/>
      <c r="AM148" s="95"/>
      <c r="AN148" s="95"/>
      <c r="AO148" s="95"/>
      <c r="AP148" s="95"/>
      <c r="AQ148" s="95"/>
    </row>
  </sheetData>
  <sheetProtection sheet="1" objects="1" formatCells="0" formatColumns="0" formatRows="0" sort="0" autoFilter="0"/>
  <conditionalFormatting sqref="A4:I4 AP4:XFD4">
    <cfRule type="expression" dxfId="13" priority="10">
      <formula>LEFT($A$4,1) &lt;&gt; "0"</formula>
    </cfRule>
  </conditionalFormatting>
  <conditionalFormatting sqref="R4:AF4">
    <cfRule type="expression" dxfId="12" priority="9">
      <formula>LEFT($A$4,1) &lt;&gt; "0"</formula>
    </cfRule>
  </conditionalFormatting>
  <conditionalFormatting sqref="L4:Q4">
    <cfRule type="expression" dxfId="11" priority="8">
      <formula>LEFT($A$4,1) &lt;&gt; "0"</formula>
    </cfRule>
  </conditionalFormatting>
  <conditionalFormatting sqref="J4:K4">
    <cfRule type="expression" dxfId="10" priority="7">
      <formula>LEFT($A$4,1) &lt;&gt; "0"</formula>
    </cfRule>
  </conditionalFormatting>
  <conditionalFormatting sqref="AG4">
    <cfRule type="expression" dxfId="9" priority="6">
      <formula>LEFT($A$4,1) &lt;&gt; "0"</formula>
    </cfRule>
  </conditionalFormatting>
  <conditionalFormatting sqref="AH4:AI4">
    <cfRule type="expression" dxfId="8" priority="5">
      <formula>LEFT($A$4,1) &lt;&gt; "0"</formula>
    </cfRule>
  </conditionalFormatting>
  <conditionalFormatting sqref="AJ4:AK4">
    <cfRule type="expression" dxfId="7" priority="4">
      <formula>LEFT($A$4,1) &lt;&gt; "0"</formula>
    </cfRule>
  </conditionalFormatting>
  <conditionalFormatting sqref="AL4:AM4">
    <cfRule type="expression" dxfId="6" priority="3">
      <formula>LEFT($A$4,1) &lt;&gt; "0"</formula>
    </cfRule>
  </conditionalFormatting>
  <conditionalFormatting sqref="AN4:AO4">
    <cfRule type="expression" dxfId="5" priority="2">
      <formula>LEFT($A$4,1) &lt;&gt; "0"</formula>
    </cfRule>
  </conditionalFormatting>
  <conditionalFormatting sqref="H146">
    <cfRule type="cellIs" dxfId="4" priority="1" operator="greaterThan">
      <formula>0</formula>
    </cfRule>
  </conditionalFormatting>
  <dataValidations disablePrompts="1" count="1">
    <dataValidation type="decimal" operator="greaterThanOrEqual" allowBlank="1" showInputMessage="1" showErrorMessage="1" errorTitle="Invalid volume data" error="Invalid volume data (negative number or unused cell)." sqref="J55:AO79 J22:AO30 J33:AO41 J44:AO50" xr:uid="{FA9F679B-0DA2-49B4-8A85-F8E8F2A5D23E}">
      <formula1>0</formula1>
    </dataValidation>
  </dataValidations>
  <hyperlinks>
    <hyperlink ref="B5:F5" location="'Model map'!A1" display="Click here to return to model map" xr:uid="{0B1992BC-5250-4AF6-B792-09DD63AC42AA}"/>
  </hyperlinks>
  <pageMargins left="0.7" right="0.7" top="0.75" bottom="0.75" header="0.3" footer="0.3"/>
  <pageSetup paperSize="9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27">
    <tabColor theme="9" tint="0.39997558519241921"/>
    <pageSetUpPr fitToPage="1"/>
  </sheetPr>
  <dimension ref="A1:JV643"/>
  <sheetViews>
    <sheetView showGridLines="0" zoomScale="80" zoomScaleNormal="80" workbookViewId="0">
      <pane xSplit="9" ySplit="5" topLeftCell="J15" activePane="bottomRight" state="frozen"/>
      <selection pane="topRight"/>
      <selection pane="bottomLeft"/>
      <selection pane="bottomRight" activeCell="H22" sqref="H22"/>
    </sheetView>
  </sheetViews>
  <sheetFormatPr defaultColWidth="0" defaultRowHeight="15" x14ac:dyDescent="0.25"/>
  <cols>
    <col min="1" max="3" width="2.5703125" style="85" customWidth="1"/>
    <col min="4" max="5" width="2.5703125" style="98" customWidth="1"/>
    <col min="6" max="6" width="59.5703125" style="85" customWidth="1"/>
    <col min="7" max="8" width="20.5703125" style="85" customWidth="1"/>
    <col min="9" max="9" width="2.42578125" style="85" customWidth="1"/>
    <col min="10" max="16" width="17" style="85" customWidth="1"/>
    <col min="17" max="17" width="2.42578125" style="85" customWidth="1"/>
    <col min="18" max="18" width="50.5703125" style="85" customWidth="1"/>
    <col min="19" max="19" width="2.42578125" style="85" customWidth="1"/>
    <col min="20" max="27" width="0" style="85" hidden="1" customWidth="1"/>
    <col min="28" max="28" width="24.5703125" style="85" hidden="1" customWidth="1"/>
    <col min="29" max="29" width="3.5703125" style="85" hidden="1" customWidth="1"/>
    <col min="30" max="30" width="15.42578125" style="85" hidden="1" customWidth="1"/>
    <col min="31" max="282" width="24.5703125" style="85" hidden="1" customWidth="1"/>
    <col min="283" max="16384" width="8.5703125" style="85" hidden="1"/>
  </cols>
  <sheetData>
    <row r="1" spans="1:97" s="10" customFormat="1" x14ac:dyDescent="0.25">
      <c r="A1" s="10" t="str">
        <f ca="1">MID(CELL("filename",A1),FIND("]",CELL("filename",A1))+1,255)</f>
        <v>Tariff summary</v>
      </c>
    </row>
    <row r="2" spans="1:97" s="10" customFormat="1" x14ac:dyDescent="0.25">
      <c r="A2" s="10" t="str">
        <f>Cover!D21&amp;" - "&amp;Cover!D23</f>
        <v>Southern Electric Power Distribution plc - Final</v>
      </c>
    </row>
    <row r="3" spans="1:97" s="46" customFormat="1" x14ac:dyDescent="0.25">
      <c r="A3" s="46" t="str">
        <f>Cover!D2&amp;" - "&amp;Cover!D8&amp;" v"&amp;Cover!D10&amp;" - "&amp;Cover!D19</f>
        <v>ARP model - Release for charge setting v7 - 2023/24</v>
      </c>
    </row>
    <row r="4" spans="1:97" s="195" customFormat="1" x14ac:dyDescent="0.25">
      <c r="A4" s="228" t="str">
        <f>H641 &amp; IF(H641 = 1, " issue", " issues") &amp;" identified in checks on this sheet"</f>
        <v>0 issues identified in checks on this sheet</v>
      </c>
      <c r="B4" s="229"/>
      <c r="C4" s="229"/>
      <c r="D4" s="229"/>
      <c r="E4" s="229"/>
      <c r="F4" s="229"/>
      <c r="G4" s="229"/>
      <c r="H4" s="230"/>
      <c r="I4" s="230"/>
      <c r="J4" s="229"/>
      <c r="K4" s="221"/>
      <c r="L4" s="221"/>
      <c r="M4" s="221"/>
      <c r="N4" s="221"/>
      <c r="O4" s="221"/>
      <c r="P4" s="221"/>
      <c r="Q4" s="221"/>
      <c r="R4" s="221"/>
      <c r="S4" s="221"/>
      <c r="T4" s="221"/>
      <c r="U4" s="221"/>
      <c r="V4" s="221"/>
      <c r="W4" s="221"/>
      <c r="X4" s="221"/>
      <c r="Y4" s="221"/>
      <c r="Z4" s="221"/>
      <c r="AA4" s="221"/>
      <c r="AB4" s="221"/>
      <c r="AC4" s="221"/>
      <c r="AD4" s="221"/>
      <c r="AE4" s="221"/>
      <c r="AF4" s="221"/>
      <c r="AG4" s="221"/>
      <c r="AH4" s="221"/>
      <c r="AI4" s="221"/>
      <c r="AJ4" s="221"/>
      <c r="AK4" s="221"/>
      <c r="AL4" s="221"/>
      <c r="AM4" s="221"/>
      <c r="AN4" s="221"/>
      <c r="AO4" s="221"/>
      <c r="AP4" s="221"/>
      <c r="AQ4" s="221"/>
      <c r="AR4" s="221"/>
      <c r="AS4" s="221"/>
      <c r="AT4" s="221"/>
      <c r="AU4" s="221"/>
      <c r="AV4" s="221"/>
      <c r="AW4" s="221"/>
      <c r="AX4" s="221"/>
      <c r="AY4" s="221"/>
      <c r="AZ4" s="221"/>
      <c r="BA4" s="221"/>
      <c r="BB4" s="221"/>
      <c r="BC4" s="221"/>
      <c r="BD4" s="221"/>
      <c r="BE4" s="221"/>
      <c r="BF4" s="221"/>
      <c r="BG4" s="221"/>
      <c r="BH4" s="221"/>
      <c r="BI4" s="221"/>
      <c r="BJ4" s="221"/>
      <c r="BK4" s="221"/>
      <c r="BL4" s="221"/>
      <c r="BM4" s="221"/>
      <c r="BN4" s="221"/>
      <c r="BO4" s="221"/>
      <c r="BP4" s="221"/>
      <c r="BQ4" s="221"/>
      <c r="BR4" s="221"/>
      <c r="BS4" s="221"/>
      <c r="BT4" s="221"/>
      <c r="BU4" s="221"/>
      <c r="BV4" s="221"/>
      <c r="BW4" s="221"/>
      <c r="BX4" s="221"/>
      <c r="BY4" s="221"/>
      <c r="BZ4" s="221"/>
      <c r="CA4" s="221"/>
      <c r="CB4" s="221"/>
      <c r="CC4" s="221"/>
      <c r="CD4" s="221"/>
      <c r="CE4" s="221"/>
      <c r="CF4" s="221"/>
      <c r="CG4" s="221"/>
      <c r="CH4" s="221"/>
      <c r="CI4" s="221"/>
      <c r="CJ4" s="221"/>
      <c r="CK4" s="221"/>
      <c r="CL4" s="221"/>
      <c r="CM4" s="221"/>
      <c r="CN4" s="221"/>
      <c r="CO4" s="221"/>
      <c r="CP4" s="221"/>
      <c r="CQ4" s="221"/>
      <c r="CR4" s="221"/>
      <c r="CS4" s="221"/>
    </row>
    <row r="5" spans="1:97" ht="45" x14ac:dyDescent="0.25">
      <c r="B5" s="134" t="s">
        <v>451</v>
      </c>
      <c r="C5" s="9"/>
      <c r="D5" s="9"/>
      <c r="E5" s="9"/>
      <c r="F5" s="9"/>
      <c r="G5" s="1"/>
      <c r="H5" s="1" t="s">
        <v>534</v>
      </c>
      <c r="J5" s="2" t="s">
        <v>280</v>
      </c>
      <c r="K5" s="2" t="s">
        <v>279</v>
      </c>
      <c r="L5" s="2" t="s">
        <v>278</v>
      </c>
      <c r="M5" s="2" t="s">
        <v>277</v>
      </c>
      <c r="N5" s="2" t="s">
        <v>276</v>
      </c>
      <c r="O5" s="2" t="s">
        <v>275</v>
      </c>
      <c r="P5" s="2" t="s">
        <v>274</v>
      </c>
      <c r="R5" s="1" t="s">
        <v>93</v>
      </c>
    </row>
    <row r="7" spans="1:97" x14ac:dyDescent="0.25">
      <c r="B7" s="95" t="s">
        <v>90</v>
      </c>
      <c r="C7" s="95"/>
      <c r="D7" s="95"/>
      <c r="E7" s="95"/>
      <c r="F7" s="95"/>
      <c r="G7" s="95"/>
      <c r="H7" s="95"/>
      <c r="I7" s="95"/>
      <c r="J7" s="95"/>
      <c r="K7" s="95"/>
      <c r="L7" s="95"/>
      <c r="M7" s="95"/>
      <c r="N7" s="95"/>
      <c r="O7" s="95"/>
      <c r="P7" s="95"/>
      <c r="Q7" s="95"/>
      <c r="R7" s="95"/>
      <c r="S7" s="95"/>
      <c r="T7" s="95"/>
      <c r="U7" s="95"/>
      <c r="V7" s="95"/>
      <c r="W7" s="95"/>
      <c r="X7" s="95"/>
      <c r="Y7" s="95"/>
      <c r="Z7" s="95"/>
      <c r="AA7" s="95"/>
      <c r="AB7" s="95"/>
      <c r="AC7" s="95"/>
      <c r="AD7" s="95"/>
      <c r="AE7" s="95"/>
      <c r="AF7" s="95"/>
      <c r="AG7" s="95"/>
      <c r="AH7" s="95"/>
      <c r="AI7" s="95"/>
      <c r="AJ7" s="95"/>
      <c r="AK7" s="95"/>
      <c r="AL7" s="95"/>
      <c r="AM7" s="95"/>
      <c r="AN7" s="95"/>
      <c r="AO7" s="95"/>
      <c r="AP7" s="95"/>
      <c r="AQ7" s="95"/>
      <c r="AR7" s="95"/>
    </row>
    <row r="9" spans="1:97" x14ac:dyDescent="0.25">
      <c r="C9" s="82" t="s">
        <v>779</v>
      </c>
    </row>
    <row r="10" spans="1:97" x14ac:dyDescent="0.25">
      <c r="C10" s="82" t="s">
        <v>780</v>
      </c>
    </row>
    <row r="11" spans="1:97" x14ac:dyDescent="0.25">
      <c r="C11" s="82" t="s">
        <v>508</v>
      </c>
    </row>
    <row r="13" spans="1:97" s="195" customFormat="1" x14ac:dyDescent="0.25">
      <c r="B13" s="95" t="s">
        <v>436</v>
      </c>
      <c r="C13" s="95"/>
      <c r="D13" s="95"/>
      <c r="E13" s="95"/>
      <c r="F13" s="95"/>
      <c r="G13" s="95"/>
      <c r="H13" s="95"/>
      <c r="I13" s="95"/>
      <c r="J13" s="95"/>
      <c r="K13" s="95"/>
      <c r="L13" s="72"/>
      <c r="M13" s="72"/>
      <c r="N13" s="72"/>
      <c r="O13" s="72"/>
      <c r="P13" s="72"/>
      <c r="Q13" s="72"/>
      <c r="R13" s="72"/>
    </row>
    <row r="14" spans="1:97" s="195" customFormat="1" x14ac:dyDescent="0.25"/>
    <row r="15" spans="1:97" x14ac:dyDescent="0.25">
      <c r="C15" s="7" t="str">
        <f ca="1">INDEX('Version control'!$H$35:$H$61,MATCH($A$1,'Version control'!$F$35:$F$61,0),1)&amp;"-A: Live tariff results (" &amp; charging_year_selected &amp; ")"</f>
        <v>Output 501-A: Live tariff results (2023/24)</v>
      </c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</row>
    <row r="16" spans="1:97" x14ac:dyDescent="0.25">
      <c r="D16" s="85"/>
      <c r="E16" s="85"/>
    </row>
    <row r="17" spans="4:16" x14ac:dyDescent="0.25">
      <c r="D17" s="96"/>
      <c r="E17" s="96" t="str">
        <f>"All the way tariff forecast (" &amp; charging_year_selected &amp; ")"</f>
        <v>All the way tariff forecast (2023/24)</v>
      </c>
      <c r="F17" s="195"/>
    </row>
    <row r="18" spans="4:16" x14ac:dyDescent="0.25">
      <c r="F18" s="103" t="s">
        <v>1002</v>
      </c>
      <c r="G18" s="91"/>
      <c r="H18" s="91" t="s">
        <v>261</v>
      </c>
      <c r="I18" s="91"/>
      <c r="J18" s="435">
        <f t="array" ref="J18:P49">TRANSPOSE(Rounding!J150:AO156)</f>
        <v>8.5990000000000002</v>
      </c>
      <c r="K18" s="435">
        <v>1.115</v>
      </c>
      <c r="L18" s="435">
        <v>5.3999999999999999E-2</v>
      </c>
      <c r="M18" s="340">
        <v>10.69</v>
      </c>
      <c r="N18" s="340">
        <v>0</v>
      </c>
      <c r="O18" s="340">
        <v>0</v>
      </c>
      <c r="P18" s="435">
        <v>0</v>
      </c>
    </row>
    <row r="19" spans="4:16" x14ac:dyDescent="0.25">
      <c r="F19" s="99" t="s">
        <v>927</v>
      </c>
      <c r="G19" s="196"/>
      <c r="H19" s="196" t="s">
        <v>261</v>
      </c>
      <c r="I19" s="196"/>
      <c r="J19" s="450">
        <v>8.5990000000000002</v>
      </c>
      <c r="K19" s="450">
        <v>1.115</v>
      </c>
      <c r="L19" s="450">
        <v>5.3999999999999999E-2</v>
      </c>
      <c r="M19" s="451">
        <v>0</v>
      </c>
      <c r="N19" s="451">
        <v>0</v>
      </c>
      <c r="O19" s="451">
        <v>0</v>
      </c>
      <c r="P19" s="450">
        <v>0</v>
      </c>
    </row>
    <row r="20" spans="4:16" x14ac:dyDescent="0.25">
      <c r="F20" s="99" t="s">
        <v>1003</v>
      </c>
      <c r="G20" s="196"/>
      <c r="H20" s="196" t="s">
        <v>261</v>
      </c>
      <c r="I20" s="196"/>
      <c r="J20" s="450">
        <v>7.5789999999999997</v>
      </c>
      <c r="K20" s="450">
        <v>0.98299999999999998</v>
      </c>
      <c r="L20" s="450">
        <v>4.8000000000000001E-2</v>
      </c>
      <c r="M20" s="451">
        <v>8.15</v>
      </c>
      <c r="N20" s="451">
        <v>0</v>
      </c>
      <c r="O20" s="451">
        <v>0</v>
      </c>
      <c r="P20" s="450">
        <v>0</v>
      </c>
    </row>
    <row r="21" spans="4:16" x14ac:dyDescent="0.25">
      <c r="F21" s="99" t="s">
        <v>1004</v>
      </c>
      <c r="G21" s="196"/>
      <c r="H21" s="196" t="s">
        <v>261</v>
      </c>
      <c r="I21" s="196"/>
      <c r="J21" s="450">
        <v>7.5789999999999997</v>
      </c>
      <c r="K21" s="450">
        <v>0.98299999999999998</v>
      </c>
      <c r="L21" s="450">
        <v>4.8000000000000001E-2</v>
      </c>
      <c r="M21" s="451">
        <v>11.38</v>
      </c>
      <c r="N21" s="451">
        <v>0</v>
      </c>
      <c r="O21" s="451">
        <v>0</v>
      </c>
      <c r="P21" s="450">
        <v>0</v>
      </c>
    </row>
    <row r="22" spans="4:16" x14ac:dyDescent="0.25">
      <c r="F22" s="99" t="s">
        <v>1005</v>
      </c>
      <c r="G22" s="196"/>
      <c r="H22" s="196" t="s">
        <v>261</v>
      </c>
      <c r="I22" s="196"/>
      <c r="J22" s="450">
        <v>7.5789999999999997</v>
      </c>
      <c r="K22" s="450">
        <v>0.98299999999999998</v>
      </c>
      <c r="L22" s="450">
        <v>4.8000000000000001E-2</v>
      </c>
      <c r="M22" s="451">
        <v>18.739999999999998</v>
      </c>
      <c r="N22" s="451">
        <v>0</v>
      </c>
      <c r="O22" s="451">
        <v>0</v>
      </c>
      <c r="P22" s="450">
        <v>0</v>
      </c>
    </row>
    <row r="23" spans="4:16" x14ac:dyDescent="0.25">
      <c r="F23" s="99" t="s">
        <v>1006</v>
      </c>
      <c r="G23" s="196"/>
      <c r="H23" s="196" t="s">
        <v>261</v>
      </c>
      <c r="I23" s="196"/>
      <c r="J23" s="450">
        <v>7.5789999999999997</v>
      </c>
      <c r="K23" s="450">
        <v>0.98299999999999998</v>
      </c>
      <c r="L23" s="450">
        <v>4.8000000000000001E-2</v>
      </c>
      <c r="M23" s="451">
        <v>32.15</v>
      </c>
      <c r="N23" s="451">
        <v>0</v>
      </c>
      <c r="O23" s="451">
        <v>0</v>
      </c>
      <c r="P23" s="450">
        <v>0</v>
      </c>
    </row>
    <row r="24" spans="4:16" x14ac:dyDescent="0.25">
      <c r="F24" s="99" t="s">
        <v>1007</v>
      </c>
      <c r="G24" s="196"/>
      <c r="H24" s="196" t="s">
        <v>261</v>
      </c>
      <c r="I24" s="196"/>
      <c r="J24" s="450">
        <v>7.5789999999999997</v>
      </c>
      <c r="K24" s="450">
        <v>0.98299999999999998</v>
      </c>
      <c r="L24" s="450">
        <v>4.8000000000000001E-2</v>
      </c>
      <c r="M24" s="451">
        <v>73.44</v>
      </c>
      <c r="N24" s="451">
        <v>0</v>
      </c>
      <c r="O24" s="451">
        <v>0</v>
      </c>
      <c r="P24" s="450">
        <v>0</v>
      </c>
    </row>
    <row r="25" spans="4:16" s="293" customFormat="1" x14ac:dyDescent="0.25">
      <c r="D25" s="98"/>
      <c r="E25" s="98"/>
      <c r="F25" s="99" t="s">
        <v>929</v>
      </c>
      <c r="G25" s="196"/>
      <c r="H25" s="196" t="s">
        <v>261</v>
      </c>
      <c r="I25" s="196"/>
      <c r="J25" s="450">
        <v>7.5789999999999997</v>
      </c>
      <c r="K25" s="450">
        <v>0.98299999999999998</v>
      </c>
      <c r="L25" s="450">
        <v>4.8000000000000001E-2</v>
      </c>
      <c r="M25" s="451">
        <v>0</v>
      </c>
      <c r="N25" s="451">
        <v>0</v>
      </c>
      <c r="O25" s="451">
        <v>0</v>
      </c>
      <c r="P25" s="450">
        <v>0</v>
      </c>
    </row>
    <row r="26" spans="4:16" s="293" customFormat="1" x14ac:dyDescent="0.25">
      <c r="D26" s="98"/>
      <c r="E26" s="98"/>
      <c r="F26" s="99" t="s">
        <v>1008</v>
      </c>
      <c r="G26" s="196"/>
      <c r="H26" s="196" t="s">
        <v>261</v>
      </c>
      <c r="I26" s="196"/>
      <c r="J26" s="450">
        <v>5.92</v>
      </c>
      <c r="K26" s="450">
        <v>0.66200000000000003</v>
      </c>
      <c r="L26" s="450">
        <v>3.1E-2</v>
      </c>
      <c r="M26" s="451">
        <v>17.27</v>
      </c>
      <c r="N26" s="451">
        <v>3.66</v>
      </c>
      <c r="O26" s="451">
        <v>6.84</v>
      </c>
      <c r="P26" s="450">
        <v>0.22</v>
      </c>
    </row>
    <row r="27" spans="4:16" s="293" customFormat="1" x14ac:dyDescent="0.25">
      <c r="D27" s="98"/>
      <c r="E27" s="98"/>
      <c r="F27" s="99" t="s">
        <v>1009</v>
      </c>
      <c r="G27" s="196"/>
      <c r="H27" s="196" t="s">
        <v>261</v>
      </c>
      <c r="I27" s="196"/>
      <c r="J27" s="450">
        <v>5.92</v>
      </c>
      <c r="K27" s="450">
        <v>0.66200000000000003</v>
      </c>
      <c r="L27" s="450">
        <v>3.1E-2</v>
      </c>
      <c r="M27" s="451">
        <v>137.04</v>
      </c>
      <c r="N27" s="451">
        <v>3.66</v>
      </c>
      <c r="O27" s="451">
        <v>6.84</v>
      </c>
      <c r="P27" s="450">
        <v>0.22</v>
      </c>
    </row>
    <row r="28" spans="4:16" x14ac:dyDescent="0.25">
      <c r="F28" s="99" t="s">
        <v>1010</v>
      </c>
      <c r="G28" s="196"/>
      <c r="H28" s="196" t="s">
        <v>261</v>
      </c>
      <c r="I28" s="196"/>
      <c r="J28" s="450">
        <v>5.92</v>
      </c>
      <c r="K28" s="450">
        <v>0.66200000000000003</v>
      </c>
      <c r="L28" s="450">
        <v>3.1E-2</v>
      </c>
      <c r="M28" s="451">
        <v>239.9</v>
      </c>
      <c r="N28" s="451">
        <v>3.66</v>
      </c>
      <c r="O28" s="451">
        <v>6.84</v>
      </c>
      <c r="P28" s="450">
        <v>0.22</v>
      </c>
    </row>
    <row r="29" spans="4:16" x14ac:dyDescent="0.25">
      <c r="F29" s="99" t="s">
        <v>1011</v>
      </c>
      <c r="G29" s="196"/>
      <c r="H29" s="196" t="s">
        <v>261</v>
      </c>
      <c r="I29" s="196"/>
      <c r="J29" s="450">
        <v>5.92</v>
      </c>
      <c r="K29" s="450">
        <v>0.66200000000000003</v>
      </c>
      <c r="L29" s="450">
        <v>3.1E-2</v>
      </c>
      <c r="M29" s="451">
        <v>361.82</v>
      </c>
      <c r="N29" s="451">
        <v>3.66</v>
      </c>
      <c r="O29" s="451">
        <v>6.84</v>
      </c>
      <c r="P29" s="450">
        <v>0.22</v>
      </c>
    </row>
    <row r="30" spans="4:16" x14ac:dyDescent="0.25">
      <c r="F30" s="99" t="s">
        <v>1012</v>
      </c>
      <c r="G30" s="196"/>
      <c r="H30" s="196" t="s">
        <v>261</v>
      </c>
      <c r="I30" s="196"/>
      <c r="J30" s="450">
        <v>5.92</v>
      </c>
      <c r="K30" s="450">
        <v>0.66200000000000003</v>
      </c>
      <c r="L30" s="450">
        <v>3.1E-2</v>
      </c>
      <c r="M30" s="451">
        <v>898.33</v>
      </c>
      <c r="N30" s="451">
        <v>3.66</v>
      </c>
      <c r="O30" s="451">
        <v>6.84</v>
      </c>
      <c r="P30" s="450">
        <v>0.22</v>
      </c>
    </row>
    <row r="31" spans="4:16" x14ac:dyDescent="0.25">
      <c r="F31" s="99" t="s">
        <v>1013</v>
      </c>
      <c r="G31" s="196"/>
      <c r="H31" s="196" t="s">
        <v>261</v>
      </c>
      <c r="I31" s="196"/>
      <c r="J31" s="450">
        <v>3.9039999999999999</v>
      </c>
      <c r="K31" s="450">
        <v>0.29799999999999999</v>
      </c>
      <c r="L31" s="450">
        <v>1.2E-2</v>
      </c>
      <c r="M31" s="451">
        <v>40.26</v>
      </c>
      <c r="N31" s="451">
        <v>4.92</v>
      </c>
      <c r="O31" s="451">
        <v>6.43</v>
      </c>
      <c r="P31" s="450">
        <v>0.123</v>
      </c>
    </row>
    <row r="32" spans="4:16" s="293" customFormat="1" x14ac:dyDescent="0.25">
      <c r="D32" s="98"/>
      <c r="E32" s="98"/>
      <c r="F32" s="99" t="s">
        <v>1014</v>
      </c>
      <c r="G32" s="196"/>
      <c r="H32" s="196" t="s">
        <v>261</v>
      </c>
      <c r="I32" s="196"/>
      <c r="J32" s="450">
        <v>3.9039999999999999</v>
      </c>
      <c r="K32" s="450">
        <v>0.29799999999999999</v>
      </c>
      <c r="L32" s="450">
        <v>1.2E-2</v>
      </c>
      <c r="M32" s="451">
        <v>160.04</v>
      </c>
      <c r="N32" s="451">
        <v>4.92</v>
      </c>
      <c r="O32" s="451">
        <v>6.43</v>
      </c>
      <c r="P32" s="450">
        <v>0.123</v>
      </c>
    </row>
    <row r="33" spans="4:16" s="293" customFormat="1" x14ac:dyDescent="0.25">
      <c r="D33" s="98"/>
      <c r="E33" s="98"/>
      <c r="F33" s="99" t="s">
        <v>1015</v>
      </c>
      <c r="G33" s="196"/>
      <c r="H33" s="196" t="s">
        <v>261</v>
      </c>
      <c r="I33" s="196"/>
      <c r="J33" s="450">
        <v>3.9039999999999999</v>
      </c>
      <c r="K33" s="450">
        <v>0.29799999999999999</v>
      </c>
      <c r="L33" s="450">
        <v>1.2E-2</v>
      </c>
      <c r="M33" s="451">
        <v>262.89999999999998</v>
      </c>
      <c r="N33" s="451">
        <v>4.92</v>
      </c>
      <c r="O33" s="451">
        <v>6.43</v>
      </c>
      <c r="P33" s="450">
        <v>0.123</v>
      </c>
    </row>
    <row r="34" spans="4:16" s="293" customFormat="1" x14ac:dyDescent="0.25">
      <c r="D34" s="98"/>
      <c r="E34" s="98"/>
      <c r="F34" s="99" t="s">
        <v>1016</v>
      </c>
      <c r="G34" s="196"/>
      <c r="H34" s="196" t="s">
        <v>261</v>
      </c>
      <c r="I34" s="196"/>
      <c r="J34" s="450">
        <v>3.9039999999999999</v>
      </c>
      <c r="K34" s="450">
        <v>0.29799999999999999</v>
      </c>
      <c r="L34" s="450">
        <v>1.2E-2</v>
      </c>
      <c r="M34" s="451">
        <v>384.81</v>
      </c>
      <c r="N34" s="451">
        <v>4.92</v>
      </c>
      <c r="O34" s="451">
        <v>6.43</v>
      </c>
      <c r="P34" s="450">
        <v>0.123</v>
      </c>
    </row>
    <row r="35" spans="4:16" s="293" customFormat="1" x14ac:dyDescent="0.25">
      <c r="D35" s="98"/>
      <c r="E35" s="98"/>
      <c r="F35" s="99" t="s">
        <v>1017</v>
      </c>
      <c r="G35" s="196"/>
      <c r="H35" s="196" t="s">
        <v>261</v>
      </c>
      <c r="I35" s="196"/>
      <c r="J35" s="450">
        <v>3.9039999999999999</v>
      </c>
      <c r="K35" s="450">
        <v>0.29799999999999999</v>
      </c>
      <c r="L35" s="450">
        <v>1.2E-2</v>
      </c>
      <c r="M35" s="451">
        <v>921.33</v>
      </c>
      <c r="N35" s="451">
        <v>4.92</v>
      </c>
      <c r="O35" s="451">
        <v>6.43</v>
      </c>
      <c r="P35" s="450">
        <v>0.123</v>
      </c>
    </row>
    <row r="36" spans="4:16" s="293" customFormat="1" x14ac:dyDescent="0.25">
      <c r="D36" s="98"/>
      <c r="E36" s="98"/>
      <c r="F36" s="99" t="s">
        <v>1018</v>
      </c>
      <c r="G36" s="196"/>
      <c r="H36" s="196" t="s">
        <v>261</v>
      </c>
      <c r="I36" s="196"/>
      <c r="J36" s="450">
        <v>3.1819999999999999</v>
      </c>
      <c r="K36" s="450">
        <v>0.216</v>
      </c>
      <c r="L36" s="450">
        <v>8.9999999999999993E-3</v>
      </c>
      <c r="M36" s="451">
        <v>174.35</v>
      </c>
      <c r="N36" s="451">
        <v>5.87</v>
      </c>
      <c r="O36" s="451">
        <v>7.1</v>
      </c>
      <c r="P36" s="450">
        <v>9.2999999999999999E-2</v>
      </c>
    </row>
    <row r="37" spans="4:16" s="293" customFormat="1" x14ac:dyDescent="0.25">
      <c r="D37" s="98"/>
      <c r="E37" s="98"/>
      <c r="F37" s="99" t="s">
        <v>1019</v>
      </c>
      <c r="G37" s="196"/>
      <c r="H37" s="196" t="s">
        <v>261</v>
      </c>
      <c r="I37" s="196"/>
      <c r="J37" s="450">
        <v>3.1819999999999999</v>
      </c>
      <c r="K37" s="450">
        <v>0.216</v>
      </c>
      <c r="L37" s="450">
        <v>8.9999999999999993E-3</v>
      </c>
      <c r="M37" s="451">
        <v>908.69</v>
      </c>
      <c r="N37" s="451">
        <v>5.87</v>
      </c>
      <c r="O37" s="451">
        <v>7.1</v>
      </c>
      <c r="P37" s="450">
        <v>9.2999999999999999E-2</v>
      </c>
    </row>
    <row r="38" spans="4:16" s="293" customFormat="1" x14ac:dyDescent="0.25">
      <c r="D38" s="98"/>
      <c r="E38" s="98"/>
      <c r="F38" s="99" t="s">
        <v>1020</v>
      </c>
      <c r="G38" s="196"/>
      <c r="H38" s="196" t="s">
        <v>261</v>
      </c>
      <c r="I38" s="196"/>
      <c r="J38" s="450">
        <v>3.1819999999999999</v>
      </c>
      <c r="K38" s="450">
        <v>0.216</v>
      </c>
      <c r="L38" s="450">
        <v>8.9999999999999993E-3</v>
      </c>
      <c r="M38" s="451">
        <v>2316.9</v>
      </c>
      <c r="N38" s="451">
        <v>5.87</v>
      </c>
      <c r="O38" s="451">
        <v>7.1</v>
      </c>
      <c r="P38" s="450">
        <v>9.2999999999999999E-2</v>
      </c>
    </row>
    <row r="39" spans="4:16" s="293" customFormat="1" x14ac:dyDescent="0.25">
      <c r="D39" s="98"/>
      <c r="E39" s="98"/>
      <c r="F39" s="99" t="s">
        <v>1021</v>
      </c>
      <c r="G39" s="196"/>
      <c r="H39" s="196" t="s">
        <v>261</v>
      </c>
      <c r="I39" s="196"/>
      <c r="J39" s="450">
        <v>3.1819999999999999</v>
      </c>
      <c r="K39" s="450">
        <v>0.216</v>
      </c>
      <c r="L39" s="450">
        <v>8.9999999999999993E-3</v>
      </c>
      <c r="M39" s="451">
        <v>4106.95</v>
      </c>
      <c r="N39" s="451">
        <v>5.87</v>
      </c>
      <c r="O39" s="451">
        <v>7.1</v>
      </c>
      <c r="P39" s="450">
        <v>9.2999999999999999E-2</v>
      </c>
    </row>
    <row r="40" spans="4:16" s="293" customFormat="1" x14ac:dyDescent="0.25">
      <c r="D40" s="98"/>
      <c r="E40" s="98"/>
      <c r="F40" s="99" t="s">
        <v>1022</v>
      </c>
      <c r="G40" s="196"/>
      <c r="H40" s="196" t="s">
        <v>261</v>
      </c>
      <c r="I40" s="196"/>
      <c r="J40" s="450">
        <v>3.1819999999999999</v>
      </c>
      <c r="K40" s="450">
        <v>0.216</v>
      </c>
      <c r="L40" s="450">
        <v>8.9999999999999993E-3</v>
      </c>
      <c r="M40" s="451">
        <v>10505.79</v>
      </c>
      <c r="N40" s="451">
        <v>5.87</v>
      </c>
      <c r="O40" s="451">
        <v>7.1</v>
      </c>
      <c r="P40" s="450">
        <v>9.2999999999999999E-2</v>
      </c>
    </row>
    <row r="41" spans="4:16" s="293" customFormat="1" x14ac:dyDescent="0.25">
      <c r="D41" s="98"/>
      <c r="E41" s="98"/>
      <c r="F41" s="99" t="s">
        <v>933</v>
      </c>
      <c r="G41" s="196"/>
      <c r="H41" s="196" t="s">
        <v>261</v>
      </c>
      <c r="I41" s="196"/>
      <c r="J41" s="450">
        <v>19.635000000000002</v>
      </c>
      <c r="K41" s="450">
        <v>3.58</v>
      </c>
      <c r="L41" s="450">
        <v>2.738</v>
      </c>
      <c r="M41" s="451">
        <v>0</v>
      </c>
      <c r="N41" s="451">
        <v>0</v>
      </c>
      <c r="O41" s="451">
        <v>0</v>
      </c>
      <c r="P41" s="450">
        <v>0</v>
      </c>
    </row>
    <row r="42" spans="4:16" s="293" customFormat="1" x14ac:dyDescent="0.25">
      <c r="D42" s="98"/>
      <c r="E42" s="98"/>
      <c r="F42" s="99" t="s">
        <v>934</v>
      </c>
      <c r="G42" s="196"/>
      <c r="H42" s="196" t="s">
        <v>261</v>
      </c>
      <c r="I42" s="196"/>
      <c r="J42" s="450">
        <v>-5.8360000000000003</v>
      </c>
      <c r="K42" s="450">
        <v>-0.75700000000000001</v>
      </c>
      <c r="L42" s="450">
        <v>-3.6999999999999998E-2</v>
      </c>
      <c r="M42" s="451">
        <v>0</v>
      </c>
      <c r="N42" s="451">
        <v>0</v>
      </c>
      <c r="O42" s="451">
        <v>0</v>
      </c>
      <c r="P42" s="450">
        <v>0</v>
      </c>
    </row>
    <row r="43" spans="4:16" s="293" customFormat="1" x14ac:dyDescent="0.25">
      <c r="D43" s="98"/>
      <c r="E43" s="98"/>
      <c r="F43" s="99" t="s">
        <v>935</v>
      </c>
      <c r="G43" s="196"/>
      <c r="H43" s="196" t="s">
        <v>261</v>
      </c>
      <c r="I43" s="196"/>
      <c r="J43" s="450">
        <v>-5.2140000000000004</v>
      </c>
      <c r="K43" s="450">
        <v>-0.61899999999999999</v>
      </c>
      <c r="L43" s="450">
        <v>-2.9000000000000001E-2</v>
      </c>
      <c r="M43" s="451">
        <v>0</v>
      </c>
      <c r="N43" s="451">
        <v>0</v>
      </c>
      <c r="O43" s="451">
        <v>0</v>
      </c>
      <c r="P43" s="450">
        <v>0</v>
      </c>
    </row>
    <row r="44" spans="4:16" s="293" customFormat="1" x14ac:dyDescent="0.25">
      <c r="D44" s="98"/>
      <c r="E44" s="98"/>
      <c r="F44" s="99" t="s">
        <v>936</v>
      </c>
      <c r="G44" s="196"/>
      <c r="H44" s="196" t="s">
        <v>261</v>
      </c>
      <c r="I44" s="196"/>
      <c r="J44" s="450">
        <v>-5.8360000000000003</v>
      </c>
      <c r="K44" s="450">
        <v>-0.75700000000000001</v>
      </c>
      <c r="L44" s="450">
        <v>-3.6999999999999998E-2</v>
      </c>
      <c r="M44" s="451">
        <v>0</v>
      </c>
      <c r="N44" s="451">
        <v>0</v>
      </c>
      <c r="O44" s="451">
        <v>0</v>
      </c>
      <c r="P44" s="450">
        <v>0.22800000000000001</v>
      </c>
    </row>
    <row r="45" spans="4:16" x14ac:dyDescent="0.25">
      <c r="F45" s="99" t="s">
        <v>937</v>
      </c>
      <c r="G45" s="196"/>
      <c r="H45" s="196" t="s">
        <v>261</v>
      </c>
      <c r="I45" s="196"/>
      <c r="J45" s="450">
        <v>-5.8360000000000003</v>
      </c>
      <c r="K45" s="450">
        <v>-0.75700000000000001</v>
      </c>
      <c r="L45" s="450">
        <v>-3.6999999999999998E-2</v>
      </c>
      <c r="M45" s="451">
        <v>0</v>
      </c>
      <c r="N45" s="451">
        <v>0</v>
      </c>
      <c r="O45" s="451">
        <v>0</v>
      </c>
      <c r="P45" s="450">
        <v>0</v>
      </c>
    </row>
    <row r="46" spans="4:16" x14ac:dyDescent="0.25">
      <c r="F46" s="99" t="s">
        <v>938</v>
      </c>
      <c r="G46" s="196"/>
      <c r="H46" s="196" t="s">
        <v>261</v>
      </c>
      <c r="I46" s="196"/>
      <c r="J46" s="450">
        <v>-5.2140000000000004</v>
      </c>
      <c r="K46" s="450">
        <v>-0.61899999999999999</v>
      </c>
      <c r="L46" s="450">
        <v>-2.9000000000000001E-2</v>
      </c>
      <c r="M46" s="451">
        <v>0</v>
      </c>
      <c r="N46" s="451">
        <v>0</v>
      </c>
      <c r="O46" s="451">
        <v>0</v>
      </c>
      <c r="P46" s="450">
        <v>0.191</v>
      </c>
    </row>
    <row r="47" spans="4:16" x14ac:dyDescent="0.25">
      <c r="F47" s="99" t="s">
        <v>939</v>
      </c>
      <c r="G47" s="196"/>
      <c r="H47" s="196" t="s">
        <v>261</v>
      </c>
      <c r="I47" s="196"/>
      <c r="J47" s="450">
        <v>-5.2140000000000004</v>
      </c>
      <c r="K47" s="450">
        <v>-0.61899999999999999</v>
      </c>
      <c r="L47" s="450">
        <v>-2.9000000000000001E-2</v>
      </c>
      <c r="M47" s="451">
        <v>0</v>
      </c>
      <c r="N47" s="451">
        <v>0</v>
      </c>
      <c r="O47" s="451">
        <v>0</v>
      </c>
      <c r="P47" s="450">
        <v>0</v>
      </c>
    </row>
    <row r="48" spans="4:16" x14ac:dyDescent="0.25">
      <c r="F48" s="99" t="s">
        <v>940</v>
      </c>
      <c r="G48" s="196"/>
      <c r="H48" s="196" t="s">
        <v>261</v>
      </c>
      <c r="I48" s="196"/>
      <c r="J48" s="450">
        <v>-4.0259999999999998</v>
      </c>
      <c r="K48" s="450">
        <v>-0.307</v>
      </c>
      <c r="L48" s="450">
        <v>-1.2999999999999999E-2</v>
      </c>
      <c r="M48" s="451">
        <v>348.55</v>
      </c>
      <c r="N48" s="451">
        <v>0</v>
      </c>
      <c r="O48" s="451">
        <v>0</v>
      </c>
      <c r="P48" s="450">
        <v>0.16600000000000001</v>
      </c>
    </row>
    <row r="49" spans="4:16" x14ac:dyDescent="0.25">
      <c r="F49" s="100" t="s">
        <v>941</v>
      </c>
      <c r="G49" s="93"/>
      <c r="H49" s="93" t="s">
        <v>261</v>
      </c>
      <c r="I49" s="93"/>
      <c r="J49" s="436">
        <v>-4.0259999999999998</v>
      </c>
      <c r="K49" s="436">
        <v>-0.307</v>
      </c>
      <c r="L49" s="436">
        <v>-1.2999999999999999E-2</v>
      </c>
      <c r="M49" s="342">
        <v>348.55</v>
      </c>
      <c r="N49" s="342">
        <v>0</v>
      </c>
      <c r="O49" s="342">
        <v>0</v>
      </c>
      <c r="P49" s="436">
        <v>0</v>
      </c>
    </row>
    <row r="50" spans="4:16" x14ac:dyDescent="0.25">
      <c r="F50" s="98"/>
      <c r="J50" s="343"/>
      <c r="K50" s="343"/>
      <c r="L50" s="343"/>
      <c r="M50" s="343"/>
      <c r="N50" s="343"/>
      <c r="O50" s="343"/>
      <c r="P50" s="437"/>
    </row>
    <row r="51" spans="4:16" x14ac:dyDescent="0.25">
      <c r="D51" s="96"/>
      <c r="E51" s="96" t="str">
        <f>"LDNO LV tariff forecast (" &amp; charging_year_selected &amp; ")"</f>
        <v>LDNO LV tariff forecast (2023/24)</v>
      </c>
      <c r="F51" s="98"/>
      <c r="J51" s="343"/>
      <c r="K51" s="343"/>
      <c r="L51" s="343"/>
      <c r="M51" s="343"/>
      <c r="N51" s="343"/>
      <c r="O51" s="343"/>
      <c r="P51" s="437"/>
    </row>
    <row r="52" spans="4:16" x14ac:dyDescent="0.25">
      <c r="F52" s="103" t="s">
        <v>1002</v>
      </c>
      <c r="G52" s="91"/>
      <c r="H52" s="91" t="s">
        <v>146</v>
      </c>
      <c r="I52" s="91"/>
      <c r="J52" s="435">
        <f t="array" ref="J52:P83">TRANSPOSE(Rounding!J159:AO165)</f>
        <v>5.5529999999999999</v>
      </c>
      <c r="K52" s="435">
        <v>0.72</v>
      </c>
      <c r="L52" s="435">
        <v>3.5000000000000003E-2</v>
      </c>
      <c r="M52" s="340">
        <v>6.99</v>
      </c>
      <c r="N52" s="340">
        <v>0</v>
      </c>
      <c r="O52" s="340">
        <v>0</v>
      </c>
      <c r="P52" s="435">
        <v>0</v>
      </c>
    </row>
    <row r="53" spans="4:16" x14ac:dyDescent="0.25">
      <c r="F53" s="99" t="s">
        <v>927</v>
      </c>
      <c r="G53" s="92"/>
      <c r="H53" s="92" t="s">
        <v>146</v>
      </c>
      <c r="I53" s="92"/>
      <c r="J53" s="450">
        <v>5.5529999999999999</v>
      </c>
      <c r="K53" s="450">
        <v>0.72</v>
      </c>
      <c r="L53" s="450">
        <v>3.5000000000000003E-2</v>
      </c>
      <c r="M53" s="451">
        <v>0</v>
      </c>
      <c r="N53" s="451">
        <v>0</v>
      </c>
      <c r="O53" s="451">
        <v>0</v>
      </c>
      <c r="P53" s="450">
        <v>0</v>
      </c>
    </row>
    <row r="54" spans="4:16" x14ac:dyDescent="0.25">
      <c r="F54" s="99" t="s">
        <v>1003</v>
      </c>
      <c r="G54" s="92"/>
      <c r="H54" s="92" t="s">
        <v>146</v>
      </c>
      <c r="I54" s="92"/>
      <c r="J54" s="450">
        <v>4.8949999999999996</v>
      </c>
      <c r="K54" s="450">
        <v>0.63500000000000001</v>
      </c>
      <c r="L54" s="450">
        <v>3.1E-2</v>
      </c>
      <c r="M54" s="451">
        <v>5.32</v>
      </c>
      <c r="N54" s="451">
        <v>0</v>
      </c>
      <c r="O54" s="451">
        <v>0</v>
      </c>
      <c r="P54" s="450">
        <v>0</v>
      </c>
    </row>
    <row r="55" spans="4:16" x14ac:dyDescent="0.25">
      <c r="F55" s="99" t="s">
        <v>1004</v>
      </c>
      <c r="G55" s="92"/>
      <c r="H55" s="92" t="s">
        <v>146</v>
      </c>
      <c r="I55" s="92"/>
      <c r="J55" s="450">
        <v>4.8949999999999996</v>
      </c>
      <c r="K55" s="450">
        <v>0.63500000000000001</v>
      </c>
      <c r="L55" s="450">
        <v>3.1E-2</v>
      </c>
      <c r="M55" s="451">
        <v>7.41</v>
      </c>
      <c r="N55" s="451">
        <v>0</v>
      </c>
      <c r="O55" s="451">
        <v>0</v>
      </c>
      <c r="P55" s="450">
        <v>0</v>
      </c>
    </row>
    <row r="56" spans="4:16" x14ac:dyDescent="0.25">
      <c r="F56" s="99" t="s">
        <v>1005</v>
      </c>
      <c r="G56" s="92"/>
      <c r="H56" s="92" t="s">
        <v>146</v>
      </c>
      <c r="I56" s="92"/>
      <c r="J56" s="450">
        <v>4.8949999999999996</v>
      </c>
      <c r="K56" s="450">
        <v>0.63500000000000001</v>
      </c>
      <c r="L56" s="450">
        <v>3.1E-2</v>
      </c>
      <c r="M56" s="451">
        <v>12.16</v>
      </c>
      <c r="N56" s="451">
        <v>0</v>
      </c>
      <c r="O56" s="451">
        <v>0</v>
      </c>
      <c r="P56" s="450">
        <v>0</v>
      </c>
    </row>
    <row r="57" spans="4:16" x14ac:dyDescent="0.25">
      <c r="F57" s="99" t="s">
        <v>1006</v>
      </c>
      <c r="G57" s="92"/>
      <c r="H57" s="92" t="s">
        <v>146</v>
      </c>
      <c r="I57" s="92"/>
      <c r="J57" s="450">
        <v>4.8949999999999996</v>
      </c>
      <c r="K57" s="450">
        <v>0.63500000000000001</v>
      </c>
      <c r="L57" s="450">
        <v>3.1E-2</v>
      </c>
      <c r="M57" s="451">
        <v>20.82</v>
      </c>
      <c r="N57" s="451">
        <v>0</v>
      </c>
      <c r="O57" s="451">
        <v>0</v>
      </c>
      <c r="P57" s="450">
        <v>0</v>
      </c>
    </row>
    <row r="58" spans="4:16" x14ac:dyDescent="0.25">
      <c r="F58" s="99" t="s">
        <v>1007</v>
      </c>
      <c r="G58" s="92"/>
      <c r="H58" s="92" t="s">
        <v>146</v>
      </c>
      <c r="I58" s="92"/>
      <c r="J58" s="450">
        <v>4.8949999999999996</v>
      </c>
      <c r="K58" s="450">
        <v>0.63500000000000001</v>
      </c>
      <c r="L58" s="450">
        <v>3.1E-2</v>
      </c>
      <c r="M58" s="451">
        <v>47.49</v>
      </c>
      <c r="N58" s="451">
        <v>0</v>
      </c>
      <c r="O58" s="451">
        <v>0</v>
      </c>
      <c r="P58" s="450">
        <v>0</v>
      </c>
    </row>
    <row r="59" spans="4:16" s="293" customFormat="1" x14ac:dyDescent="0.25">
      <c r="D59" s="98"/>
      <c r="E59" s="98"/>
      <c r="F59" s="99" t="s">
        <v>929</v>
      </c>
      <c r="G59" s="196"/>
      <c r="H59" s="196" t="s">
        <v>146</v>
      </c>
      <c r="I59" s="196"/>
      <c r="J59" s="450">
        <v>4.8949999999999996</v>
      </c>
      <c r="K59" s="450">
        <v>0.63500000000000001</v>
      </c>
      <c r="L59" s="450">
        <v>3.1E-2</v>
      </c>
      <c r="M59" s="451">
        <v>0</v>
      </c>
      <c r="N59" s="451">
        <v>0</v>
      </c>
      <c r="O59" s="451">
        <v>0</v>
      </c>
      <c r="P59" s="450">
        <v>0</v>
      </c>
    </row>
    <row r="60" spans="4:16" s="293" customFormat="1" x14ac:dyDescent="0.25">
      <c r="D60" s="98"/>
      <c r="E60" s="98"/>
      <c r="F60" s="99" t="s">
        <v>1008</v>
      </c>
      <c r="G60" s="196"/>
      <c r="H60" s="196" t="s">
        <v>146</v>
      </c>
      <c r="I60" s="196"/>
      <c r="J60" s="450">
        <v>3.823</v>
      </c>
      <c r="K60" s="450">
        <v>0.42699999999999999</v>
      </c>
      <c r="L60" s="450">
        <v>0.02</v>
      </c>
      <c r="M60" s="451">
        <v>11.21</v>
      </c>
      <c r="N60" s="451">
        <v>2.36</v>
      </c>
      <c r="O60" s="451">
        <v>4.42</v>
      </c>
      <c r="P60" s="450">
        <v>0.14199999999999999</v>
      </c>
    </row>
    <row r="61" spans="4:16" s="293" customFormat="1" x14ac:dyDescent="0.25">
      <c r="D61" s="98"/>
      <c r="E61" s="98"/>
      <c r="F61" s="99" t="s">
        <v>1009</v>
      </c>
      <c r="G61" s="196"/>
      <c r="H61" s="196" t="s">
        <v>146</v>
      </c>
      <c r="I61" s="196"/>
      <c r="J61" s="450">
        <v>3.823</v>
      </c>
      <c r="K61" s="450">
        <v>0.42699999999999999</v>
      </c>
      <c r="L61" s="450">
        <v>0.02</v>
      </c>
      <c r="M61" s="451">
        <v>88.56</v>
      </c>
      <c r="N61" s="451">
        <v>2.36</v>
      </c>
      <c r="O61" s="451">
        <v>4.42</v>
      </c>
      <c r="P61" s="450">
        <v>0.14199999999999999</v>
      </c>
    </row>
    <row r="62" spans="4:16" x14ac:dyDescent="0.25">
      <c r="F62" s="99" t="s">
        <v>1010</v>
      </c>
      <c r="G62" s="92"/>
      <c r="H62" s="92" t="s">
        <v>146</v>
      </c>
      <c r="I62" s="92"/>
      <c r="J62" s="450">
        <v>3.823</v>
      </c>
      <c r="K62" s="450">
        <v>0.42699999999999999</v>
      </c>
      <c r="L62" s="450">
        <v>0.02</v>
      </c>
      <c r="M62" s="451">
        <v>154.99</v>
      </c>
      <c r="N62" s="451">
        <v>2.36</v>
      </c>
      <c r="O62" s="451">
        <v>4.42</v>
      </c>
      <c r="P62" s="450">
        <v>0.14199999999999999</v>
      </c>
    </row>
    <row r="63" spans="4:16" x14ac:dyDescent="0.25">
      <c r="F63" s="99" t="s">
        <v>1011</v>
      </c>
      <c r="G63" s="92"/>
      <c r="H63" s="92" t="s">
        <v>146</v>
      </c>
      <c r="I63" s="92"/>
      <c r="J63" s="450">
        <v>3.823</v>
      </c>
      <c r="K63" s="450">
        <v>0.42699999999999999</v>
      </c>
      <c r="L63" s="450">
        <v>0.02</v>
      </c>
      <c r="M63" s="451">
        <v>233.72</v>
      </c>
      <c r="N63" s="451">
        <v>2.36</v>
      </c>
      <c r="O63" s="451">
        <v>4.42</v>
      </c>
      <c r="P63" s="450">
        <v>0.14199999999999999</v>
      </c>
    </row>
    <row r="64" spans="4:16" x14ac:dyDescent="0.25">
      <c r="F64" s="99" t="s">
        <v>1012</v>
      </c>
      <c r="G64" s="92"/>
      <c r="H64" s="92" t="s">
        <v>146</v>
      </c>
      <c r="I64" s="92"/>
      <c r="J64" s="450">
        <v>3.823</v>
      </c>
      <c r="K64" s="450">
        <v>0.42699999999999999</v>
      </c>
      <c r="L64" s="450">
        <v>0.02</v>
      </c>
      <c r="M64" s="451">
        <v>580.20000000000005</v>
      </c>
      <c r="N64" s="451">
        <v>2.36</v>
      </c>
      <c r="O64" s="451">
        <v>4.42</v>
      </c>
      <c r="P64" s="450">
        <v>0.14199999999999999</v>
      </c>
    </row>
    <row r="65" spans="4:16" x14ac:dyDescent="0.25">
      <c r="F65" s="99" t="s">
        <v>1013</v>
      </c>
      <c r="G65" s="92"/>
      <c r="H65" s="92" t="s">
        <v>146</v>
      </c>
      <c r="I65" s="92"/>
      <c r="J65" s="452">
        <v>0</v>
      </c>
      <c r="K65" s="452">
        <v>0</v>
      </c>
      <c r="L65" s="452">
        <v>0</v>
      </c>
      <c r="M65" s="453">
        <v>0</v>
      </c>
      <c r="N65" s="453">
        <v>0</v>
      </c>
      <c r="O65" s="453">
        <v>0</v>
      </c>
      <c r="P65" s="452">
        <v>0</v>
      </c>
    </row>
    <row r="66" spans="4:16" s="293" customFormat="1" x14ac:dyDescent="0.25">
      <c r="D66" s="98"/>
      <c r="E66" s="98"/>
      <c r="F66" s="99" t="s">
        <v>1014</v>
      </c>
      <c r="G66" s="196"/>
      <c r="H66" s="196" t="s">
        <v>146</v>
      </c>
      <c r="I66" s="196"/>
      <c r="J66" s="452">
        <v>0</v>
      </c>
      <c r="K66" s="452">
        <v>0</v>
      </c>
      <c r="L66" s="452">
        <v>0</v>
      </c>
      <c r="M66" s="453">
        <v>0</v>
      </c>
      <c r="N66" s="453">
        <v>0</v>
      </c>
      <c r="O66" s="453">
        <v>0</v>
      </c>
      <c r="P66" s="452">
        <v>0</v>
      </c>
    </row>
    <row r="67" spans="4:16" s="293" customFormat="1" x14ac:dyDescent="0.25">
      <c r="D67" s="98"/>
      <c r="E67" s="98"/>
      <c r="F67" s="99" t="s">
        <v>1015</v>
      </c>
      <c r="G67" s="196"/>
      <c r="H67" s="196" t="s">
        <v>146</v>
      </c>
      <c r="I67" s="196"/>
      <c r="J67" s="452">
        <v>0</v>
      </c>
      <c r="K67" s="452">
        <v>0</v>
      </c>
      <c r="L67" s="452">
        <v>0</v>
      </c>
      <c r="M67" s="453">
        <v>0</v>
      </c>
      <c r="N67" s="453">
        <v>0</v>
      </c>
      <c r="O67" s="453">
        <v>0</v>
      </c>
      <c r="P67" s="452">
        <v>0</v>
      </c>
    </row>
    <row r="68" spans="4:16" s="293" customFormat="1" x14ac:dyDescent="0.25">
      <c r="D68" s="98"/>
      <c r="E68" s="98"/>
      <c r="F68" s="99" t="s">
        <v>1016</v>
      </c>
      <c r="G68" s="196"/>
      <c r="H68" s="196" t="s">
        <v>146</v>
      </c>
      <c r="I68" s="196"/>
      <c r="J68" s="452">
        <v>0</v>
      </c>
      <c r="K68" s="452">
        <v>0</v>
      </c>
      <c r="L68" s="452">
        <v>0</v>
      </c>
      <c r="M68" s="453">
        <v>0</v>
      </c>
      <c r="N68" s="453">
        <v>0</v>
      </c>
      <c r="O68" s="453">
        <v>0</v>
      </c>
      <c r="P68" s="452">
        <v>0</v>
      </c>
    </row>
    <row r="69" spans="4:16" s="293" customFormat="1" x14ac:dyDescent="0.25">
      <c r="D69" s="98"/>
      <c r="E69" s="98"/>
      <c r="F69" s="99" t="s">
        <v>1017</v>
      </c>
      <c r="G69" s="196"/>
      <c r="H69" s="196" t="s">
        <v>146</v>
      </c>
      <c r="I69" s="196"/>
      <c r="J69" s="452">
        <v>0</v>
      </c>
      <c r="K69" s="452">
        <v>0</v>
      </c>
      <c r="L69" s="452">
        <v>0</v>
      </c>
      <c r="M69" s="453">
        <v>0</v>
      </c>
      <c r="N69" s="453">
        <v>0</v>
      </c>
      <c r="O69" s="453">
        <v>0</v>
      </c>
      <c r="P69" s="452">
        <v>0</v>
      </c>
    </row>
    <row r="70" spans="4:16" s="293" customFormat="1" x14ac:dyDescent="0.25">
      <c r="D70" s="98"/>
      <c r="E70" s="98"/>
      <c r="F70" s="99" t="s">
        <v>1018</v>
      </c>
      <c r="G70" s="196"/>
      <c r="H70" s="196" t="s">
        <v>146</v>
      </c>
      <c r="I70" s="196"/>
      <c r="J70" s="452">
        <v>0</v>
      </c>
      <c r="K70" s="452">
        <v>0</v>
      </c>
      <c r="L70" s="452">
        <v>0</v>
      </c>
      <c r="M70" s="453">
        <v>0</v>
      </c>
      <c r="N70" s="453">
        <v>0</v>
      </c>
      <c r="O70" s="453">
        <v>0</v>
      </c>
      <c r="P70" s="452">
        <v>0</v>
      </c>
    </row>
    <row r="71" spans="4:16" s="293" customFormat="1" x14ac:dyDescent="0.25">
      <c r="D71" s="98"/>
      <c r="E71" s="98"/>
      <c r="F71" s="99" t="s">
        <v>1019</v>
      </c>
      <c r="G71" s="196"/>
      <c r="H71" s="196" t="s">
        <v>146</v>
      </c>
      <c r="I71" s="196"/>
      <c r="J71" s="452">
        <v>0</v>
      </c>
      <c r="K71" s="452">
        <v>0</v>
      </c>
      <c r="L71" s="452">
        <v>0</v>
      </c>
      <c r="M71" s="453">
        <v>0</v>
      </c>
      <c r="N71" s="453">
        <v>0</v>
      </c>
      <c r="O71" s="453">
        <v>0</v>
      </c>
      <c r="P71" s="452">
        <v>0</v>
      </c>
    </row>
    <row r="72" spans="4:16" s="293" customFormat="1" x14ac:dyDescent="0.25">
      <c r="D72" s="98"/>
      <c r="E72" s="98"/>
      <c r="F72" s="99" t="s">
        <v>1020</v>
      </c>
      <c r="G72" s="196"/>
      <c r="H72" s="196" t="s">
        <v>146</v>
      </c>
      <c r="I72" s="196"/>
      <c r="J72" s="452">
        <v>0</v>
      </c>
      <c r="K72" s="452">
        <v>0</v>
      </c>
      <c r="L72" s="452">
        <v>0</v>
      </c>
      <c r="M72" s="453">
        <v>0</v>
      </c>
      <c r="N72" s="453">
        <v>0</v>
      </c>
      <c r="O72" s="453">
        <v>0</v>
      </c>
      <c r="P72" s="452">
        <v>0</v>
      </c>
    </row>
    <row r="73" spans="4:16" s="293" customFormat="1" x14ac:dyDescent="0.25">
      <c r="D73" s="98"/>
      <c r="E73" s="98"/>
      <c r="F73" s="99" t="s">
        <v>1021</v>
      </c>
      <c r="G73" s="196"/>
      <c r="H73" s="196" t="s">
        <v>146</v>
      </c>
      <c r="I73" s="196"/>
      <c r="J73" s="452">
        <v>0</v>
      </c>
      <c r="K73" s="452">
        <v>0</v>
      </c>
      <c r="L73" s="452">
        <v>0</v>
      </c>
      <c r="M73" s="453">
        <v>0</v>
      </c>
      <c r="N73" s="453">
        <v>0</v>
      </c>
      <c r="O73" s="453">
        <v>0</v>
      </c>
      <c r="P73" s="452">
        <v>0</v>
      </c>
    </row>
    <row r="74" spans="4:16" s="293" customFormat="1" x14ac:dyDescent="0.25">
      <c r="D74" s="98"/>
      <c r="E74" s="98"/>
      <c r="F74" s="99" t="s">
        <v>1022</v>
      </c>
      <c r="G74" s="196"/>
      <c r="H74" s="196" t="s">
        <v>146</v>
      </c>
      <c r="I74" s="196"/>
      <c r="J74" s="452">
        <v>0</v>
      </c>
      <c r="K74" s="452">
        <v>0</v>
      </c>
      <c r="L74" s="452">
        <v>0</v>
      </c>
      <c r="M74" s="453">
        <v>0</v>
      </c>
      <c r="N74" s="453">
        <v>0</v>
      </c>
      <c r="O74" s="453">
        <v>0</v>
      </c>
      <c r="P74" s="452">
        <v>0</v>
      </c>
    </row>
    <row r="75" spans="4:16" s="293" customFormat="1" x14ac:dyDescent="0.25">
      <c r="D75" s="98"/>
      <c r="E75" s="98"/>
      <c r="F75" s="99" t="s">
        <v>933</v>
      </c>
      <c r="G75" s="196"/>
      <c r="H75" s="196" t="s">
        <v>146</v>
      </c>
      <c r="I75" s="196"/>
      <c r="J75" s="450">
        <v>12.68</v>
      </c>
      <c r="K75" s="450">
        <v>2.3119999999999998</v>
      </c>
      <c r="L75" s="450">
        <v>1.768</v>
      </c>
      <c r="M75" s="451">
        <v>0</v>
      </c>
      <c r="N75" s="451">
        <v>0</v>
      </c>
      <c r="O75" s="451">
        <v>0</v>
      </c>
      <c r="P75" s="450">
        <v>0</v>
      </c>
    </row>
    <row r="76" spans="4:16" s="293" customFormat="1" x14ac:dyDescent="0.25">
      <c r="D76" s="98"/>
      <c r="E76" s="98"/>
      <c r="F76" s="99" t="s">
        <v>934</v>
      </c>
      <c r="G76" s="196"/>
      <c r="H76" s="196" t="s">
        <v>146</v>
      </c>
      <c r="I76" s="196"/>
      <c r="J76" s="450">
        <v>-5.8360000000000003</v>
      </c>
      <c r="K76" s="450">
        <v>-0.75700000000000001</v>
      </c>
      <c r="L76" s="450">
        <v>-3.6999999999999998E-2</v>
      </c>
      <c r="M76" s="451">
        <v>0</v>
      </c>
      <c r="N76" s="451">
        <v>0</v>
      </c>
      <c r="O76" s="451">
        <v>0</v>
      </c>
      <c r="P76" s="450">
        <v>0</v>
      </c>
    </row>
    <row r="77" spans="4:16" s="293" customFormat="1" x14ac:dyDescent="0.25">
      <c r="D77" s="98"/>
      <c r="E77" s="98"/>
      <c r="F77" s="99" t="s">
        <v>935</v>
      </c>
      <c r="G77" s="196"/>
      <c r="H77" s="196" t="s">
        <v>146</v>
      </c>
      <c r="I77" s="196"/>
      <c r="J77" s="452">
        <v>0</v>
      </c>
      <c r="K77" s="452">
        <v>0</v>
      </c>
      <c r="L77" s="452">
        <v>0</v>
      </c>
      <c r="M77" s="453">
        <v>0</v>
      </c>
      <c r="N77" s="453">
        <v>0</v>
      </c>
      <c r="O77" s="453">
        <v>0</v>
      </c>
      <c r="P77" s="452">
        <v>0</v>
      </c>
    </row>
    <row r="78" spans="4:16" s="293" customFormat="1" x14ac:dyDescent="0.25">
      <c r="D78" s="98"/>
      <c r="E78" s="98"/>
      <c r="F78" s="99" t="s">
        <v>936</v>
      </c>
      <c r="G78" s="196"/>
      <c r="H78" s="196" t="s">
        <v>146</v>
      </c>
      <c r="I78" s="196"/>
      <c r="J78" s="450">
        <v>-5.8360000000000003</v>
      </c>
      <c r="K78" s="450">
        <v>-0.75700000000000001</v>
      </c>
      <c r="L78" s="450">
        <v>-3.6999999999999998E-2</v>
      </c>
      <c r="M78" s="451">
        <v>0</v>
      </c>
      <c r="N78" s="451">
        <v>0</v>
      </c>
      <c r="O78" s="451">
        <v>0</v>
      </c>
      <c r="P78" s="450">
        <v>0.22800000000000001</v>
      </c>
    </row>
    <row r="79" spans="4:16" x14ac:dyDescent="0.25">
      <c r="F79" s="99" t="s">
        <v>937</v>
      </c>
      <c r="G79" s="92"/>
      <c r="H79" s="92" t="s">
        <v>146</v>
      </c>
      <c r="I79" s="92"/>
      <c r="J79" s="452">
        <v>0</v>
      </c>
      <c r="K79" s="452">
        <v>0</v>
      </c>
      <c r="L79" s="452">
        <v>0</v>
      </c>
      <c r="M79" s="453">
        <v>0</v>
      </c>
      <c r="N79" s="453">
        <v>0</v>
      </c>
      <c r="O79" s="453">
        <v>0</v>
      </c>
      <c r="P79" s="452">
        <v>0</v>
      </c>
    </row>
    <row r="80" spans="4:16" x14ac:dyDescent="0.25">
      <c r="F80" s="99" t="s">
        <v>938</v>
      </c>
      <c r="G80" s="92"/>
      <c r="H80" s="92" t="s">
        <v>146</v>
      </c>
      <c r="I80" s="92"/>
      <c r="J80" s="452">
        <v>0</v>
      </c>
      <c r="K80" s="452">
        <v>0</v>
      </c>
      <c r="L80" s="452">
        <v>0</v>
      </c>
      <c r="M80" s="453">
        <v>0</v>
      </c>
      <c r="N80" s="453">
        <v>0</v>
      </c>
      <c r="O80" s="453">
        <v>0</v>
      </c>
      <c r="P80" s="452">
        <v>0</v>
      </c>
    </row>
    <row r="81" spans="4:19" x14ac:dyDescent="0.25">
      <c r="F81" s="99" t="s">
        <v>939</v>
      </c>
      <c r="G81" s="92"/>
      <c r="H81" s="92" t="s">
        <v>146</v>
      </c>
      <c r="I81" s="92"/>
      <c r="J81" s="452">
        <v>0</v>
      </c>
      <c r="K81" s="452">
        <v>0</v>
      </c>
      <c r="L81" s="452">
        <v>0</v>
      </c>
      <c r="M81" s="453">
        <v>0</v>
      </c>
      <c r="N81" s="453">
        <v>0</v>
      </c>
      <c r="O81" s="453">
        <v>0</v>
      </c>
      <c r="P81" s="452">
        <v>0</v>
      </c>
    </row>
    <row r="82" spans="4:19" x14ac:dyDescent="0.25">
      <c r="F82" s="99" t="s">
        <v>940</v>
      </c>
      <c r="G82" s="92"/>
      <c r="H82" s="92" t="s">
        <v>146</v>
      </c>
      <c r="I82" s="92"/>
      <c r="J82" s="452">
        <v>0</v>
      </c>
      <c r="K82" s="452">
        <v>0</v>
      </c>
      <c r="L82" s="452">
        <v>0</v>
      </c>
      <c r="M82" s="453">
        <v>0</v>
      </c>
      <c r="N82" s="453">
        <v>0</v>
      </c>
      <c r="O82" s="453">
        <v>0</v>
      </c>
      <c r="P82" s="452">
        <v>0</v>
      </c>
    </row>
    <row r="83" spans="4:19" x14ac:dyDescent="0.25">
      <c r="F83" s="100" t="s">
        <v>941</v>
      </c>
      <c r="G83" s="93"/>
      <c r="H83" s="93" t="s">
        <v>146</v>
      </c>
      <c r="I83" s="93"/>
      <c r="J83" s="438">
        <v>0</v>
      </c>
      <c r="K83" s="438">
        <v>0</v>
      </c>
      <c r="L83" s="438">
        <v>0</v>
      </c>
      <c r="M83" s="344">
        <v>0</v>
      </c>
      <c r="N83" s="344">
        <v>0</v>
      </c>
      <c r="O83" s="344">
        <v>0</v>
      </c>
      <c r="P83" s="438">
        <v>0</v>
      </c>
    </row>
    <row r="84" spans="4:19" x14ac:dyDescent="0.25">
      <c r="D84" s="195"/>
      <c r="E84" s="195"/>
      <c r="F84" s="195"/>
      <c r="G84" s="195"/>
      <c r="H84" s="195"/>
      <c r="I84" s="195"/>
      <c r="J84" s="437"/>
      <c r="K84" s="437"/>
      <c r="L84" s="437"/>
      <c r="M84" s="343"/>
      <c r="N84" s="343"/>
      <c r="O84" s="343"/>
      <c r="P84" s="437"/>
      <c r="Q84" s="195"/>
      <c r="R84" s="195"/>
      <c r="S84" s="195"/>
    </row>
    <row r="85" spans="4:19" x14ac:dyDescent="0.25">
      <c r="D85" s="96"/>
      <c r="E85" s="96" t="str">
        <f>"LDNO HV tariff forecast (" &amp; charging_year_selected &amp; ")"</f>
        <v>LDNO HV tariff forecast (2023/24)</v>
      </c>
      <c r="F85" s="195"/>
      <c r="G85" s="195"/>
      <c r="H85" s="195"/>
      <c r="I85" s="195"/>
      <c r="J85" s="437"/>
      <c r="K85" s="437"/>
      <c r="L85" s="437"/>
      <c r="M85" s="343"/>
      <c r="N85" s="343"/>
      <c r="O85" s="343"/>
      <c r="P85" s="437"/>
      <c r="Q85" s="195"/>
      <c r="R85" s="195"/>
      <c r="S85" s="195"/>
    </row>
    <row r="86" spans="4:19" x14ac:dyDescent="0.25">
      <c r="F86" s="103" t="s">
        <v>1002</v>
      </c>
      <c r="G86" s="91"/>
      <c r="H86" s="91" t="s">
        <v>147</v>
      </c>
      <c r="I86" s="91"/>
      <c r="J86" s="435">
        <f t="array" ref="J86:P117">TRANSPOSE(Rounding!J168:AO174)</f>
        <v>3.9830000000000001</v>
      </c>
      <c r="K86" s="435">
        <v>0.51700000000000002</v>
      </c>
      <c r="L86" s="435">
        <v>2.5000000000000001E-2</v>
      </c>
      <c r="M86" s="340">
        <v>5.09</v>
      </c>
      <c r="N86" s="340">
        <v>0</v>
      </c>
      <c r="O86" s="340">
        <v>0</v>
      </c>
      <c r="P86" s="435">
        <v>0</v>
      </c>
    </row>
    <row r="87" spans="4:19" x14ac:dyDescent="0.25">
      <c r="F87" s="99" t="s">
        <v>927</v>
      </c>
      <c r="G87" s="92"/>
      <c r="H87" s="92" t="s">
        <v>147</v>
      </c>
      <c r="I87" s="92"/>
      <c r="J87" s="450">
        <v>3.9830000000000001</v>
      </c>
      <c r="K87" s="450">
        <v>0.51700000000000002</v>
      </c>
      <c r="L87" s="450">
        <v>2.5000000000000001E-2</v>
      </c>
      <c r="M87" s="451">
        <v>0</v>
      </c>
      <c r="N87" s="451">
        <v>0</v>
      </c>
      <c r="O87" s="451">
        <v>0</v>
      </c>
      <c r="P87" s="450">
        <v>0</v>
      </c>
    </row>
    <row r="88" spans="4:19" x14ac:dyDescent="0.25">
      <c r="F88" s="99" t="s">
        <v>1003</v>
      </c>
      <c r="G88" s="92"/>
      <c r="H88" s="92" t="s">
        <v>147</v>
      </c>
      <c r="I88" s="92"/>
      <c r="J88" s="450">
        <v>3.5110000000000001</v>
      </c>
      <c r="K88" s="450">
        <v>0.45500000000000002</v>
      </c>
      <c r="L88" s="450">
        <v>2.1999999999999999E-2</v>
      </c>
      <c r="M88" s="451">
        <v>3.87</v>
      </c>
      <c r="N88" s="451">
        <v>0</v>
      </c>
      <c r="O88" s="451">
        <v>0</v>
      </c>
      <c r="P88" s="450">
        <v>0</v>
      </c>
    </row>
    <row r="89" spans="4:19" x14ac:dyDescent="0.25">
      <c r="F89" s="99" t="s">
        <v>1004</v>
      </c>
      <c r="G89" s="92"/>
      <c r="H89" s="92" t="s">
        <v>147</v>
      </c>
      <c r="I89" s="92"/>
      <c r="J89" s="450">
        <v>3.5110000000000001</v>
      </c>
      <c r="K89" s="450">
        <v>0.45500000000000002</v>
      </c>
      <c r="L89" s="450">
        <v>2.1999999999999999E-2</v>
      </c>
      <c r="M89" s="451">
        <v>5.36</v>
      </c>
      <c r="N89" s="451">
        <v>0</v>
      </c>
      <c r="O89" s="451">
        <v>0</v>
      </c>
      <c r="P89" s="450">
        <v>0</v>
      </c>
    </row>
    <row r="90" spans="4:19" x14ac:dyDescent="0.25">
      <c r="F90" s="99" t="s">
        <v>1005</v>
      </c>
      <c r="G90" s="92"/>
      <c r="H90" s="92" t="s">
        <v>147</v>
      </c>
      <c r="I90" s="92"/>
      <c r="J90" s="450">
        <v>3.5110000000000001</v>
      </c>
      <c r="K90" s="450">
        <v>0.45500000000000002</v>
      </c>
      <c r="L90" s="450">
        <v>2.1999999999999999E-2</v>
      </c>
      <c r="M90" s="451">
        <v>8.77</v>
      </c>
      <c r="N90" s="451">
        <v>0</v>
      </c>
      <c r="O90" s="451">
        <v>0</v>
      </c>
      <c r="P90" s="450">
        <v>0</v>
      </c>
    </row>
    <row r="91" spans="4:19" x14ac:dyDescent="0.25">
      <c r="F91" s="99" t="s">
        <v>1006</v>
      </c>
      <c r="G91" s="92"/>
      <c r="H91" s="92" t="s">
        <v>147</v>
      </c>
      <c r="I91" s="92"/>
      <c r="J91" s="450">
        <v>3.5110000000000001</v>
      </c>
      <c r="K91" s="450">
        <v>0.45500000000000002</v>
      </c>
      <c r="L91" s="450">
        <v>2.1999999999999999E-2</v>
      </c>
      <c r="M91" s="451">
        <v>14.98</v>
      </c>
      <c r="N91" s="451">
        <v>0</v>
      </c>
      <c r="O91" s="451">
        <v>0</v>
      </c>
      <c r="P91" s="450">
        <v>0</v>
      </c>
    </row>
    <row r="92" spans="4:19" x14ac:dyDescent="0.25">
      <c r="F92" s="99" t="s">
        <v>1007</v>
      </c>
      <c r="G92" s="92"/>
      <c r="H92" s="92" t="s">
        <v>147</v>
      </c>
      <c r="I92" s="92"/>
      <c r="J92" s="450">
        <v>3.5110000000000001</v>
      </c>
      <c r="K92" s="450">
        <v>0.45500000000000002</v>
      </c>
      <c r="L92" s="450">
        <v>2.1999999999999999E-2</v>
      </c>
      <c r="M92" s="451">
        <v>34.11</v>
      </c>
      <c r="N92" s="451">
        <v>0</v>
      </c>
      <c r="O92" s="451">
        <v>0</v>
      </c>
      <c r="P92" s="450">
        <v>0</v>
      </c>
    </row>
    <row r="93" spans="4:19" s="293" customFormat="1" x14ac:dyDescent="0.25">
      <c r="D93" s="98"/>
      <c r="E93" s="98"/>
      <c r="F93" s="99" t="s">
        <v>929</v>
      </c>
      <c r="G93" s="196"/>
      <c r="H93" s="196" t="s">
        <v>147</v>
      </c>
      <c r="I93" s="196"/>
      <c r="J93" s="450">
        <v>3.5110000000000001</v>
      </c>
      <c r="K93" s="450">
        <v>0.45500000000000002</v>
      </c>
      <c r="L93" s="450">
        <v>2.1999999999999999E-2</v>
      </c>
      <c r="M93" s="451">
        <v>0</v>
      </c>
      <c r="N93" s="451">
        <v>0</v>
      </c>
      <c r="O93" s="451">
        <v>0</v>
      </c>
      <c r="P93" s="450">
        <v>0</v>
      </c>
    </row>
    <row r="94" spans="4:19" s="293" customFormat="1" x14ac:dyDescent="0.25">
      <c r="D94" s="98"/>
      <c r="E94" s="98"/>
      <c r="F94" s="99" t="s">
        <v>1008</v>
      </c>
      <c r="G94" s="196"/>
      <c r="H94" s="196" t="s">
        <v>147</v>
      </c>
      <c r="I94" s="196"/>
      <c r="J94" s="450">
        <v>2.742</v>
      </c>
      <c r="K94" s="450">
        <v>0.307</v>
      </c>
      <c r="L94" s="450">
        <v>1.4E-2</v>
      </c>
      <c r="M94" s="451">
        <v>8.09</v>
      </c>
      <c r="N94" s="451">
        <v>1.7</v>
      </c>
      <c r="O94" s="451">
        <v>3.17</v>
      </c>
      <c r="P94" s="450">
        <v>0.10199999999999999</v>
      </c>
    </row>
    <row r="95" spans="4:19" s="293" customFormat="1" x14ac:dyDescent="0.25">
      <c r="D95" s="98"/>
      <c r="E95" s="98"/>
      <c r="F95" s="99" t="s">
        <v>1009</v>
      </c>
      <c r="G95" s="196"/>
      <c r="H95" s="196" t="s">
        <v>147</v>
      </c>
      <c r="I95" s="196"/>
      <c r="J95" s="450">
        <v>2.742</v>
      </c>
      <c r="K95" s="450">
        <v>0.307</v>
      </c>
      <c r="L95" s="450">
        <v>1.4E-2</v>
      </c>
      <c r="M95" s="451">
        <v>63.57</v>
      </c>
      <c r="N95" s="451">
        <v>1.7</v>
      </c>
      <c r="O95" s="451">
        <v>3.17</v>
      </c>
      <c r="P95" s="450">
        <v>0.10199999999999999</v>
      </c>
    </row>
    <row r="96" spans="4:19" x14ac:dyDescent="0.25">
      <c r="F96" s="99" t="s">
        <v>1010</v>
      </c>
      <c r="G96" s="92"/>
      <c r="H96" s="92" t="s">
        <v>147</v>
      </c>
      <c r="I96" s="92"/>
      <c r="J96" s="450">
        <v>2.742</v>
      </c>
      <c r="K96" s="450">
        <v>0.307</v>
      </c>
      <c r="L96" s="450">
        <v>1.4E-2</v>
      </c>
      <c r="M96" s="451">
        <v>111.22</v>
      </c>
      <c r="N96" s="451">
        <v>1.7</v>
      </c>
      <c r="O96" s="451">
        <v>3.17</v>
      </c>
      <c r="P96" s="450">
        <v>0.10199999999999999</v>
      </c>
    </row>
    <row r="97" spans="4:16" x14ac:dyDescent="0.25">
      <c r="F97" s="99" t="s">
        <v>1011</v>
      </c>
      <c r="G97" s="92"/>
      <c r="H97" s="92" t="s">
        <v>147</v>
      </c>
      <c r="I97" s="92"/>
      <c r="J97" s="450">
        <v>2.742</v>
      </c>
      <c r="K97" s="450">
        <v>0.307</v>
      </c>
      <c r="L97" s="450">
        <v>1.4E-2</v>
      </c>
      <c r="M97" s="451">
        <v>167.69</v>
      </c>
      <c r="N97" s="451">
        <v>1.7</v>
      </c>
      <c r="O97" s="451">
        <v>3.17</v>
      </c>
      <c r="P97" s="450">
        <v>0.10199999999999999</v>
      </c>
    </row>
    <row r="98" spans="4:16" x14ac:dyDescent="0.25">
      <c r="F98" s="99" t="s">
        <v>1012</v>
      </c>
      <c r="G98" s="92"/>
      <c r="H98" s="92" t="s">
        <v>147</v>
      </c>
      <c r="I98" s="92"/>
      <c r="J98" s="450">
        <v>2.742</v>
      </c>
      <c r="K98" s="450">
        <v>0.307</v>
      </c>
      <c r="L98" s="450">
        <v>1.4E-2</v>
      </c>
      <c r="M98" s="451">
        <v>416.21</v>
      </c>
      <c r="N98" s="451">
        <v>1.7</v>
      </c>
      <c r="O98" s="451">
        <v>3.17</v>
      </c>
      <c r="P98" s="450">
        <v>0.10199999999999999</v>
      </c>
    </row>
    <row r="99" spans="4:16" x14ac:dyDescent="0.25">
      <c r="F99" s="99" t="s">
        <v>1013</v>
      </c>
      <c r="G99" s="92"/>
      <c r="H99" s="92" t="s">
        <v>147</v>
      </c>
      <c r="I99" s="92"/>
      <c r="J99" s="450">
        <v>2.8889999999999998</v>
      </c>
      <c r="K99" s="450">
        <v>0.221</v>
      </c>
      <c r="L99" s="450">
        <v>8.9999999999999993E-3</v>
      </c>
      <c r="M99" s="451">
        <v>29.84</v>
      </c>
      <c r="N99" s="451">
        <v>3.64</v>
      </c>
      <c r="O99" s="451">
        <v>4.75</v>
      </c>
      <c r="P99" s="450">
        <v>9.0999999999999998E-2</v>
      </c>
    </row>
    <row r="100" spans="4:16" s="293" customFormat="1" x14ac:dyDescent="0.25">
      <c r="D100" s="98"/>
      <c r="E100" s="98"/>
      <c r="F100" s="99" t="s">
        <v>1014</v>
      </c>
      <c r="G100" s="196"/>
      <c r="H100" s="196" t="s">
        <v>147</v>
      </c>
      <c r="I100" s="196"/>
      <c r="J100" s="450">
        <v>2.8889999999999998</v>
      </c>
      <c r="K100" s="450">
        <v>0.221</v>
      </c>
      <c r="L100" s="450">
        <v>8.9999999999999993E-3</v>
      </c>
      <c r="M100" s="451">
        <v>118.46</v>
      </c>
      <c r="N100" s="451">
        <v>3.64</v>
      </c>
      <c r="O100" s="451">
        <v>4.75</v>
      </c>
      <c r="P100" s="450">
        <v>9.0999999999999998E-2</v>
      </c>
    </row>
    <row r="101" spans="4:16" s="293" customFormat="1" x14ac:dyDescent="0.25">
      <c r="D101" s="98"/>
      <c r="E101" s="98"/>
      <c r="F101" s="99" t="s">
        <v>1015</v>
      </c>
      <c r="G101" s="196"/>
      <c r="H101" s="196" t="s">
        <v>147</v>
      </c>
      <c r="I101" s="196"/>
      <c r="J101" s="450">
        <v>2.8889999999999998</v>
      </c>
      <c r="K101" s="450">
        <v>0.221</v>
      </c>
      <c r="L101" s="450">
        <v>8.9999999999999993E-3</v>
      </c>
      <c r="M101" s="451">
        <v>194.57</v>
      </c>
      <c r="N101" s="451">
        <v>3.64</v>
      </c>
      <c r="O101" s="451">
        <v>4.75</v>
      </c>
      <c r="P101" s="450">
        <v>9.0999999999999998E-2</v>
      </c>
    </row>
    <row r="102" spans="4:16" s="293" customFormat="1" x14ac:dyDescent="0.25">
      <c r="D102" s="98"/>
      <c r="E102" s="98"/>
      <c r="F102" s="99" t="s">
        <v>1016</v>
      </c>
      <c r="G102" s="196"/>
      <c r="H102" s="196" t="s">
        <v>147</v>
      </c>
      <c r="I102" s="196"/>
      <c r="J102" s="450">
        <v>2.8889999999999998</v>
      </c>
      <c r="K102" s="450">
        <v>0.221</v>
      </c>
      <c r="L102" s="450">
        <v>8.9999999999999993E-3</v>
      </c>
      <c r="M102" s="451">
        <v>284.77</v>
      </c>
      <c r="N102" s="451">
        <v>3.64</v>
      </c>
      <c r="O102" s="451">
        <v>4.75</v>
      </c>
      <c r="P102" s="450">
        <v>9.0999999999999998E-2</v>
      </c>
    </row>
    <row r="103" spans="4:16" s="293" customFormat="1" x14ac:dyDescent="0.25">
      <c r="D103" s="98"/>
      <c r="E103" s="98"/>
      <c r="F103" s="99" t="s">
        <v>1017</v>
      </c>
      <c r="G103" s="196"/>
      <c r="H103" s="196" t="s">
        <v>147</v>
      </c>
      <c r="I103" s="196"/>
      <c r="J103" s="450">
        <v>2.8889999999999998</v>
      </c>
      <c r="K103" s="450">
        <v>0.221</v>
      </c>
      <c r="L103" s="450">
        <v>8.9999999999999993E-3</v>
      </c>
      <c r="M103" s="451">
        <v>681.76</v>
      </c>
      <c r="N103" s="451">
        <v>3.64</v>
      </c>
      <c r="O103" s="451">
        <v>4.75</v>
      </c>
      <c r="P103" s="450">
        <v>9.0999999999999998E-2</v>
      </c>
    </row>
    <row r="104" spans="4:16" s="293" customFormat="1" x14ac:dyDescent="0.25">
      <c r="D104" s="98"/>
      <c r="E104" s="98"/>
      <c r="F104" s="99" t="s">
        <v>1018</v>
      </c>
      <c r="G104" s="196"/>
      <c r="H104" s="196" t="s">
        <v>147</v>
      </c>
      <c r="I104" s="196"/>
      <c r="J104" s="450">
        <v>2.6970000000000001</v>
      </c>
      <c r="K104" s="450">
        <v>0.183</v>
      </c>
      <c r="L104" s="450">
        <v>8.0000000000000002E-3</v>
      </c>
      <c r="M104" s="451">
        <v>147.81</v>
      </c>
      <c r="N104" s="451">
        <v>4.9800000000000004</v>
      </c>
      <c r="O104" s="451">
        <v>6.02</v>
      </c>
      <c r="P104" s="450">
        <v>7.9000000000000001E-2</v>
      </c>
    </row>
    <row r="105" spans="4:16" s="293" customFormat="1" x14ac:dyDescent="0.25">
      <c r="D105" s="98"/>
      <c r="E105" s="98"/>
      <c r="F105" s="99" t="s">
        <v>1019</v>
      </c>
      <c r="G105" s="196"/>
      <c r="H105" s="196" t="s">
        <v>147</v>
      </c>
      <c r="I105" s="196"/>
      <c r="J105" s="450">
        <v>2.6970000000000001</v>
      </c>
      <c r="K105" s="450">
        <v>0.183</v>
      </c>
      <c r="L105" s="450">
        <v>8.0000000000000002E-3</v>
      </c>
      <c r="M105" s="451">
        <v>770.29</v>
      </c>
      <c r="N105" s="451">
        <v>4.9800000000000004</v>
      </c>
      <c r="O105" s="451">
        <v>6.02</v>
      </c>
      <c r="P105" s="450">
        <v>7.9000000000000001E-2</v>
      </c>
    </row>
    <row r="106" spans="4:16" s="293" customFormat="1" x14ac:dyDescent="0.25">
      <c r="D106" s="98"/>
      <c r="E106" s="98"/>
      <c r="F106" s="99" t="s">
        <v>1020</v>
      </c>
      <c r="G106" s="196"/>
      <c r="H106" s="196" t="s">
        <v>147</v>
      </c>
      <c r="I106" s="196"/>
      <c r="J106" s="450">
        <v>2.6970000000000001</v>
      </c>
      <c r="K106" s="450">
        <v>0.183</v>
      </c>
      <c r="L106" s="450">
        <v>8.0000000000000002E-3</v>
      </c>
      <c r="M106" s="451">
        <v>1963.98</v>
      </c>
      <c r="N106" s="451">
        <v>4.9800000000000004</v>
      </c>
      <c r="O106" s="451">
        <v>6.02</v>
      </c>
      <c r="P106" s="450">
        <v>7.9000000000000001E-2</v>
      </c>
    </row>
    <row r="107" spans="4:16" s="293" customFormat="1" x14ac:dyDescent="0.25">
      <c r="D107" s="98"/>
      <c r="E107" s="98"/>
      <c r="F107" s="99" t="s">
        <v>1021</v>
      </c>
      <c r="G107" s="196"/>
      <c r="H107" s="196" t="s">
        <v>147</v>
      </c>
      <c r="I107" s="196"/>
      <c r="J107" s="450">
        <v>2.6970000000000001</v>
      </c>
      <c r="K107" s="450">
        <v>0.183</v>
      </c>
      <c r="L107" s="450">
        <v>8.0000000000000002E-3</v>
      </c>
      <c r="M107" s="451">
        <v>3481.34</v>
      </c>
      <c r="N107" s="451">
        <v>4.9800000000000004</v>
      </c>
      <c r="O107" s="451">
        <v>6.02</v>
      </c>
      <c r="P107" s="450">
        <v>7.9000000000000001E-2</v>
      </c>
    </row>
    <row r="108" spans="4:16" s="293" customFormat="1" x14ac:dyDescent="0.25">
      <c r="D108" s="98"/>
      <c r="E108" s="98"/>
      <c r="F108" s="99" t="s">
        <v>1022</v>
      </c>
      <c r="G108" s="196"/>
      <c r="H108" s="196" t="s">
        <v>147</v>
      </c>
      <c r="I108" s="196"/>
      <c r="J108" s="450">
        <v>2.6970000000000001</v>
      </c>
      <c r="K108" s="450">
        <v>0.183</v>
      </c>
      <c r="L108" s="450">
        <v>8.0000000000000002E-3</v>
      </c>
      <c r="M108" s="451">
        <v>8905.42</v>
      </c>
      <c r="N108" s="451">
        <v>4.9800000000000004</v>
      </c>
      <c r="O108" s="451">
        <v>6.02</v>
      </c>
      <c r="P108" s="450">
        <v>7.9000000000000001E-2</v>
      </c>
    </row>
    <row r="109" spans="4:16" s="293" customFormat="1" x14ac:dyDescent="0.25">
      <c r="D109" s="98"/>
      <c r="E109" s="98"/>
      <c r="F109" s="99" t="s">
        <v>933</v>
      </c>
      <c r="G109" s="196"/>
      <c r="H109" s="196" t="s">
        <v>147</v>
      </c>
      <c r="I109" s="196"/>
      <c r="J109" s="450">
        <v>9.0950000000000006</v>
      </c>
      <c r="K109" s="450">
        <v>1.6579999999999999</v>
      </c>
      <c r="L109" s="450">
        <v>1.268</v>
      </c>
      <c r="M109" s="451">
        <v>0</v>
      </c>
      <c r="N109" s="451">
        <v>0</v>
      </c>
      <c r="O109" s="451">
        <v>0</v>
      </c>
      <c r="P109" s="450">
        <v>0</v>
      </c>
    </row>
    <row r="110" spans="4:16" s="293" customFormat="1" x14ac:dyDescent="0.25">
      <c r="D110" s="98"/>
      <c r="E110" s="98"/>
      <c r="F110" s="99" t="s">
        <v>934</v>
      </c>
      <c r="G110" s="196"/>
      <c r="H110" s="196" t="s">
        <v>147</v>
      </c>
      <c r="I110" s="196"/>
      <c r="J110" s="450">
        <v>-5.8360000000000003</v>
      </c>
      <c r="K110" s="450">
        <v>-0.75700000000000001</v>
      </c>
      <c r="L110" s="450">
        <v>-3.6999999999999998E-2</v>
      </c>
      <c r="M110" s="451">
        <v>0</v>
      </c>
      <c r="N110" s="451">
        <v>0</v>
      </c>
      <c r="O110" s="451">
        <v>0</v>
      </c>
      <c r="P110" s="450">
        <v>0</v>
      </c>
    </row>
    <row r="111" spans="4:16" s="293" customFormat="1" x14ac:dyDescent="0.25">
      <c r="D111" s="98"/>
      <c r="E111" s="98"/>
      <c r="F111" s="99" t="s">
        <v>935</v>
      </c>
      <c r="G111" s="196"/>
      <c r="H111" s="196" t="s">
        <v>147</v>
      </c>
      <c r="I111" s="196"/>
      <c r="J111" s="450">
        <v>-5.2140000000000004</v>
      </c>
      <c r="K111" s="450">
        <v>-0.61899999999999999</v>
      </c>
      <c r="L111" s="450">
        <v>-2.9000000000000001E-2</v>
      </c>
      <c r="M111" s="451">
        <v>0</v>
      </c>
      <c r="N111" s="451">
        <v>0</v>
      </c>
      <c r="O111" s="451">
        <v>0</v>
      </c>
      <c r="P111" s="450">
        <v>0</v>
      </c>
    </row>
    <row r="112" spans="4:16" s="293" customFormat="1" x14ac:dyDescent="0.25">
      <c r="D112" s="98"/>
      <c r="E112" s="98"/>
      <c r="F112" s="99" t="s">
        <v>936</v>
      </c>
      <c r="G112" s="196"/>
      <c r="H112" s="196" t="s">
        <v>147</v>
      </c>
      <c r="I112" s="196"/>
      <c r="J112" s="450">
        <v>-5.8360000000000003</v>
      </c>
      <c r="K112" s="450">
        <v>-0.75700000000000001</v>
      </c>
      <c r="L112" s="450">
        <v>-3.6999999999999998E-2</v>
      </c>
      <c r="M112" s="451">
        <v>0</v>
      </c>
      <c r="N112" s="451">
        <v>0</v>
      </c>
      <c r="O112" s="451">
        <v>0</v>
      </c>
      <c r="P112" s="450">
        <v>0.22800000000000001</v>
      </c>
    </row>
    <row r="113" spans="3:19" x14ac:dyDescent="0.25">
      <c r="F113" s="99" t="s">
        <v>937</v>
      </c>
      <c r="G113" s="92"/>
      <c r="H113" s="92" t="s">
        <v>147</v>
      </c>
      <c r="I113" s="92"/>
      <c r="J113" s="452">
        <v>0</v>
      </c>
      <c r="K113" s="452">
        <v>0</v>
      </c>
      <c r="L113" s="452">
        <v>0</v>
      </c>
      <c r="M113" s="453">
        <v>0</v>
      </c>
      <c r="N113" s="453">
        <v>0</v>
      </c>
      <c r="O113" s="453">
        <v>0</v>
      </c>
      <c r="P113" s="452">
        <v>0</v>
      </c>
    </row>
    <row r="114" spans="3:19" x14ac:dyDescent="0.25">
      <c r="F114" s="99" t="s">
        <v>938</v>
      </c>
      <c r="G114" s="92"/>
      <c r="H114" s="92" t="s">
        <v>147</v>
      </c>
      <c r="I114" s="92"/>
      <c r="J114" s="450">
        <v>-5.2140000000000004</v>
      </c>
      <c r="K114" s="450">
        <v>-0.61899999999999999</v>
      </c>
      <c r="L114" s="450">
        <v>-2.9000000000000001E-2</v>
      </c>
      <c r="M114" s="451">
        <v>0</v>
      </c>
      <c r="N114" s="451">
        <v>0</v>
      </c>
      <c r="O114" s="451">
        <v>0</v>
      </c>
      <c r="P114" s="450">
        <v>0.191</v>
      </c>
    </row>
    <row r="115" spans="3:19" x14ac:dyDescent="0.25">
      <c r="F115" s="99" t="s">
        <v>939</v>
      </c>
      <c r="G115" s="92"/>
      <c r="H115" s="92" t="s">
        <v>147</v>
      </c>
      <c r="I115" s="92"/>
      <c r="J115" s="452">
        <v>0</v>
      </c>
      <c r="K115" s="452">
        <v>0</v>
      </c>
      <c r="L115" s="452">
        <v>0</v>
      </c>
      <c r="M115" s="453">
        <v>0</v>
      </c>
      <c r="N115" s="453">
        <v>0</v>
      </c>
      <c r="O115" s="453">
        <v>0</v>
      </c>
      <c r="P115" s="452">
        <v>0</v>
      </c>
    </row>
    <row r="116" spans="3:19" x14ac:dyDescent="0.25">
      <c r="F116" s="99" t="s">
        <v>940</v>
      </c>
      <c r="G116" s="92"/>
      <c r="H116" s="92" t="s">
        <v>147</v>
      </c>
      <c r="I116" s="92"/>
      <c r="J116" s="450">
        <v>-4.0259999999999998</v>
      </c>
      <c r="K116" s="450">
        <v>-0.307</v>
      </c>
      <c r="L116" s="450">
        <v>-1.2999999999999999E-2</v>
      </c>
      <c r="M116" s="451">
        <v>0</v>
      </c>
      <c r="N116" s="451">
        <v>0</v>
      </c>
      <c r="O116" s="451">
        <v>0</v>
      </c>
      <c r="P116" s="450">
        <v>0.16600000000000001</v>
      </c>
    </row>
    <row r="117" spans="3:19" x14ac:dyDescent="0.25">
      <c r="F117" s="100" t="s">
        <v>941</v>
      </c>
      <c r="G117" s="93"/>
      <c r="H117" s="93" t="s">
        <v>147</v>
      </c>
      <c r="I117" s="93"/>
      <c r="J117" s="438">
        <v>0</v>
      </c>
      <c r="K117" s="438">
        <v>0</v>
      </c>
      <c r="L117" s="438">
        <v>0</v>
      </c>
      <c r="M117" s="344">
        <v>0</v>
      </c>
      <c r="N117" s="344">
        <v>0</v>
      </c>
      <c r="O117" s="344">
        <v>0</v>
      </c>
      <c r="P117" s="438">
        <v>0</v>
      </c>
    </row>
    <row r="118" spans="3:19" x14ac:dyDescent="0.25">
      <c r="D118" s="96"/>
      <c r="E118" s="96"/>
      <c r="F118" s="96"/>
      <c r="G118" s="96"/>
      <c r="H118" s="96"/>
      <c r="I118" s="96"/>
      <c r="J118" s="439"/>
      <c r="K118" s="439"/>
      <c r="L118" s="439"/>
      <c r="M118" s="215"/>
      <c r="N118" s="215"/>
      <c r="O118" s="215"/>
      <c r="P118" s="439"/>
      <c r="Q118" s="96"/>
      <c r="R118" s="96"/>
      <c r="S118" s="96"/>
    </row>
    <row r="119" spans="3:19" s="195" customFormat="1" x14ac:dyDescent="0.25">
      <c r="C119" s="7" t="str">
        <f ca="1">INDEX('Version control'!$H$35:$H$61,MATCH($A$1,'Version control'!$F$35:$F$61,0),1)&amp;"-B: tariff forecast results for charging year " &amp; charging_year</f>
        <v>Output 501-B: tariff forecast results for charging year 2023/24</v>
      </c>
      <c r="D119" s="7"/>
      <c r="E119" s="7"/>
      <c r="F119" s="7"/>
      <c r="G119" s="7"/>
      <c r="H119" s="7"/>
      <c r="I119" s="7"/>
      <c r="J119" s="440"/>
      <c r="K119" s="440"/>
      <c r="L119" s="440"/>
      <c r="M119" s="7"/>
      <c r="N119" s="7"/>
      <c r="O119" s="7"/>
      <c r="P119" s="440"/>
      <c r="Q119" s="7"/>
      <c r="R119" s="7"/>
    </row>
    <row r="120" spans="3:19" x14ac:dyDescent="0.25">
      <c r="D120" s="85"/>
      <c r="E120" s="195"/>
      <c r="F120" s="195"/>
      <c r="J120" s="441"/>
      <c r="K120" s="441"/>
      <c r="L120" s="441"/>
      <c r="M120" s="213"/>
      <c r="N120" s="213"/>
      <c r="O120" s="213"/>
      <c r="P120" s="441"/>
    </row>
    <row r="121" spans="3:19" x14ac:dyDescent="0.25">
      <c r="D121" s="96"/>
      <c r="E121" s="96" t="str">
        <f>"All the way tariff forecast " &amp; charging_year</f>
        <v>All the way tariff forecast 2023/24</v>
      </c>
      <c r="F121" s="195"/>
      <c r="J121" s="441"/>
      <c r="K121" s="441"/>
      <c r="L121" s="441"/>
      <c r="M121" s="213"/>
      <c r="N121" s="213"/>
      <c r="O121" s="213"/>
      <c r="P121" s="441"/>
    </row>
    <row r="122" spans="3:19" x14ac:dyDescent="0.25">
      <c r="F122" s="103" t="s">
        <v>1002</v>
      </c>
      <c r="G122" s="91"/>
      <c r="H122" s="91" t="s">
        <v>261</v>
      </c>
      <c r="I122" s="91"/>
      <c r="J122" s="435">
        <v>8.5990000000000002</v>
      </c>
      <c r="K122" s="435">
        <v>1.115</v>
      </c>
      <c r="L122" s="435">
        <v>5.3999999999999999E-2</v>
      </c>
      <c r="M122" s="340">
        <v>10.69</v>
      </c>
      <c r="N122" s="340">
        <v>0</v>
      </c>
      <c r="O122" s="340">
        <v>0</v>
      </c>
      <c r="P122" s="435">
        <v>0</v>
      </c>
    </row>
    <row r="123" spans="3:19" x14ac:dyDescent="0.25">
      <c r="F123" s="99" t="s">
        <v>927</v>
      </c>
      <c r="G123" s="196"/>
      <c r="H123" s="196" t="s">
        <v>261</v>
      </c>
      <c r="I123" s="196"/>
      <c r="J123" s="450">
        <v>8.5990000000000002</v>
      </c>
      <c r="K123" s="450">
        <v>1.115</v>
      </c>
      <c r="L123" s="450">
        <v>5.3999999999999999E-2</v>
      </c>
      <c r="M123" s="451">
        <v>0</v>
      </c>
      <c r="N123" s="451">
        <v>0</v>
      </c>
      <c r="O123" s="451">
        <v>0</v>
      </c>
      <c r="P123" s="450">
        <v>0</v>
      </c>
    </row>
    <row r="124" spans="3:19" x14ac:dyDescent="0.25">
      <c r="F124" s="99" t="s">
        <v>1003</v>
      </c>
      <c r="G124" s="196"/>
      <c r="H124" s="196" t="s">
        <v>261</v>
      </c>
      <c r="I124" s="196"/>
      <c r="J124" s="450">
        <v>7.5789999999999997</v>
      </c>
      <c r="K124" s="450">
        <v>0.98299999999999998</v>
      </c>
      <c r="L124" s="450">
        <v>4.8000000000000001E-2</v>
      </c>
      <c r="M124" s="451">
        <v>8.15</v>
      </c>
      <c r="N124" s="451">
        <v>0</v>
      </c>
      <c r="O124" s="451">
        <v>0</v>
      </c>
      <c r="P124" s="450">
        <v>0</v>
      </c>
    </row>
    <row r="125" spans="3:19" x14ac:dyDescent="0.25">
      <c r="F125" s="99" t="s">
        <v>1004</v>
      </c>
      <c r="G125" s="196"/>
      <c r="H125" s="196" t="s">
        <v>261</v>
      </c>
      <c r="I125" s="196"/>
      <c r="J125" s="450">
        <v>7.5789999999999997</v>
      </c>
      <c r="K125" s="450">
        <v>0.98299999999999998</v>
      </c>
      <c r="L125" s="450">
        <v>4.8000000000000001E-2</v>
      </c>
      <c r="M125" s="451">
        <v>11.38</v>
      </c>
      <c r="N125" s="451">
        <v>0</v>
      </c>
      <c r="O125" s="451">
        <v>0</v>
      </c>
      <c r="P125" s="450">
        <v>0</v>
      </c>
    </row>
    <row r="126" spans="3:19" x14ac:dyDescent="0.25">
      <c r="F126" s="99" t="s">
        <v>1005</v>
      </c>
      <c r="G126" s="196"/>
      <c r="H126" s="196" t="s">
        <v>261</v>
      </c>
      <c r="I126" s="196"/>
      <c r="J126" s="450">
        <v>7.5789999999999997</v>
      </c>
      <c r="K126" s="450">
        <v>0.98299999999999998</v>
      </c>
      <c r="L126" s="450">
        <v>4.8000000000000001E-2</v>
      </c>
      <c r="M126" s="451">
        <v>18.739999999999998</v>
      </c>
      <c r="N126" s="451">
        <v>0</v>
      </c>
      <c r="O126" s="451">
        <v>0</v>
      </c>
      <c r="P126" s="450">
        <v>0</v>
      </c>
    </row>
    <row r="127" spans="3:19" x14ac:dyDescent="0.25">
      <c r="F127" s="99" t="s">
        <v>1006</v>
      </c>
      <c r="G127" s="196"/>
      <c r="H127" s="196" t="s">
        <v>261</v>
      </c>
      <c r="I127" s="196"/>
      <c r="J127" s="450">
        <v>7.5789999999999997</v>
      </c>
      <c r="K127" s="450">
        <v>0.98299999999999998</v>
      </c>
      <c r="L127" s="450">
        <v>4.8000000000000001E-2</v>
      </c>
      <c r="M127" s="451">
        <v>32.15</v>
      </c>
      <c r="N127" s="451">
        <v>0</v>
      </c>
      <c r="O127" s="451">
        <v>0</v>
      </c>
      <c r="P127" s="450">
        <v>0</v>
      </c>
    </row>
    <row r="128" spans="3:19" x14ac:dyDescent="0.25">
      <c r="F128" s="99" t="s">
        <v>1007</v>
      </c>
      <c r="G128" s="196"/>
      <c r="H128" s="196" t="s">
        <v>261</v>
      </c>
      <c r="I128" s="196"/>
      <c r="J128" s="450">
        <v>7.5789999999999997</v>
      </c>
      <c r="K128" s="450">
        <v>0.98299999999999998</v>
      </c>
      <c r="L128" s="450">
        <v>4.8000000000000001E-2</v>
      </c>
      <c r="M128" s="451">
        <v>73.44</v>
      </c>
      <c r="N128" s="451">
        <v>0</v>
      </c>
      <c r="O128" s="451">
        <v>0</v>
      </c>
      <c r="P128" s="450">
        <v>0</v>
      </c>
    </row>
    <row r="129" spans="4:16" s="293" customFormat="1" x14ac:dyDescent="0.25">
      <c r="D129" s="98"/>
      <c r="E129" s="98"/>
      <c r="F129" s="99" t="s">
        <v>929</v>
      </c>
      <c r="G129" s="196"/>
      <c r="H129" s="196" t="s">
        <v>261</v>
      </c>
      <c r="I129" s="196"/>
      <c r="J129" s="450">
        <v>7.5789999999999997</v>
      </c>
      <c r="K129" s="450">
        <v>0.98299999999999998</v>
      </c>
      <c r="L129" s="450">
        <v>4.8000000000000001E-2</v>
      </c>
      <c r="M129" s="451">
        <v>0</v>
      </c>
      <c r="N129" s="451">
        <v>0</v>
      </c>
      <c r="O129" s="451">
        <v>0</v>
      </c>
      <c r="P129" s="450">
        <v>0</v>
      </c>
    </row>
    <row r="130" spans="4:16" s="293" customFormat="1" x14ac:dyDescent="0.25">
      <c r="D130" s="98"/>
      <c r="E130" s="98"/>
      <c r="F130" s="99" t="s">
        <v>1008</v>
      </c>
      <c r="G130" s="196"/>
      <c r="H130" s="196" t="s">
        <v>261</v>
      </c>
      <c r="I130" s="196"/>
      <c r="J130" s="450">
        <v>5.92</v>
      </c>
      <c r="K130" s="450">
        <v>0.66200000000000003</v>
      </c>
      <c r="L130" s="450">
        <v>3.1E-2</v>
      </c>
      <c r="M130" s="451">
        <v>17.27</v>
      </c>
      <c r="N130" s="451">
        <v>3.66</v>
      </c>
      <c r="O130" s="451">
        <v>6.84</v>
      </c>
      <c r="P130" s="450">
        <v>0.22</v>
      </c>
    </row>
    <row r="131" spans="4:16" s="293" customFormat="1" x14ac:dyDescent="0.25">
      <c r="D131" s="98"/>
      <c r="E131" s="98"/>
      <c r="F131" s="99" t="s">
        <v>1009</v>
      </c>
      <c r="G131" s="196"/>
      <c r="H131" s="196" t="s">
        <v>261</v>
      </c>
      <c r="I131" s="196"/>
      <c r="J131" s="450">
        <v>5.92</v>
      </c>
      <c r="K131" s="450">
        <v>0.66200000000000003</v>
      </c>
      <c r="L131" s="450">
        <v>3.1E-2</v>
      </c>
      <c r="M131" s="451">
        <v>137.04</v>
      </c>
      <c r="N131" s="451">
        <v>3.66</v>
      </c>
      <c r="O131" s="451">
        <v>6.84</v>
      </c>
      <c r="P131" s="450">
        <v>0.22</v>
      </c>
    </row>
    <row r="132" spans="4:16" x14ac:dyDescent="0.25">
      <c r="F132" s="99" t="s">
        <v>1010</v>
      </c>
      <c r="G132" s="196"/>
      <c r="H132" s="196" t="s">
        <v>261</v>
      </c>
      <c r="I132" s="196"/>
      <c r="J132" s="450">
        <v>5.92</v>
      </c>
      <c r="K132" s="450">
        <v>0.66200000000000003</v>
      </c>
      <c r="L132" s="450">
        <v>3.1E-2</v>
      </c>
      <c r="M132" s="451">
        <v>239.9</v>
      </c>
      <c r="N132" s="451">
        <v>3.66</v>
      </c>
      <c r="O132" s="451">
        <v>6.84</v>
      </c>
      <c r="P132" s="450">
        <v>0.22</v>
      </c>
    </row>
    <row r="133" spans="4:16" x14ac:dyDescent="0.25">
      <c r="F133" s="99" t="s">
        <v>1011</v>
      </c>
      <c r="G133" s="196"/>
      <c r="H133" s="196" t="s">
        <v>261</v>
      </c>
      <c r="I133" s="196"/>
      <c r="J133" s="450">
        <v>5.92</v>
      </c>
      <c r="K133" s="450">
        <v>0.66200000000000003</v>
      </c>
      <c r="L133" s="450">
        <v>3.1E-2</v>
      </c>
      <c r="M133" s="451">
        <v>361.82</v>
      </c>
      <c r="N133" s="451">
        <v>3.66</v>
      </c>
      <c r="O133" s="451">
        <v>6.84</v>
      </c>
      <c r="P133" s="450">
        <v>0.22</v>
      </c>
    </row>
    <row r="134" spans="4:16" x14ac:dyDescent="0.25">
      <c r="F134" s="99" t="s">
        <v>1012</v>
      </c>
      <c r="G134" s="196"/>
      <c r="H134" s="196" t="s">
        <v>261</v>
      </c>
      <c r="I134" s="196"/>
      <c r="J134" s="450">
        <v>5.92</v>
      </c>
      <c r="K134" s="450">
        <v>0.66200000000000003</v>
      </c>
      <c r="L134" s="450">
        <v>3.1E-2</v>
      </c>
      <c r="M134" s="451">
        <v>898.33</v>
      </c>
      <c r="N134" s="451">
        <v>3.66</v>
      </c>
      <c r="O134" s="451">
        <v>6.84</v>
      </c>
      <c r="P134" s="450">
        <v>0.22</v>
      </c>
    </row>
    <row r="135" spans="4:16" x14ac:dyDescent="0.25">
      <c r="F135" s="99" t="s">
        <v>1013</v>
      </c>
      <c r="G135" s="196"/>
      <c r="H135" s="196" t="s">
        <v>261</v>
      </c>
      <c r="I135" s="196"/>
      <c r="J135" s="450">
        <v>3.9039999999999999</v>
      </c>
      <c r="K135" s="450">
        <v>0.29799999999999999</v>
      </c>
      <c r="L135" s="450">
        <v>1.2E-2</v>
      </c>
      <c r="M135" s="451">
        <v>40.26</v>
      </c>
      <c r="N135" s="451">
        <v>4.92</v>
      </c>
      <c r="O135" s="451">
        <v>6.43</v>
      </c>
      <c r="P135" s="450">
        <v>0.123</v>
      </c>
    </row>
    <row r="136" spans="4:16" s="293" customFormat="1" x14ac:dyDescent="0.25">
      <c r="D136" s="98"/>
      <c r="E136" s="98"/>
      <c r="F136" s="99" t="s">
        <v>1014</v>
      </c>
      <c r="G136" s="196"/>
      <c r="H136" s="196" t="s">
        <v>261</v>
      </c>
      <c r="I136" s="196"/>
      <c r="J136" s="450">
        <v>3.9039999999999999</v>
      </c>
      <c r="K136" s="450">
        <v>0.29799999999999999</v>
      </c>
      <c r="L136" s="450">
        <v>1.2E-2</v>
      </c>
      <c r="M136" s="451">
        <v>160.04</v>
      </c>
      <c r="N136" s="451">
        <v>4.92</v>
      </c>
      <c r="O136" s="451">
        <v>6.43</v>
      </c>
      <c r="P136" s="450">
        <v>0.123</v>
      </c>
    </row>
    <row r="137" spans="4:16" s="293" customFormat="1" x14ac:dyDescent="0.25">
      <c r="D137" s="98"/>
      <c r="E137" s="98"/>
      <c r="F137" s="99" t="s">
        <v>1015</v>
      </c>
      <c r="G137" s="196"/>
      <c r="H137" s="196" t="s">
        <v>261</v>
      </c>
      <c r="I137" s="196"/>
      <c r="J137" s="450">
        <v>3.9039999999999999</v>
      </c>
      <c r="K137" s="450">
        <v>0.29799999999999999</v>
      </c>
      <c r="L137" s="450">
        <v>1.2E-2</v>
      </c>
      <c r="M137" s="451">
        <v>262.89999999999998</v>
      </c>
      <c r="N137" s="451">
        <v>4.92</v>
      </c>
      <c r="O137" s="451">
        <v>6.43</v>
      </c>
      <c r="P137" s="450">
        <v>0.123</v>
      </c>
    </row>
    <row r="138" spans="4:16" s="293" customFormat="1" x14ac:dyDescent="0.25">
      <c r="D138" s="98"/>
      <c r="E138" s="98"/>
      <c r="F138" s="99" t="s">
        <v>1016</v>
      </c>
      <c r="G138" s="196"/>
      <c r="H138" s="196" t="s">
        <v>261</v>
      </c>
      <c r="I138" s="196"/>
      <c r="J138" s="450">
        <v>3.9039999999999999</v>
      </c>
      <c r="K138" s="450">
        <v>0.29799999999999999</v>
      </c>
      <c r="L138" s="450">
        <v>1.2E-2</v>
      </c>
      <c r="M138" s="451">
        <v>384.81</v>
      </c>
      <c r="N138" s="451">
        <v>4.92</v>
      </c>
      <c r="O138" s="451">
        <v>6.43</v>
      </c>
      <c r="P138" s="450">
        <v>0.123</v>
      </c>
    </row>
    <row r="139" spans="4:16" s="293" customFormat="1" x14ac:dyDescent="0.25">
      <c r="D139" s="98"/>
      <c r="E139" s="98"/>
      <c r="F139" s="99" t="s">
        <v>1017</v>
      </c>
      <c r="G139" s="196"/>
      <c r="H139" s="196" t="s">
        <v>261</v>
      </c>
      <c r="I139" s="196"/>
      <c r="J139" s="450">
        <v>3.9039999999999999</v>
      </c>
      <c r="K139" s="450">
        <v>0.29799999999999999</v>
      </c>
      <c r="L139" s="450">
        <v>1.2E-2</v>
      </c>
      <c r="M139" s="451">
        <v>921.33</v>
      </c>
      <c r="N139" s="451">
        <v>4.92</v>
      </c>
      <c r="O139" s="451">
        <v>6.43</v>
      </c>
      <c r="P139" s="450">
        <v>0.123</v>
      </c>
    </row>
    <row r="140" spans="4:16" s="293" customFormat="1" x14ac:dyDescent="0.25">
      <c r="D140" s="98"/>
      <c r="E140" s="98"/>
      <c r="F140" s="99" t="s">
        <v>1018</v>
      </c>
      <c r="G140" s="196"/>
      <c r="H140" s="196" t="s">
        <v>261</v>
      </c>
      <c r="I140" s="196"/>
      <c r="J140" s="450">
        <v>3.1819999999999999</v>
      </c>
      <c r="K140" s="450">
        <v>0.216</v>
      </c>
      <c r="L140" s="450">
        <v>8.9999999999999993E-3</v>
      </c>
      <c r="M140" s="451">
        <v>174.35</v>
      </c>
      <c r="N140" s="451">
        <v>5.87</v>
      </c>
      <c r="O140" s="451">
        <v>7.1</v>
      </c>
      <c r="P140" s="450">
        <v>9.2999999999999999E-2</v>
      </c>
    </row>
    <row r="141" spans="4:16" s="293" customFormat="1" x14ac:dyDescent="0.25">
      <c r="D141" s="98"/>
      <c r="E141" s="98"/>
      <c r="F141" s="99" t="s">
        <v>1019</v>
      </c>
      <c r="G141" s="196"/>
      <c r="H141" s="196" t="s">
        <v>261</v>
      </c>
      <c r="I141" s="196"/>
      <c r="J141" s="450">
        <v>3.1819999999999999</v>
      </c>
      <c r="K141" s="450">
        <v>0.216</v>
      </c>
      <c r="L141" s="450">
        <v>8.9999999999999993E-3</v>
      </c>
      <c r="M141" s="451">
        <v>908.69</v>
      </c>
      <c r="N141" s="451">
        <v>5.87</v>
      </c>
      <c r="O141" s="451">
        <v>7.1</v>
      </c>
      <c r="P141" s="450">
        <v>9.2999999999999999E-2</v>
      </c>
    </row>
    <row r="142" spans="4:16" s="293" customFormat="1" x14ac:dyDescent="0.25">
      <c r="D142" s="98"/>
      <c r="E142" s="98"/>
      <c r="F142" s="99" t="s">
        <v>1020</v>
      </c>
      <c r="G142" s="196"/>
      <c r="H142" s="196" t="s">
        <v>261</v>
      </c>
      <c r="I142" s="196"/>
      <c r="J142" s="450">
        <v>3.1819999999999999</v>
      </c>
      <c r="K142" s="450">
        <v>0.216</v>
      </c>
      <c r="L142" s="450">
        <v>8.9999999999999993E-3</v>
      </c>
      <c r="M142" s="451">
        <v>2316.9</v>
      </c>
      <c r="N142" s="451">
        <v>5.87</v>
      </c>
      <c r="O142" s="451">
        <v>7.1</v>
      </c>
      <c r="P142" s="450">
        <v>9.2999999999999999E-2</v>
      </c>
    </row>
    <row r="143" spans="4:16" s="293" customFormat="1" x14ac:dyDescent="0.25">
      <c r="D143" s="98"/>
      <c r="E143" s="98"/>
      <c r="F143" s="99" t="s">
        <v>1021</v>
      </c>
      <c r="G143" s="196"/>
      <c r="H143" s="196" t="s">
        <v>261</v>
      </c>
      <c r="I143" s="196"/>
      <c r="J143" s="450">
        <v>3.1819999999999999</v>
      </c>
      <c r="K143" s="450">
        <v>0.216</v>
      </c>
      <c r="L143" s="450">
        <v>8.9999999999999993E-3</v>
      </c>
      <c r="M143" s="451">
        <v>4106.95</v>
      </c>
      <c r="N143" s="451">
        <v>5.87</v>
      </c>
      <c r="O143" s="451">
        <v>7.1</v>
      </c>
      <c r="P143" s="450">
        <v>9.2999999999999999E-2</v>
      </c>
    </row>
    <row r="144" spans="4:16" s="293" customFormat="1" x14ac:dyDescent="0.25">
      <c r="D144" s="98"/>
      <c r="E144" s="98"/>
      <c r="F144" s="99" t="s">
        <v>1022</v>
      </c>
      <c r="G144" s="196"/>
      <c r="H144" s="196" t="s">
        <v>261</v>
      </c>
      <c r="I144" s="196"/>
      <c r="J144" s="450">
        <v>3.1819999999999999</v>
      </c>
      <c r="K144" s="450">
        <v>0.216</v>
      </c>
      <c r="L144" s="450">
        <v>8.9999999999999993E-3</v>
      </c>
      <c r="M144" s="451">
        <v>10505.79</v>
      </c>
      <c r="N144" s="451">
        <v>5.87</v>
      </c>
      <c r="O144" s="451">
        <v>7.1</v>
      </c>
      <c r="P144" s="450">
        <v>9.2999999999999999E-2</v>
      </c>
    </row>
    <row r="145" spans="4:16" s="293" customFormat="1" x14ac:dyDescent="0.25">
      <c r="D145" s="98"/>
      <c r="E145" s="98"/>
      <c r="F145" s="99" t="s">
        <v>933</v>
      </c>
      <c r="G145" s="196"/>
      <c r="H145" s="196" t="s">
        <v>261</v>
      </c>
      <c r="I145" s="196"/>
      <c r="J145" s="450">
        <v>19.635000000000002</v>
      </c>
      <c r="K145" s="450">
        <v>3.58</v>
      </c>
      <c r="L145" s="450">
        <v>2.738</v>
      </c>
      <c r="M145" s="451">
        <v>0</v>
      </c>
      <c r="N145" s="451">
        <v>0</v>
      </c>
      <c r="O145" s="451">
        <v>0</v>
      </c>
      <c r="P145" s="450">
        <v>0</v>
      </c>
    </row>
    <row r="146" spans="4:16" s="293" customFormat="1" x14ac:dyDescent="0.25">
      <c r="D146" s="98"/>
      <c r="E146" s="98"/>
      <c r="F146" s="99" t="s">
        <v>934</v>
      </c>
      <c r="G146" s="196"/>
      <c r="H146" s="196" t="s">
        <v>261</v>
      </c>
      <c r="I146" s="196"/>
      <c r="J146" s="450">
        <v>-5.8360000000000003</v>
      </c>
      <c r="K146" s="450">
        <v>-0.75700000000000001</v>
      </c>
      <c r="L146" s="450">
        <v>-3.6999999999999998E-2</v>
      </c>
      <c r="M146" s="451">
        <v>0</v>
      </c>
      <c r="N146" s="451">
        <v>0</v>
      </c>
      <c r="O146" s="451">
        <v>0</v>
      </c>
      <c r="P146" s="450">
        <v>0</v>
      </c>
    </row>
    <row r="147" spans="4:16" s="293" customFormat="1" x14ac:dyDescent="0.25">
      <c r="D147" s="98"/>
      <c r="E147" s="98"/>
      <c r="F147" s="99" t="s">
        <v>935</v>
      </c>
      <c r="G147" s="196"/>
      <c r="H147" s="196" t="s">
        <v>261</v>
      </c>
      <c r="I147" s="196"/>
      <c r="J147" s="450">
        <v>-5.2140000000000004</v>
      </c>
      <c r="K147" s="450">
        <v>-0.61899999999999999</v>
      </c>
      <c r="L147" s="450">
        <v>-2.9000000000000001E-2</v>
      </c>
      <c r="M147" s="451">
        <v>0</v>
      </c>
      <c r="N147" s="451">
        <v>0</v>
      </c>
      <c r="O147" s="451">
        <v>0</v>
      </c>
      <c r="P147" s="450">
        <v>0</v>
      </c>
    </row>
    <row r="148" spans="4:16" s="293" customFormat="1" x14ac:dyDescent="0.25">
      <c r="D148" s="98"/>
      <c r="E148" s="98"/>
      <c r="F148" s="99" t="s">
        <v>936</v>
      </c>
      <c r="G148" s="196"/>
      <c r="H148" s="196" t="s">
        <v>261</v>
      </c>
      <c r="I148" s="196"/>
      <c r="J148" s="450">
        <v>-5.8360000000000003</v>
      </c>
      <c r="K148" s="450">
        <v>-0.75700000000000001</v>
      </c>
      <c r="L148" s="450">
        <v>-3.6999999999999998E-2</v>
      </c>
      <c r="M148" s="451">
        <v>0</v>
      </c>
      <c r="N148" s="451">
        <v>0</v>
      </c>
      <c r="O148" s="451">
        <v>0</v>
      </c>
      <c r="P148" s="450">
        <v>0.22800000000000001</v>
      </c>
    </row>
    <row r="149" spans="4:16" x14ac:dyDescent="0.25">
      <c r="F149" s="99" t="s">
        <v>937</v>
      </c>
      <c r="G149" s="196"/>
      <c r="H149" s="196" t="s">
        <v>261</v>
      </c>
      <c r="I149" s="196"/>
      <c r="J149" s="450">
        <v>-5.8360000000000003</v>
      </c>
      <c r="K149" s="450">
        <v>-0.75700000000000001</v>
      </c>
      <c r="L149" s="450">
        <v>-3.6999999999999998E-2</v>
      </c>
      <c r="M149" s="451">
        <v>0</v>
      </c>
      <c r="N149" s="451">
        <v>0</v>
      </c>
      <c r="O149" s="451">
        <v>0</v>
      </c>
      <c r="P149" s="450">
        <v>0</v>
      </c>
    </row>
    <row r="150" spans="4:16" x14ac:dyDescent="0.25">
      <c r="F150" s="99" t="s">
        <v>938</v>
      </c>
      <c r="G150" s="196"/>
      <c r="H150" s="196" t="s">
        <v>261</v>
      </c>
      <c r="I150" s="196"/>
      <c r="J150" s="450">
        <v>-5.2140000000000004</v>
      </c>
      <c r="K150" s="450">
        <v>-0.61899999999999999</v>
      </c>
      <c r="L150" s="450">
        <v>-2.9000000000000001E-2</v>
      </c>
      <c r="M150" s="451">
        <v>0</v>
      </c>
      <c r="N150" s="451">
        <v>0</v>
      </c>
      <c r="O150" s="451">
        <v>0</v>
      </c>
      <c r="P150" s="450">
        <v>0.191</v>
      </c>
    </row>
    <row r="151" spans="4:16" x14ac:dyDescent="0.25">
      <c r="F151" s="99" t="s">
        <v>939</v>
      </c>
      <c r="G151" s="196"/>
      <c r="H151" s="196" t="s">
        <v>261</v>
      </c>
      <c r="I151" s="196"/>
      <c r="J151" s="450">
        <v>-5.2140000000000004</v>
      </c>
      <c r="K151" s="450">
        <v>-0.61899999999999999</v>
      </c>
      <c r="L151" s="450">
        <v>-2.9000000000000001E-2</v>
      </c>
      <c r="M151" s="451">
        <v>0</v>
      </c>
      <c r="N151" s="451">
        <v>0</v>
      </c>
      <c r="O151" s="451">
        <v>0</v>
      </c>
      <c r="P151" s="450">
        <v>0</v>
      </c>
    </row>
    <row r="152" spans="4:16" x14ac:dyDescent="0.25">
      <c r="F152" s="99" t="s">
        <v>940</v>
      </c>
      <c r="G152" s="196"/>
      <c r="H152" s="196" t="s">
        <v>261</v>
      </c>
      <c r="I152" s="196"/>
      <c r="J152" s="450">
        <v>-4.0259999999999998</v>
      </c>
      <c r="K152" s="450">
        <v>-0.307</v>
      </c>
      <c r="L152" s="450">
        <v>-1.2999999999999999E-2</v>
      </c>
      <c r="M152" s="451">
        <v>348.55</v>
      </c>
      <c r="N152" s="451">
        <v>0</v>
      </c>
      <c r="O152" s="451">
        <v>0</v>
      </c>
      <c r="P152" s="450">
        <v>0.16600000000000001</v>
      </c>
    </row>
    <row r="153" spans="4:16" x14ac:dyDescent="0.25">
      <c r="F153" s="100" t="s">
        <v>941</v>
      </c>
      <c r="G153" s="93"/>
      <c r="H153" s="93" t="s">
        <v>261</v>
      </c>
      <c r="I153" s="93"/>
      <c r="J153" s="436">
        <v>-4.0259999999999998</v>
      </c>
      <c r="K153" s="436">
        <v>-0.307</v>
      </c>
      <c r="L153" s="436">
        <v>-1.2999999999999999E-2</v>
      </c>
      <c r="M153" s="342">
        <v>348.55</v>
      </c>
      <c r="N153" s="342">
        <v>0</v>
      </c>
      <c r="O153" s="342">
        <v>0</v>
      </c>
      <c r="P153" s="436">
        <v>0</v>
      </c>
    </row>
    <row r="154" spans="4:16" x14ac:dyDescent="0.25">
      <c r="F154" s="98"/>
      <c r="G154" s="293"/>
      <c r="H154" s="293"/>
      <c r="I154" s="293"/>
      <c r="J154" s="343"/>
      <c r="K154" s="343"/>
      <c r="L154" s="343"/>
      <c r="M154" s="343"/>
      <c r="N154" s="343"/>
      <c r="O154" s="343"/>
      <c r="P154" s="437"/>
    </row>
    <row r="155" spans="4:16" x14ac:dyDescent="0.25">
      <c r="D155" s="96"/>
      <c r="E155" s="96" t="str">
        <f>"LDNO LV tariff forecast " &amp; charging_year</f>
        <v>LDNO LV tariff forecast 2023/24</v>
      </c>
      <c r="F155" s="98"/>
      <c r="G155" s="293"/>
      <c r="H155" s="293"/>
      <c r="I155" s="293"/>
      <c r="J155" s="343"/>
      <c r="K155" s="343"/>
      <c r="L155" s="343"/>
      <c r="M155" s="343"/>
      <c r="N155" s="343"/>
      <c r="O155" s="343"/>
      <c r="P155" s="437"/>
    </row>
    <row r="156" spans="4:16" x14ac:dyDescent="0.25">
      <c r="F156" s="103" t="s">
        <v>1002</v>
      </c>
      <c r="G156" s="91"/>
      <c r="H156" s="91" t="s">
        <v>146</v>
      </c>
      <c r="I156" s="91"/>
      <c r="J156" s="435">
        <v>5.5529999999999999</v>
      </c>
      <c r="K156" s="435">
        <v>0.72</v>
      </c>
      <c r="L156" s="435">
        <v>3.5000000000000003E-2</v>
      </c>
      <c r="M156" s="340">
        <v>6.99</v>
      </c>
      <c r="N156" s="340">
        <v>0</v>
      </c>
      <c r="O156" s="340">
        <v>0</v>
      </c>
      <c r="P156" s="435">
        <v>0</v>
      </c>
    </row>
    <row r="157" spans="4:16" x14ac:dyDescent="0.25">
      <c r="F157" s="99" t="s">
        <v>927</v>
      </c>
      <c r="G157" s="196"/>
      <c r="H157" s="196" t="s">
        <v>146</v>
      </c>
      <c r="I157" s="196"/>
      <c r="J157" s="450">
        <v>5.5529999999999999</v>
      </c>
      <c r="K157" s="450">
        <v>0.72</v>
      </c>
      <c r="L157" s="450">
        <v>3.5000000000000003E-2</v>
      </c>
      <c r="M157" s="451">
        <v>0</v>
      </c>
      <c r="N157" s="451">
        <v>0</v>
      </c>
      <c r="O157" s="451">
        <v>0</v>
      </c>
      <c r="P157" s="450">
        <v>0</v>
      </c>
    </row>
    <row r="158" spans="4:16" x14ac:dyDescent="0.25">
      <c r="F158" s="99" t="s">
        <v>1003</v>
      </c>
      <c r="G158" s="196"/>
      <c r="H158" s="196" t="s">
        <v>146</v>
      </c>
      <c r="I158" s="196"/>
      <c r="J158" s="450">
        <v>4.8949999999999996</v>
      </c>
      <c r="K158" s="450">
        <v>0.63500000000000001</v>
      </c>
      <c r="L158" s="450">
        <v>3.1E-2</v>
      </c>
      <c r="M158" s="451">
        <v>5.32</v>
      </c>
      <c r="N158" s="451">
        <v>0</v>
      </c>
      <c r="O158" s="451">
        <v>0</v>
      </c>
      <c r="P158" s="450">
        <v>0</v>
      </c>
    </row>
    <row r="159" spans="4:16" x14ac:dyDescent="0.25">
      <c r="F159" s="99" t="s">
        <v>1004</v>
      </c>
      <c r="G159" s="196"/>
      <c r="H159" s="196" t="s">
        <v>146</v>
      </c>
      <c r="I159" s="196"/>
      <c r="J159" s="450">
        <v>4.8949999999999996</v>
      </c>
      <c r="K159" s="450">
        <v>0.63500000000000001</v>
      </c>
      <c r="L159" s="450">
        <v>3.1E-2</v>
      </c>
      <c r="M159" s="451">
        <v>7.41</v>
      </c>
      <c r="N159" s="451">
        <v>0</v>
      </c>
      <c r="O159" s="451">
        <v>0</v>
      </c>
      <c r="P159" s="450">
        <v>0</v>
      </c>
    </row>
    <row r="160" spans="4:16" x14ac:dyDescent="0.25">
      <c r="F160" s="99" t="s">
        <v>1005</v>
      </c>
      <c r="G160" s="196"/>
      <c r="H160" s="196" t="s">
        <v>146</v>
      </c>
      <c r="I160" s="196"/>
      <c r="J160" s="450">
        <v>4.8949999999999996</v>
      </c>
      <c r="K160" s="450">
        <v>0.63500000000000001</v>
      </c>
      <c r="L160" s="450">
        <v>3.1E-2</v>
      </c>
      <c r="M160" s="451">
        <v>12.16</v>
      </c>
      <c r="N160" s="451">
        <v>0</v>
      </c>
      <c r="O160" s="451">
        <v>0</v>
      </c>
      <c r="P160" s="450">
        <v>0</v>
      </c>
    </row>
    <row r="161" spans="4:16" x14ac:dyDescent="0.25">
      <c r="F161" s="99" t="s">
        <v>1006</v>
      </c>
      <c r="G161" s="196"/>
      <c r="H161" s="196" t="s">
        <v>146</v>
      </c>
      <c r="I161" s="196"/>
      <c r="J161" s="450">
        <v>4.8949999999999996</v>
      </c>
      <c r="K161" s="450">
        <v>0.63500000000000001</v>
      </c>
      <c r="L161" s="450">
        <v>3.1E-2</v>
      </c>
      <c r="M161" s="451">
        <v>20.82</v>
      </c>
      <c r="N161" s="451">
        <v>0</v>
      </c>
      <c r="O161" s="451">
        <v>0</v>
      </c>
      <c r="P161" s="450">
        <v>0</v>
      </c>
    </row>
    <row r="162" spans="4:16" x14ac:dyDescent="0.25">
      <c r="F162" s="99" t="s">
        <v>1007</v>
      </c>
      <c r="G162" s="196"/>
      <c r="H162" s="196" t="s">
        <v>146</v>
      </c>
      <c r="I162" s="196"/>
      <c r="J162" s="450">
        <v>4.8949999999999996</v>
      </c>
      <c r="K162" s="450">
        <v>0.63500000000000001</v>
      </c>
      <c r="L162" s="450">
        <v>3.1E-2</v>
      </c>
      <c r="M162" s="451">
        <v>47.49</v>
      </c>
      <c r="N162" s="451">
        <v>0</v>
      </c>
      <c r="O162" s="451">
        <v>0</v>
      </c>
      <c r="P162" s="450">
        <v>0</v>
      </c>
    </row>
    <row r="163" spans="4:16" s="293" customFormat="1" x14ac:dyDescent="0.25">
      <c r="D163" s="98"/>
      <c r="E163" s="98"/>
      <c r="F163" s="99" t="s">
        <v>929</v>
      </c>
      <c r="G163" s="196"/>
      <c r="H163" s="196" t="s">
        <v>146</v>
      </c>
      <c r="I163" s="196"/>
      <c r="J163" s="450">
        <v>4.8949999999999996</v>
      </c>
      <c r="K163" s="450">
        <v>0.63500000000000001</v>
      </c>
      <c r="L163" s="450">
        <v>3.1E-2</v>
      </c>
      <c r="M163" s="451">
        <v>0</v>
      </c>
      <c r="N163" s="451">
        <v>0</v>
      </c>
      <c r="O163" s="451">
        <v>0</v>
      </c>
      <c r="P163" s="450">
        <v>0</v>
      </c>
    </row>
    <row r="164" spans="4:16" s="293" customFormat="1" x14ac:dyDescent="0.25">
      <c r="D164" s="98"/>
      <c r="E164" s="98"/>
      <c r="F164" s="99" t="s">
        <v>1008</v>
      </c>
      <c r="G164" s="196"/>
      <c r="H164" s="196" t="s">
        <v>146</v>
      </c>
      <c r="I164" s="196"/>
      <c r="J164" s="450">
        <v>3.823</v>
      </c>
      <c r="K164" s="450">
        <v>0.42699999999999999</v>
      </c>
      <c r="L164" s="450">
        <v>0.02</v>
      </c>
      <c r="M164" s="451">
        <v>11.21</v>
      </c>
      <c r="N164" s="451">
        <v>2.36</v>
      </c>
      <c r="O164" s="451">
        <v>4.42</v>
      </c>
      <c r="P164" s="450">
        <v>0.14199999999999999</v>
      </c>
    </row>
    <row r="165" spans="4:16" s="293" customFormat="1" x14ac:dyDescent="0.25">
      <c r="D165" s="98"/>
      <c r="E165" s="98"/>
      <c r="F165" s="99" t="s">
        <v>1009</v>
      </c>
      <c r="G165" s="196"/>
      <c r="H165" s="196" t="s">
        <v>146</v>
      </c>
      <c r="I165" s="196"/>
      <c r="J165" s="450">
        <v>3.823</v>
      </c>
      <c r="K165" s="450">
        <v>0.42699999999999999</v>
      </c>
      <c r="L165" s="450">
        <v>0.02</v>
      </c>
      <c r="M165" s="451">
        <v>88.56</v>
      </c>
      <c r="N165" s="451">
        <v>2.36</v>
      </c>
      <c r="O165" s="451">
        <v>4.42</v>
      </c>
      <c r="P165" s="450">
        <v>0.14199999999999999</v>
      </c>
    </row>
    <row r="166" spans="4:16" x14ac:dyDescent="0.25">
      <c r="F166" s="99" t="s">
        <v>1010</v>
      </c>
      <c r="G166" s="196"/>
      <c r="H166" s="196" t="s">
        <v>146</v>
      </c>
      <c r="I166" s="196"/>
      <c r="J166" s="450">
        <v>3.823</v>
      </c>
      <c r="K166" s="450">
        <v>0.42699999999999999</v>
      </c>
      <c r="L166" s="450">
        <v>0.02</v>
      </c>
      <c r="M166" s="451">
        <v>154.99</v>
      </c>
      <c r="N166" s="451">
        <v>2.36</v>
      </c>
      <c r="O166" s="451">
        <v>4.42</v>
      </c>
      <c r="P166" s="450">
        <v>0.14199999999999999</v>
      </c>
    </row>
    <row r="167" spans="4:16" x14ac:dyDescent="0.25">
      <c r="F167" s="99" t="s">
        <v>1011</v>
      </c>
      <c r="G167" s="196"/>
      <c r="H167" s="196" t="s">
        <v>146</v>
      </c>
      <c r="I167" s="196"/>
      <c r="J167" s="450">
        <v>3.823</v>
      </c>
      <c r="K167" s="450">
        <v>0.42699999999999999</v>
      </c>
      <c r="L167" s="450">
        <v>0.02</v>
      </c>
      <c r="M167" s="451">
        <v>233.72</v>
      </c>
      <c r="N167" s="451">
        <v>2.36</v>
      </c>
      <c r="O167" s="451">
        <v>4.42</v>
      </c>
      <c r="P167" s="450">
        <v>0.14199999999999999</v>
      </c>
    </row>
    <row r="168" spans="4:16" x14ac:dyDescent="0.25">
      <c r="F168" s="99" t="s">
        <v>1012</v>
      </c>
      <c r="G168" s="196"/>
      <c r="H168" s="196" t="s">
        <v>146</v>
      </c>
      <c r="I168" s="196"/>
      <c r="J168" s="450">
        <v>3.823</v>
      </c>
      <c r="K168" s="450">
        <v>0.42699999999999999</v>
      </c>
      <c r="L168" s="450">
        <v>0.02</v>
      </c>
      <c r="M168" s="451">
        <v>580.20000000000005</v>
      </c>
      <c r="N168" s="451">
        <v>2.36</v>
      </c>
      <c r="O168" s="451">
        <v>4.42</v>
      </c>
      <c r="P168" s="450">
        <v>0.14199999999999999</v>
      </c>
    </row>
    <row r="169" spans="4:16" x14ac:dyDescent="0.25">
      <c r="F169" s="99" t="s">
        <v>1013</v>
      </c>
      <c r="G169" s="196"/>
      <c r="H169" s="196" t="s">
        <v>146</v>
      </c>
      <c r="I169" s="196"/>
      <c r="J169" s="452">
        <v>0</v>
      </c>
      <c r="K169" s="452">
        <v>0</v>
      </c>
      <c r="L169" s="452">
        <v>0</v>
      </c>
      <c r="M169" s="453">
        <v>0</v>
      </c>
      <c r="N169" s="453">
        <v>0</v>
      </c>
      <c r="O169" s="453">
        <v>0</v>
      </c>
      <c r="P169" s="452">
        <v>0</v>
      </c>
    </row>
    <row r="170" spans="4:16" s="293" customFormat="1" x14ac:dyDescent="0.25">
      <c r="D170" s="98"/>
      <c r="E170" s="98"/>
      <c r="F170" s="99" t="s">
        <v>1014</v>
      </c>
      <c r="G170" s="196"/>
      <c r="H170" s="196" t="s">
        <v>146</v>
      </c>
      <c r="I170" s="196"/>
      <c r="J170" s="452">
        <v>0</v>
      </c>
      <c r="K170" s="452">
        <v>0</v>
      </c>
      <c r="L170" s="452">
        <v>0</v>
      </c>
      <c r="M170" s="453">
        <v>0</v>
      </c>
      <c r="N170" s="453">
        <v>0</v>
      </c>
      <c r="O170" s="453">
        <v>0</v>
      </c>
      <c r="P170" s="452">
        <v>0</v>
      </c>
    </row>
    <row r="171" spans="4:16" s="293" customFormat="1" x14ac:dyDescent="0.25">
      <c r="D171" s="98"/>
      <c r="E171" s="98"/>
      <c r="F171" s="99" t="s">
        <v>1015</v>
      </c>
      <c r="G171" s="196"/>
      <c r="H171" s="196" t="s">
        <v>146</v>
      </c>
      <c r="I171" s="196"/>
      <c r="J171" s="452">
        <v>0</v>
      </c>
      <c r="K171" s="452">
        <v>0</v>
      </c>
      <c r="L171" s="452">
        <v>0</v>
      </c>
      <c r="M171" s="453">
        <v>0</v>
      </c>
      <c r="N171" s="453">
        <v>0</v>
      </c>
      <c r="O171" s="453">
        <v>0</v>
      </c>
      <c r="P171" s="452">
        <v>0</v>
      </c>
    </row>
    <row r="172" spans="4:16" s="293" customFormat="1" x14ac:dyDescent="0.25">
      <c r="D172" s="98"/>
      <c r="E172" s="98"/>
      <c r="F172" s="99" t="s">
        <v>1016</v>
      </c>
      <c r="G172" s="196"/>
      <c r="H172" s="196" t="s">
        <v>146</v>
      </c>
      <c r="I172" s="196"/>
      <c r="J172" s="452">
        <v>0</v>
      </c>
      <c r="K172" s="452">
        <v>0</v>
      </c>
      <c r="L172" s="452">
        <v>0</v>
      </c>
      <c r="M172" s="453">
        <v>0</v>
      </c>
      <c r="N172" s="453">
        <v>0</v>
      </c>
      <c r="O172" s="453">
        <v>0</v>
      </c>
      <c r="P172" s="452">
        <v>0</v>
      </c>
    </row>
    <row r="173" spans="4:16" s="293" customFormat="1" x14ac:dyDescent="0.25">
      <c r="D173" s="98"/>
      <c r="E173" s="98"/>
      <c r="F173" s="99" t="s">
        <v>1017</v>
      </c>
      <c r="G173" s="196"/>
      <c r="H173" s="196" t="s">
        <v>146</v>
      </c>
      <c r="I173" s="196"/>
      <c r="J173" s="452">
        <v>0</v>
      </c>
      <c r="K173" s="452">
        <v>0</v>
      </c>
      <c r="L173" s="452">
        <v>0</v>
      </c>
      <c r="M173" s="453">
        <v>0</v>
      </c>
      <c r="N173" s="453">
        <v>0</v>
      </c>
      <c r="O173" s="453">
        <v>0</v>
      </c>
      <c r="P173" s="452">
        <v>0</v>
      </c>
    </row>
    <row r="174" spans="4:16" s="293" customFormat="1" x14ac:dyDescent="0.25">
      <c r="D174" s="98"/>
      <c r="E174" s="98"/>
      <c r="F174" s="99" t="s">
        <v>1018</v>
      </c>
      <c r="G174" s="196"/>
      <c r="H174" s="196" t="s">
        <v>146</v>
      </c>
      <c r="I174" s="196"/>
      <c r="J174" s="452">
        <v>0</v>
      </c>
      <c r="K174" s="452">
        <v>0</v>
      </c>
      <c r="L174" s="452">
        <v>0</v>
      </c>
      <c r="M174" s="453">
        <v>0</v>
      </c>
      <c r="N174" s="453">
        <v>0</v>
      </c>
      <c r="O174" s="453">
        <v>0</v>
      </c>
      <c r="P174" s="452">
        <v>0</v>
      </c>
    </row>
    <row r="175" spans="4:16" s="293" customFormat="1" x14ac:dyDescent="0.25">
      <c r="D175" s="98"/>
      <c r="E175" s="98"/>
      <c r="F175" s="99" t="s">
        <v>1019</v>
      </c>
      <c r="G175" s="196"/>
      <c r="H175" s="196" t="s">
        <v>146</v>
      </c>
      <c r="I175" s="196"/>
      <c r="J175" s="452">
        <v>0</v>
      </c>
      <c r="K175" s="452">
        <v>0</v>
      </c>
      <c r="L175" s="452">
        <v>0</v>
      </c>
      <c r="M175" s="453">
        <v>0</v>
      </c>
      <c r="N175" s="453">
        <v>0</v>
      </c>
      <c r="O175" s="453">
        <v>0</v>
      </c>
      <c r="P175" s="452">
        <v>0</v>
      </c>
    </row>
    <row r="176" spans="4:16" s="293" customFormat="1" x14ac:dyDescent="0.25">
      <c r="D176" s="98"/>
      <c r="E176" s="98"/>
      <c r="F176" s="99" t="s">
        <v>1020</v>
      </c>
      <c r="G176" s="196"/>
      <c r="H176" s="196" t="s">
        <v>146</v>
      </c>
      <c r="I176" s="196"/>
      <c r="J176" s="452">
        <v>0</v>
      </c>
      <c r="K176" s="452">
        <v>0</v>
      </c>
      <c r="L176" s="452">
        <v>0</v>
      </c>
      <c r="M176" s="453">
        <v>0</v>
      </c>
      <c r="N176" s="453">
        <v>0</v>
      </c>
      <c r="O176" s="453">
        <v>0</v>
      </c>
      <c r="P176" s="452">
        <v>0</v>
      </c>
    </row>
    <row r="177" spans="4:19" s="293" customFormat="1" x14ac:dyDescent="0.25">
      <c r="D177" s="98"/>
      <c r="E177" s="98"/>
      <c r="F177" s="99" t="s">
        <v>1021</v>
      </c>
      <c r="G177" s="196"/>
      <c r="H177" s="196" t="s">
        <v>146</v>
      </c>
      <c r="I177" s="196"/>
      <c r="J177" s="452">
        <v>0</v>
      </c>
      <c r="K177" s="452">
        <v>0</v>
      </c>
      <c r="L177" s="452">
        <v>0</v>
      </c>
      <c r="M177" s="453">
        <v>0</v>
      </c>
      <c r="N177" s="453">
        <v>0</v>
      </c>
      <c r="O177" s="453">
        <v>0</v>
      </c>
      <c r="P177" s="452">
        <v>0</v>
      </c>
    </row>
    <row r="178" spans="4:19" s="293" customFormat="1" x14ac:dyDescent="0.25">
      <c r="D178" s="98"/>
      <c r="E178" s="98"/>
      <c r="F178" s="99" t="s">
        <v>1022</v>
      </c>
      <c r="G178" s="196"/>
      <c r="H178" s="196" t="s">
        <v>146</v>
      </c>
      <c r="I178" s="196"/>
      <c r="J178" s="452">
        <v>0</v>
      </c>
      <c r="K178" s="452">
        <v>0</v>
      </c>
      <c r="L178" s="452">
        <v>0</v>
      </c>
      <c r="M178" s="453">
        <v>0</v>
      </c>
      <c r="N178" s="453">
        <v>0</v>
      </c>
      <c r="O178" s="453">
        <v>0</v>
      </c>
      <c r="P178" s="452">
        <v>0</v>
      </c>
    </row>
    <row r="179" spans="4:19" s="293" customFormat="1" x14ac:dyDescent="0.25">
      <c r="D179" s="98"/>
      <c r="E179" s="98"/>
      <c r="F179" s="99" t="s">
        <v>933</v>
      </c>
      <c r="G179" s="196"/>
      <c r="H179" s="196" t="s">
        <v>146</v>
      </c>
      <c r="I179" s="196"/>
      <c r="J179" s="450">
        <v>12.68</v>
      </c>
      <c r="K179" s="450">
        <v>2.3119999999999998</v>
      </c>
      <c r="L179" s="450">
        <v>1.768</v>
      </c>
      <c r="M179" s="451">
        <v>0</v>
      </c>
      <c r="N179" s="451">
        <v>0</v>
      </c>
      <c r="O179" s="451">
        <v>0</v>
      </c>
      <c r="P179" s="450">
        <v>0</v>
      </c>
    </row>
    <row r="180" spans="4:19" s="293" customFormat="1" x14ac:dyDescent="0.25">
      <c r="D180" s="98"/>
      <c r="E180" s="98"/>
      <c r="F180" s="99" t="s">
        <v>934</v>
      </c>
      <c r="G180" s="196"/>
      <c r="H180" s="196" t="s">
        <v>146</v>
      </c>
      <c r="I180" s="196"/>
      <c r="J180" s="450">
        <v>-5.8360000000000003</v>
      </c>
      <c r="K180" s="450">
        <v>-0.75700000000000001</v>
      </c>
      <c r="L180" s="450">
        <v>-3.6999999999999998E-2</v>
      </c>
      <c r="M180" s="451">
        <v>0</v>
      </c>
      <c r="N180" s="451">
        <v>0</v>
      </c>
      <c r="O180" s="451">
        <v>0</v>
      </c>
      <c r="P180" s="450">
        <v>0</v>
      </c>
    </row>
    <row r="181" spans="4:19" s="293" customFormat="1" x14ac:dyDescent="0.25">
      <c r="D181" s="98"/>
      <c r="E181" s="98"/>
      <c r="F181" s="99" t="s">
        <v>935</v>
      </c>
      <c r="G181" s="196"/>
      <c r="H181" s="196" t="s">
        <v>146</v>
      </c>
      <c r="I181" s="196"/>
      <c r="J181" s="452">
        <v>0</v>
      </c>
      <c r="K181" s="452">
        <v>0</v>
      </c>
      <c r="L181" s="452">
        <v>0</v>
      </c>
      <c r="M181" s="453">
        <v>0</v>
      </c>
      <c r="N181" s="453">
        <v>0</v>
      </c>
      <c r="O181" s="453">
        <v>0</v>
      </c>
      <c r="P181" s="452">
        <v>0</v>
      </c>
    </row>
    <row r="182" spans="4:19" s="293" customFormat="1" x14ac:dyDescent="0.25">
      <c r="D182" s="98"/>
      <c r="E182" s="98"/>
      <c r="F182" s="99" t="s">
        <v>936</v>
      </c>
      <c r="G182" s="196"/>
      <c r="H182" s="196" t="s">
        <v>146</v>
      </c>
      <c r="I182" s="196"/>
      <c r="J182" s="450">
        <v>-5.8360000000000003</v>
      </c>
      <c r="K182" s="450">
        <v>-0.75700000000000001</v>
      </c>
      <c r="L182" s="450">
        <v>-3.6999999999999998E-2</v>
      </c>
      <c r="M182" s="451">
        <v>0</v>
      </c>
      <c r="N182" s="451">
        <v>0</v>
      </c>
      <c r="O182" s="451">
        <v>0</v>
      </c>
      <c r="P182" s="450">
        <v>0.22800000000000001</v>
      </c>
    </row>
    <row r="183" spans="4:19" x14ac:dyDescent="0.25">
      <c r="F183" s="99" t="s">
        <v>937</v>
      </c>
      <c r="G183" s="196"/>
      <c r="H183" s="196" t="s">
        <v>146</v>
      </c>
      <c r="I183" s="196"/>
      <c r="J183" s="452">
        <v>0</v>
      </c>
      <c r="K183" s="452">
        <v>0</v>
      </c>
      <c r="L183" s="452">
        <v>0</v>
      </c>
      <c r="M183" s="453">
        <v>0</v>
      </c>
      <c r="N183" s="453">
        <v>0</v>
      </c>
      <c r="O183" s="453">
        <v>0</v>
      </c>
      <c r="P183" s="452">
        <v>0</v>
      </c>
    </row>
    <row r="184" spans="4:19" x14ac:dyDescent="0.25">
      <c r="F184" s="99" t="s">
        <v>938</v>
      </c>
      <c r="G184" s="196"/>
      <c r="H184" s="196" t="s">
        <v>146</v>
      </c>
      <c r="I184" s="196"/>
      <c r="J184" s="452">
        <v>0</v>
      </c>
      <c r="K184" s="452">
        <v>0</v>
      </c>
      <c r="L184" s="452">
        <v>0</v>
      </c>
      <c r="M184" s="453">
        <v>0</v>
      </c>
      <c r="N184" s="453">
        <v>0</v>
      </c>
      <c r="O184" s="453">
        <v>0</v>
      </c>
      <c r="P184" s="452">
        <v>0</v>
      </c>
    </row>
    <row r="185" spans="4:19" x14ac:dyDescent="0.25">
      <c r="F185" s="99" t="s">
        <v>939</v>
      </c>
      <c r="G185" s="196"/>
      <c r="H185" s="196" t="s">
        <v>146</v>
      </c>
      <c r="I185" s="196"/>
      <c r="J185" s="452">
        <v>0</v>
      </c>
      <c r="K185" s="452">
        <v>0</v>
      </c>
      <c r="L185" s="452">
        <v>0</v>
      </c>
      <c r="M185" s="453">
        <v>0</v>
      </c>
      <c r="N185" s="453">
        <v>0</v>
      </c>
      <c r="O185" s="453">
        <v>0</v>
      </c>
      <c r="P185" s="452">
        <v>0</v>
      </c>
    </row>
    <row r="186" spans="4:19" x14ac:dyDescent="0.25">
      <c r="F186" s="99" t="s">
        <v>940</v>
      </c>
      <c r="G186" s="196"/>
      <c r="H186" s="196" t="s">
        <v>146</v>
      </c>
      <c r="I186" s="196"/>
      <c r="J186" s="452">
        <v>0</v>
      </c>
      <c r="K186" s="452">
        <v>0</v>
      </c>
      <c r="L186" s="452">
        <v>0</v>
      </c>
      <c r="M186" s="453">
        <v>0</v>
      </c>
      <c r="N186" s="453">
        <v>0</v>
      </c>
      <c r="O186" s="453">
        <v>0</v>
      </c>
      <c r="P186" s="452">
        <v>0</v>
      </c>
    </row>
    <row r="187" spans="4:19" x14ac:dyDescent="0.25">
      <c r="F187" s="100" t="s">
        <v>941</v>
      </c>
      <c r="G187" s="93"/>
      <c r="H187" s="93" t="s">
        <v>146</v>
      </c>
      <c r="I187" s="93"/>
      <c r="J187" s="438">
        <v>0</v>
      </c>
      <c r="K187" s="438">
        <v>0</v>
      </c>
      <c r="L187" s="438">
        <v>0</v>
      </c>
      <c r="M187" s="344">
        <v>0</v>
      </c>
      <c r="N187" s="344">
        <v>0</v>
      </c>
      <c r="O187" s="344">
        <v>0</v>
      </c>
      <c r="P187" s="438">
        <v>0</v>
      </c>
    </row>
    <row r="188" spans="4:19" x14ac:dyDescent="0.25">
      <c r="D188" s="195"/>
      <c r="E188" s="195"/>
      <c r="F188" s="293"/>
      <c r="G188" s="293"/>
      <c r="H188" s="293"/>
      <c r="I188" s="293"/>
      <c r="J188" s="437"/>
      <c r="K188" s="437"/>
      <c r="L188" s="437"/>
      <c r="M188" s="343"/>
      <c r="N188" s="343"/>
      <c r="O188" s="343"/>
      <c r="P188" s="437"/>
      <c r="Q188" s="195"/>
      <c r="R188" s="5"/>
      <c r="S188" s="5"/>
    </row>
    <row r="189" spans="4:19" x14ac:dyDescent="0.25">
      <c r="D189" s="96"/>
      <c r="E189" s="96" t="str">
        <f>"LDNO HV tariff forecast " &amp; charging_year</f>
        <v>LDNO HV tariff forecast 2023/24</v>
      </c>
      <c r="F189" s="293"/>
      <c r="G189" s="293"/>
      <c r="H189" s="293"/>
      <c r="I189" s="293"/>
      <c r="J189" s="437"/>
      <c r="K189" s="437"/>
      <c r="L189" s="437"/>
      <c r="M189" s="343"/>
      <c r="N189" s="343"/>
      <c r="O189" s="343"/>
      <c r="P189" s="437"/>
      <c r="Q189" s="195"/>
      <c r="R189" s="195"/>
      <c r="S189" s="195"/>
    </row>
    <row r="190" spans="4:19" x14ac:dyDescent="0.25">
      <c r="F190" s="103" t="s">
        <v>1002</v>
      </c>
      <c r="G190" s="91"/>
      <c r="H190" s="91" t="s">
        <v>147</v>
      </c>
      <c r="I190" s="91"/>
      <c r="J190" s="435">
        <v>3.9830000000000001</v>
      </c>
      <c r="K190" s="435">
        <v>0.51700000000000002</v>
      </c>
      <c r="L190" s="435">
        <v>2.5000000000000001E-2</v>
      </c>
      <c r="M190" s="340">
        <v>5.09</v>
      </c>
      <c r="N190" s="340">
        <v>0</v>
      </c>
      <c r="O190" s="340">
        <v>0</v>
      </c>
      <c r="P190" s="435">
        <v>0</v>
      </c>
    </row>
    <row r="191" spans="4:19" x14ac:dyDescent="0.25">
      <c r="F191" s="99" t="s">
        <v>927</v>
      </c>
      <c r="G191" s="196"/>
      <c r="H191" s="196" t="s">
        <v>147</v>
      </c>
      <c r="I191" s="196"/>
      <c r="J191" s="450">
        <v>3.9830000000000001</v>
      </c>
      <c r="K191" s="450">
        <v>0.51700000000000002</v>
      </c>
      <c r="L191" s="450">
        <v>2.5000000000000001E-2</v>
      </c>
      <c r="M191" s="451">
        <v>0</v>
      </c>
      <c r="N191" s="451">
        <v>0</v>
      </c>
      <c r="O191" s="451">
        <v>0</v>
      </c>
      <c r="P191" s="450">
        <v>0</v>
      </c>
    </row>
    <row r="192" spans="4:19" x14ac:dyDescent="0.25">
      <c r="F192" s="99" t="s">
        <v>1003</v>
      </c>
      <c r="G192" s="196"/>
      <c r="H192" s="196" t="s">
        <v>147</v>
      </c>
      <c r="I192" s="196"/>
      <c r="J192" s="450">
        <v>3.5110000000000001</v>
      </c>
      <c r="K192" s="450">
        <v>0.45500000000000002</v>
      </c>
      <c r="L192" s="450">
        <v>2.1999999999999999E-2</v>
      </c>
      <c r="M192" s="451">
        <v>3.87</v>
      </c>
      <c r="N192" s="451">
        <v>0</v>
      </c>
      <c r="O192" s="451">
        <v>0</v>
      </c>
      <c r="P192" s="450">
        <v>0</v>
      </c>
    </row>
    <row r="193" spans="4:16" x14ac:dyDescent="0.25">
      <c r="F193" s="99" t="s">
        <v>1004</v>
      </c>
      <c r="G193" s="196"/>
      <c r="H193" s="196" t="s">
        <v>147</v>
      </c>
      <c r="I193" s="196"/>
      <c r="J193" s="450">
        <v>3.5110000000000001</v>
      </c>
      <c r="K193" s="450">
        <v>0.45500000000000002</v>
      </c>
      <c r="L193" s="450">
        <v>2.1999999999999999E-2</v>
      </c>
      <c r="M193" s="451">
        <v>5.36</v>
      </c>
      <c r="N193" s="451">
        <v>0</v>
      </c>
      <c r="O193" s="451">
        <v>0</v>
      </c>
      <c r="P193" s="450">
        <v>0</v>
      </c>
    </row>
    <row r="194" spans="4:16" x14ac:dyDescent="0.25">
      <c r="F194" s="99" t="s">
        <v>1005</v>
      </c>
      <c r="G194" s="196"/>
      <c r="H194" s="196" t="s">
        <v>147</v>
      </c>
      <c r="I194" s="196"/>
      <c r="J194" s="450">
        <v>3.5110000000000001</v>
      </c>
      <c r="K194" s="450">
        <v>0.45500000000000002</v>
      </c>
      <c r="L194" s="450">
        <v>2.1999999999999999E-2</v>
      </c>
      <c r="M194" s="451">
        <v>8.77</v>
      </c>
      <c r="N194" s="451">
        <v>0</v>
      </c>
      <c r="O194" s="451">
        <v>0</v>
      </c>
      <c r="P194" s="450">
        <v>0</v>
      </c>
    </row>
    <row r="195" spans="4:16" x14ac:dyDescent="0.25">
      <c r="F195" s="99" t="s">
        <v>1006</v>
      </c>
      <c r="G195" s="196"/>
      <c r="H195" s="196" t="s">
        <v>147</v>
      </c>
      <c r="I195" s="196"/>
      <c r="J195" s="450">
        <v>3.5110000000000001</v>
      </c>
      <c r="K195" s="450">
        <v>0.45500000000000002</v>
      </c>
      <c r="L195" s="450">
        <v>2.1999999999999999E-2</v>
      </c>
      <c r="M195" s="451">
        <v>14.98</v>
      </c>
      <c r="N195" s="451">
        <v>0</v>
      </c>
      <c r="O195" s="451">
        <v>0</v>
      </c>
      <c r="P195" s="450">
        <v>0</v>
      </c>
    </row>
    <row r="196" spans="4:16" x14ac:dyDescent="0.25">
      <c r="F196" s="99" t="s">
        <v>1007</v>
      </c>
      <c r="G196" s="196"/>
      <c r="H196" s="196" t="s">
        <v>147</v>
      </c>
      <c r="I196" s="196"/>
      <c r="J196" s="450">
        <v>3.5110000000000001</v>
      </c>
      <c r="K196" s="450">
        <v>0.45500000000000002</v>
      </c>
      <c r="L196" s="450">
        <v>2.1999999999999999E-2</v>
      </c>
      <c r="M196" s="451">
        <v>34.11</v>
      </c>
      <c r="N196" s="451">
        <v>0</v>
      </c>
      <c r="O196" s="451">
        <v>0</v>
      </c>
      <c r="P196" s="450">
        <v>0</v>
      </c>
    </row>
    <row r="197" spans="4:16" s="293" customFormat="1" x14ac:dyDescent="0.25">
      <c r="D197" s="98"/>
      <c r="E197" s="98"/>
      <c r="F197" s="99" t="s">
        <v>929</v>
      </c>
      <c r="G197" s="196"/>
      <c r="H197" s="196" t="s">
        <v>147</v>
      </c>
      <c r="I197" s="196"/>
      <c r="J197" s="450">
        <v>3.5110000000000001</v>
      </c>
      <c r="K197" s="450">
        <v>0.45500000000000002</v>
      </c>
      <c r="L197" s="450">
        <v>2.1999999999999999E-2</v>
      </c>
      <c r="M197" s="451">
        <v>0</v>
      </c>
      <c r="N197" s="451">
        <v>0</v>
      </c>
      <c r="O197" s="451">
        <v>0</v>
      </c>
      <c r="P197" s="450">
        <v>0</v>
      </c>
    </row>
    <row r="198" spans="4:16" s="293" customFormat="1" x14ac:dyDescent="0.25">
      <c r="D198" s="98"/>
      <c r="E198" s="98"/>
      <c r="F198" s="99" t="s">
        <v>1008</v>
      </c>
      <c r="G198" s="196"/>
      <c r="H198" s="196" t="s">
        <v>147</v>
      </c>
      <c r="I198" s="196"/>
      <c r="J198" s="450">
        <v>2.742</v>
      </c>
      <c r="K198" s="450">
        <v>0.307</v>
      </c>
      <c r="L198" s="450">
        <v>1.4E-2</v>
      </c>
      <c r="M198" s="451">
        <v>8.09</v>
      </c>
      <c r="N198" s="451">
        <v>1.7</v>
      </c>
      <c r="O198" s="451">
        <v>3.17</v>
      </c>
      <c r="P198" s="450">
        <v>0.10199999999999999</v>
      </c>
    </row>
    <row r="199" spans="4:16" s="293" customFormat="1" x14ac:dyDescent="0.25">
      <c r="D199" s="98"/>
      <c r="E199" s="98"/>
      <c r="F199" s="99" t="s">
        <v>1009</v>
      </c>
      <c r="G199" s="196"/>
      <c r="H199" s="196" t="s">
        <v>147</v>
      </c>
      <c r="I199" s="196"/>
      <c r="J199" s="450">
        <v>2.742</v>
      </c>
      <c r="K199" s="450">
        <v>0.307</v>
      </c>
      <c r="L199" s="450">
        <v>1.4E-2</v>
      </c>
      <c r="M199" s="451">
        <v>63.57</v>
      </c>
      <c r="N199" s="451">
        <v>1.7</v>
      </c>
      <c r="O199" s="451">
        <v>3.17</v>
      </c>
      <c r="P199" s="450">
        <v>0.10199999999999999</v>
      </c>
    </row>
    <row r="200" spans="4:16" x14ac:dyDescent="0.25">
      <c r="F200" s="99" t="s">
        <v>1010</v>
      </c>
      <c r="G200" s="196"/>
      <c r="H200" s="196" t="s">
        <v>147</v>
      </c>
      <c r="I200" s="196"/>
      <c r="J200" s="450">
        <v>2.742</v>
      </c>
      <c r="K200" s="450">
        <v>0.307</v>
      </c>
      <c r="L200" s="450">
        <v>1.4E-2</v>
      </c>
      <c r="M200" s="451">
        <v>111.22</v>
      </c>
      <c r="N200" s="451">
        <v>1.7</v>
      </c>
      <c r="O200" s="451">
        <v>3.17</v>
      </c>
      <c r="P200" s="450">
        <v>0.10199999999999999</v>
      </c>
    </row>
    <row r="201" spans="4:16" x14ac:dyDescent="0.25">
      <c r="F201" s="99" t="s">
        <v>1011</v>
      </c>
      <c r="G201" s="196"/>
      <c r="H201" s="196" t="s">
        <v>147</v>
      </c>
      <c r="I201" s="196"/>
      <c r="J201" s="450">
        <v>2.742</v>
      </c>
      <c r="K201" s="450">
        <v>0.307</v>
      </c>
      <c r="L201" s="450">
        <v>1.4E-2</v>
      </c>
      <c r="M201" s="451">
        <v>167.69</v>
      </c>
      <c r="N201" s="451">
        <v>1.7</v>
      </c>
      <c r="O201" s="451">
        <v>3.17</v>
      </c>
      <c r="P201" s="450">
        <v>0.10199999999999999</v>
      </c>
    </row>
    <row r="202" spans="4:16" x14ac:dyDescent="0.25">
      <c r="F202" s="99" t="s">
        <v>1012</v>
      </c>
      <c r="G202" s="196"/>
      <c r="H202" s="196" t="s">
        <v>147</v>
      </c>
      <c r="I202" s="196"/>
      <c r="J202" s="450">
        <v>2.742</v>
      </c>
      <c r="K202" s="450">
        <v>0.307</v>
      </c>
      <c r="L202" s="450">
        <v>1.4E-2</v>
      </c>
      <c r="M202" s="451">
        <v>416.21</v>
      </c>
      <c r="N202" s="451">
        <v>1.7</v>
      </c>
      <c r="O202" s="451">
        <v>3.17</v>
      </c>
      <c r="P202" s="450">
        <v>0.10199999999999999</v>
      </c>
    </row>
    <row r="203" spans="4:16" x14ac:dyDescent="0.25">
      <c r="F203" s="99" t="s">
        <v>1013</v>
      </c>
      <c r="G203" s="196"/>
      <c r="H203" s="196" t="s">
        <v>147</v>
      </c>
      <c r="I203" s="196"/>
      <c r="J203" s="450">
        <v>2.8889999999999998</v>
      </c>
      <c r="K203" s="450">
        <v>0.221</v>
      </c>
      <c r="L203" s="450">
        <v>8.9999999999999993E-3</v>
      </c>
      <c r="M203" s="451">
        <v>29.84</v>
      </c>
      <c r="N203" s="451">
        <v>3.64</v>
      </c>
      <c r="O203" s="451">
        <v>4.75</v>
      </c>
      <c r="P203" s="450">
        <v>9.0999999999999998E-2</v>
      </c>
    </row>
    <row r="204" spans="4:16" s="293" customFormat="1" x14ac:dyDescent="0.25">
      <c r="D204" s="98"/>
      <c r="E204" s="98"/>
      <c r="F204" s="99" t="s">
        <v>1014</v>
      </c>
      <c r="G204" s="196"/>
      <c r="H204" s="196" t="s">
        <v>147</v>
      </c>
      <c r="I204" s="196"/>
      <c r="J204" s="450">
        <v>2.8889999999999998</v>
      </c>
      <c r="K204" s="450">
        <v>0.221</v>
      </c>
      <c r="L204" s="450">
        <v>8.9999999999999993E-3</v>
      </c>
      <c r="M204" s="451">
        <v>118.46</v>
      </c>
      <c r="N204" s="451">
        <v>3.64</v>
      </c>
      <c r="O204" s="451">
        <v>4.75</v>
      </c>
      <c r="P204" s="450">
        <v>9.0999999999999998E-2</v>
      </c>
    </row>
    <row r="205" spans="4:16" s="293" customFormat="1" x14ac:dyDescent="0.25">
      <c r="D205" s="98"/>
      <c r="E205" s="98"/>
      <c r="F205" s="99" t="s">
        <v>1015</v>
      </c>
      <c r="G205" s="196"/>
      <c r="H205" s="196" t="s">
        <v>147</v>
      </c>
      <c r="I205" s="196"/>
      <c r="J205" s="450">
        <v>2.8889999999999998</v>
      </c>
      <c r="K205" s="450">
        <v>0.221</v>
      </c>
      <c r="L205" s="450">
        <v>8.9999999999999993E-3</v>
      </c>
      <c r="M205" s="451">
        <v>194.57</v>
      </c>
      <c r="N205" s="451">
        <v>3.64</v>
      </c>
      <c r="O205" s="451">
        <v>4.75</v>
      </c>
      <c r="P205" s="450">
        <v>9.0999999999999998E-2</v>
      </c>
    </row>
    <row r="206" spans="4:16" s="293" customFormat="1" x14ac:dyDescent="0.25">
      <c r="D206" s="98"/>
      <c r="E206" s="98"/>
      <c r="F206" s="99" t="s">
        <v>1016</v>
      </c>
      <c r="G206" s="196"/>
      <c r="H206" s="196" t="s">
        <v>147</v>
      </c>
      <c r="I206" s="196"/>
      <c r="J206" s="450">
        <v>2.8889999999999998</v>
      </c>
      <c r="K206" s="450">
        <v>0.221</v>
      </c>
      <c r="L206" s="450">
        <v>8.9999999999999993E-3</v>
      </c>
      <c r="M206" s="451">
        <v>284.77</v>
      </c>
      <c r="N206" s="451">
        <v>3.64</v>
      </c>
      <c r="O206" s="451">
        <v>4.75</v>
      </c>
      <c r="P206" s="450">
        <v>9.0999999999999998E-2</v>
      </c>
    </row>
    <row r="207" spans="4:16" s="293" customFormat="1" x14ac:dyDescent="0.25">
      <c r="D207" s="98"/>
      <c r="E207" s="98"/>
      <c r="F207" s="99" t="s">
        <v>1017</v>
      </c>
      <c r="G207" s="196"/>
      <c r="H207" s="196" t="s">
        <v>147</v>
      </c>
      <c r="I207" s="196"/>
      <c r="J207" s="450">
        <v>2.8889999999999998</v>
      </c>
      <c r="K207" s="450">
        <v>0.221</v>
      </c>
      <c r="L207" s="450">
        <v>8.9999999999999993E-3</v>
      </c>
      <c r="M207" s="451">
        <v>681.76</v>
      </c>
      <c r="N207" s="451">
        <v>3.64</v>
      </c>
      <c r="O207" s="451">
        <v>4.75</v>
      </c>
      <c r="P207" s="450">
        <v>9.0999999999999998E-2</v>
      </c>
    </row>
    <row r="208" spans="4:16" s="293" customFormat="1" x14ac:dyDescent="0.25">
      <c r="D208" s="98"/>
      <c r="E208" s="98"/>
      <c r="F208" s="99" t="s">
        <v>1018</v>
      </c>
      <c r="G208" s="196"/>
      <c r="H208" s="196" t="s">
        <v>147</v>
      </c>
      <c r="I208" s="196"/>
      <c r="J208" s="450">
        <v>2.6970000000000001</v>
      </c>
      <c r="K208" s="450">
        <v>0.183</v>
      </c>
      <c r="L208" s="450">
        <v>8.0000000000000002E-3</v>
      </c>
      <c r="M208" s="451">
        <v>147.81</v>
      </c>
      <c r="N208" s="451">
        <v>4.9800000000000004</v>
      </c>
      <c r="O208" s="451">
        <v>6.02</v>
      </c>
      <c r="P208" s="450">
        <v>7.9000000000000001E-2</v>
      </c>
    </row>
    <row r="209" spans="3:19" s="293" customFormat="1" x14ac:dyDescent="0.25">
      <c r="D209" s="98"/>
      <c r="E209" s="98"/>
      <c r="F209" s="99" t="s">
        <v>1019</v>
      </c>
      <c r="G209" s="196"/>
      <c r="H209" s="196" t="s">
        <v>147</v>
      </c>
      <c r="I209" s="196"/>
      <c r="J209" s="450">
        <v>2.6970000000000001</v>
      </c>
      <c r="K209" s="450">
        <v>0.183</v>
      </c>
      <c r="L209" s="450">
        <v>8.0000000000000002E-3</v>
      </c>
      <c r="M209" s="451">
        <v>770.29</v>
      </c>
      <c r="N209" s="451">
        <v>4.9800000000000004</v>
      </c>
      <c r="O209" s="451">
        <v>6.02</v>
      </c>
      <c r="P209" s="450">
        <v>7.9000000000000001E-2</v>
      </c>
    </row>
    <row r="210" spans="3:19" s="293" customFormat="1" x14ac:dyDescent="0.25">
      <c r="D210" s="98"/>
      <c r="E210" s="98"/>
      <c r="F210" s="99" t="s">
        <v>1020</v>
      </c>
      <c r="G210" s="196"/>
      <c r="H210" s="196" t="s">
        <v>147</v>
      </c>
      <c r="I210" s="196"/>
      <c r="J210" s="450">
        <v>2.6970000000000001</v>
      </c>
      <c r="K210" s="450">
        <v>0.183</v>
      </c>
      <c r="L210" s="450">
        <v>8.0000000000000002E-3</v>
      </c>
      <c r="M210" s="451">
        <v>1963.98</v>
      </c>
      <c r="N210" s="451">
        <v>4.9800000000000004</v>
      </c>
      <c r="O210" s="451">
        <v>6.02</v>
      </c>
      <c r="P210" s="450">
        <v>7.9000000000000001E-2</v>
      </c>
    </row>
    <row r="211" spans="3:19" s="293" customFormat="1" x14ac:dyDescent="0.25">
      <c r="D211" s="98"/>
      <c r="E211" s="98"/>
      <c r="F211" s="99" t="s">
        <v>1021</v>
      </c>
      <c r="G211" s="196"/>
      <c r="H211" s="196" t="s">
        <v>147</v>
      </c>
      <c r="I211" s="196"/>
      <c r="J211" s="450">
        <v>2.6970000000000001</v>
      </c>
      <c r="K211" s="450">
        <v>0.183</v>
      </c>
      <c r="L211" s="450">
        <v>8.0000000000000002E-3</v>
      </c>
      <c r="M211" s="451">
        <v>3481.34</v>
      </c>
      <c r="N211" s="451">
        <v>4.9800000000000004</v>
      </c>
      <c r="O211" s="451">
        <v>6.02</v>
      </c>
      <c r="P211" s="450">
        <v>7.9000000000000001E-2</v>
      </c>
    </row>
    <row r="212" spans="3:19" s="293" customFormat="1" x14ac:dyDescent="0.25">
      <c r="D212" s="98"/>
      <c r="E212" s="98"/>
      <c r="F212" s="99" t="s">
        <v>1022</v>
      </c>
      <c r="G212" s="196"/>
      <c r="H212" s="196" t="s">
        <v>147</v>
      </c>
      <c r="I212" s="196"/>
      <c r="J212" s="450">
        <v>2.6970000000000001</v>
      </c>
      <c r="K212" s="450">
        <v>0.183</v>
      </c>
      <c r="L212" s="450">
        <v>8.0000000000000002E-3</v>
      </c>
      <c r="M212" s="451">
        <v>8905.42</v>
      </c>
      <c r="N212" s="451">
        <v>4.9800000000000004</v>
      </c>
      <c r="O212" s="451">
        <v>6.02</v>
      </c>
      <c r="P212" s="450">
        <v>7.9000000000000001E-2</v>
      </c>
    </row>
    <row r="213" spans="3:19" s="293" customFormat="1" x14ac:dyDescent="0.25">
      <c r="D213" s="98"/>
      <c r="E213" s="98"/>
      <c r="F213" s="99" t="s">
        <v>933</v>
      </c>
      <c r="G213" s="196"/>
      <c r="H213" s="196" t="s">
        <v>147</v>
      </c>
      <c r="I213" s="196"/>
      <c r="J213" s="450">
        <v>9.0950000000000006</v>
      </c>
      <c r="K213" s="450">
        <v>1.6579999999999999</v>
      </c>
      <c r="L213" s="450">
        <v>1.268</v>
      </c>
      <c r="M213" s="451">
        <v>0</v>
      </c>
      <c r="N213" s="451">
        <v>0</v>
      </c>
      <c r="O213" s="451">
        <v>0</v>
      </c>
      <c r="P213" s="450">
        <v>0</v>
      </c>
    </row>
    <row r="214" spans="3:19" s="293" customFormat="1" x14ac:dyDescent="0.25">
      <c r="D214" s="98"/>
      <c r="E214" s="98"/>
      <c r="F214" s="99" t="s">
        <v>934</v>
      </c>
      <c r="G214" s="196"/>
      <c r="H214" s="196" t="s">
        <v>147</v>
      </c>
      <c r="I214" s="196"/>
      <c r="J214" s="450">
        <v>-5.8360000000000003</v>
      </c>
      <c r="K214" s="450">
        <v>-0.75700000000000001</v>
      </c>
      <c r="L214" s="450">
        <v>-3.6999999999999998E-2</v>
      </c>
      <c r="M214" s="451">
        <v>0</v>
      </c>
      <c r="N214" s="451">
        <v>0</v>
      </c>
      <c r="O214" s="451">
        <v>0</v>
      </c>
      <c r="P214" s="450">
        <v>0</v>
      </c>
    </row>
    <row r="215" spans="3:19" s="293" customFormat="1" x14ac:dyDescent="0.25">
      <c r="D215" s="98"/>
      <c r="E215" s="98"/>
      <c r="F215" s="99" t="s">
        <v>935</v>
      </c>
      <c r="G215" s="196"/>
      <c r="H215" s="196" t="s">
        <v>147</v>
      </c>
      <c r="I215" s="196"/>
      <c r="J215" s="450">
        <v>-5.2140000000000004</v>
      </c>
      <c r="K215" s="450">
        <v>-0.61899999999999999</v>
      </c>
      <c r="L215" s="450">
        <v>-2.9000000000000001E-2</v>
      </c>
      <c r="M215" s="451">
        <v>0</v>
      </c>
      <c r="N215" s="451">
        <v>0</v>
      </c>
      <c r="O215" s="451">
        <v>0</v>
      </c>
      <c r="P215" s="450">
        <v>0</v>
      </c>
    </row>
    <row r="216" spans="3:19" s="293" customFormat="1" x14ac:dyDescent="0.25">
      <c r="D216" s="98"/>
      <c r="E216" s="98"/>
      <c r="F216" s="99" t="s">
        <v>936</v>
      </c>
      <c r="G216" s="196"/>
      <c r="H216" s="196" t="s">
        <v>147</v>
      </c>
      <c r="I216" s="196"/>
      <c r="J216" s="450">
        <v>-5.8360000000000003</v>
      </c>
      <c r="K216" s="450">
        <v>-0.75700000000000001</v>
      </c>
      <c r="L216" s="450">
        <v>-3.6999999999999998E-2</v>
      </c>
      <c r="M216" s="451">
        <v>0</v>
      </c>
      <c r="N216" s="451">
        <v>0</v>
      </c>
      <c r="O216" s="451">
        <v>0</v>
      </c>
      <c r="P216" s="450">
        <v>0.22800000000000001</v>
      </c>
    </row>
    <row r="217" spans="3:19" x14ac:dyDescent="0.25">
      <c r="F217" s="99" t="s">
        <v>937</v>
      </c>
      <c r="G217" s="196"/>
      <c r="H217" s="196" t="s">
        <v>147</v>
      </c>
      <c r="I217" s="196"/>
      <c r="J217" s="452">
        <v>0</v>
      </c>
      <c r="K217" s="452">
        <v>0</v>
      </c>
      <c r="L217" s="452">
        <v>0</v>
      </c>
      <c r="M217" s="453">
        <v>0</v>
      </c>
      <c r="N217" s="453">
        <v>0</v>
      </c>
      <c r="O217" s="453">
        <v>0</v>
      </c>
      <c r="P217" s="452">
        <v>0</v>
      </c>
    </row>
    <row r="218" spans="3:19" x14ac:dyDescent="0.25">
      <c r="F218" s="99" t="s">
        <v>938</v>
      </c>
      <c r="G218" s="196"/>
      <c r="H218" s="196" t="s">
        <v>147</v>
      </c>
      <c r="I218" s="196"/>
      <c r="J218" s="450">
        <v>-5.2140000000000004</v>
      </c>
      <c r="K218" s="450">
        <v>-0.61899999999999999</v>
      </c>
      <c r="L218" s="450">
        <v>-2.9000000000000001E-2</v>
      </c>
      <c r="M218" s="451">
        <v>0</v>
      </c>
      <c r="N218" s="451">
        <v>0</v>
      </c>
      <c r="O218" s="451">
        <v>0</v>
      </c>
      <c r="P218" s="450">
        <v>0.191</v>
      </c>
    </row>
    <row r="219" spans="3:19" x14ac:dyDescent="0.25">
      <c r="F219" s="99" t="s">
        <v>939</v>
      </c>
      <c r="G219" s="196"/>
      <c r="H219" s="196" t="s">
        <v>147</v>
      </c>
      <c r="I219" s="196"/>
      <c r="J219" s="452">
        <v>0</v>
      </c>
      <c r="K219" s="452">
        <v>0</v>
      </c>
      <c r="L219" s="452">
        <v>0</v>
      </c>
      <c r="M219" s="453">
        <v>0</v>
      </c>
      <c r="N219" s="453">
        <v>0</v>
      </c>
      <c r="O219" s="453">
        <v>0</v>
      </c>
      <c r="P219" s="452">
        <v>0</v>
      </c>
    </row>
    <row r="220" spans="3:19" x14ac:dyDescent="0.25">
      <c r="F220" s="99" t="s">
        <v>940</v>
      </c>
      <c r="G220" s="196"/>
      <c r="H220" s="196" t="s">
        <v>147</v>
      </c>
      <c r="I220" s="196"/>
      <c r="J220" s="450">
        <v>-4.0259999999999998</v>
      </c>
      <c r="K220" s="450">
        <v>-0.307</v>
      </c>
      <c r="L220" s="450">
        <v>-1.2999999999999999E-2</v>
      </c>
      <c r="M220" s="451">
        <v>0</v>
      </c>
      <c r="N220" s="451">
        <v>0</v>
      </c>
      <c r="O220" s="451">
        <v>0</v>
      </c>
      <c r="P220" s="450">
        <v>0.16600000000000001</v>
      </c>
    </row>
    <row r="221" spans="3:19" x14ac:dyDescent="0.25">
      <c r="F221" s="100" t="s">
        <v>941</v>
      </c>
      <c r="G221" s="93"/>
      <c r="H221" s="93" t="s">
        <v>147</v>
      </c>
      <c r="I221" s="93"/>
      <c r="J221" s="438">
        <v>0</v>
      </c>
      <c r="K221" s="438">
        <v>0</v>
      </c>
      <c r="L221" s="438">
        <v>0</v>
      </c>
      <c r="M221" s="344">
        <v>0</v>
      </c>
      <c r="N221" s="344">
        <v>0</v>
      </c>
      <c r="O221" s="344">
        <v>0</v>
      </c>
      <c r="P221" s="438">
        <v>0</v>
      </c>
    </row>
    <row r="222" spans="3:19" x14ac:dyDescent="0.25">
      <c r="D222" s="195"/>
      <c r="E222" s="195"/>
      <c r="F222" s="195"/>
      <c r="G222" s="195"/>
      <c r="H222" s="195"/>
      <c r="I222" s="195"/>
      <c r="J222" s="349"/>
      <c r="K222" s="349"/>
      <c r="L222" s="349"/>
      <c r="M222" s="214"/>
      <c r="N222" s="214"/>
      <c r="O222" s="214"/>
      <c r="P222" s="349"/>
      <c r="Q222" s="5"/>
      <c r="R222" s="5"/>
      <c r="S222" s="5"/>
    </row>
    <row r="223" spans="3:19" s="195" customFormat="1" x14ac:dyDescent="0.25">
      <c r="C223" s="7" t="str">
        <f ca="1">INDEX('Version control'!$H$35:$H$61,MATCH($A$1,'Version control'!$F$35:$F$61,0),1)&amp;"-C: Tariff results for charging year " &amp; 'ARP_User control'!G32</f>
        <v>Output 501-C: Tariff results for charging year 2024/25</v>
      </c>
      <c r="D223" s="7"/>
      <c r="E223" s="7"/>
      <c r="F223" s="7"/>
      <c r="G223" s="7"/>
      <c r="H223" s="7"/>
      <c r="I223" s="7"/>
      <c r="J223" s="440"/>
      <c r="K223" s="440"/>
      <c r="L223" s="440"/>
      <c r="M223" s="7"/>
      <c r="N223" s="7"/>
      <c r="O223" s="7"/>
      <c r="P223" s="440"/>
      <c r="Q223" s="7"/>
      <c r="R223" s="7"/>
    </row>
    <row r="224" spans="3:19" x14ac:dyDescent="0.25">
      <c r="D224" s="85"/>
      <c r="E224" s="195"/>
      <c r="F224" s="195"/>
      <c r="J224" s="441"/>
      <c r="K224" s="441"/>
      <c r="L224" s="441"/>
      <c r="M224" s="213"/>
      <c r="N224" s="213"/>
      <c r="O224" s="213"/>
      <c r="P224" s="441"/>
    </row>
    <row r="225" spans="4:16" x14ac:dyDescent="0.25">
      <c r="D225" s="96"/>
      <c r="E225" s="96" t="str">
        <f>"All the way tariff forecast " &amp; 'ARP_User control'!G32</f>
        <v>All the way tariff forecast 2024/25</v>
      </c>
      <c r="F225" s="195"/>
      <c r="J225" s="441"/>
      <c r="K225" s="441"/>
      <c r="L225" s="441"/>
      <c r="M225" s="213"/>
      <c r="N225" s="213"/>
      <c r="O225" s="213"/>
      <c r="P225" s="441"/>
    </row>
    <row r="226" spans="4:16" x14ac:dyDescent="0.25">
      <c r="F226" s="103" t="s">
        <v>1002</v>
      </c>
      <c r="G226" s="91"/>
      <c r="H226" s="91" t="s">
        <v>261</v>
      </c>
      <c r="I226" s="91"/>
      <c r="J226" s="435">
        <v>8.7620000000000005</v>
      </c>
      <c r="K226" s="435">
        <v>1.143</v>
      </c>
      <c r="L226" s="435">
        <v>5.5E-2</v>
      </c>
      <c r="M226" s="340">
        <v>12.55</v>
      </c>
      <c r="N226" s="340">
        <v>0</v>
      </c>
      <c r="O226" s="340">
        <v>0</v>
      </c>
      <c r="P226" s="435">
        <v>0</v>
      </c>
    </row>
    <row r="227" spans="4:16" x14ac:dyDescent="0.25">
      <c r="F227" s="99" t="s">
        <v>927</v>
      </c>
      <c r="G227" s="196"/>
      <c r="H227" s="196" t="s">
        <v>261</v>
      </c>
      <c r="I227" s="196"/>
      <c r="J227" s="450">
        <v>8.7620000000000005</v>
      </c>
      <c r="K227" s="450">
        <v>1.143</v>
      </c>
      <c r="L227" s="450">
        <v>5.5E-2</v>
      </c>
      <c r="M227" s="451">
        <v>0</v>
      </c>
      <c r="N227" s="451">
        <v>0</v>
      </c>
      <c r="O227" s="451">
        <v>0</v>
      </c>
      <c r="P227" s="450">
        <v>0</v>
      </c>
    </row>
    <row r="228" spans="4:16" x14ac:dyDescent="0.25">
      <c r="F228" s="99" t="s">
        <v>1003</v>
      </c>
      <c r="G228" s="196"/>
      <c r="H228" s="196" t="s">
        <v>261</v>
      </c>
      <c r="I228" s="196"/>
      <c r="J228" s="450">
        <v>7.6950000000000003</v>
      </c>
      <c r="K228" s="450">
        <v>1.004</v>
      </c>
      <c r="L228" s="450">
        <v>4.9000000000000002E-2</v>
      </c>
      <c r="M228" s="451">
        <v>8.11</v>
      </c>
      <c r="N228" s="451">
        <v>0</v>
      </c>
      <c r="O228" s="451">
        <v>0</v>
      </c>
      <c r="P228" s="450">
        <v>0</v>
      </c>
    </row>
    <row r="229" spans="4:16" x14ac:dyDescent="0.25">
      <c r="F229" s="99" t="s">
        <v>1004</v>
      </c>
      <c r="G229" s="196"/>
      <c r="H229" s="196" t="s">
        <v>261</v>
      </c>
      <c r="I229" s="196"/>
      <c r="J229" s="450">
        <v>7.6950000000000003</v>
      </c>
      <c r="K229" s="450">
        <v>1.004</v>
      </c>
      <c r="L229" s="450">
        <v>4.9000000000000002E-2</v>
      </c>
      <c r="M229" s="451">
        <v>12.76</v>
      </c>
      <c r="N229" s="451">
        <v>0</v>
      </c>
      <c r="O229" s="451">
        <v>0</v>
      </c>
      <c r="P229" s="450">
        <v>0</v>
      </c>
    </row>
    <row r="230" spans="4:16" x14ac:dyDescent="0.25">
      <c r="F230" s="99" t="s">
        <v>1005</v>
      </c>
      <c r="G230" s="196"/>
      <c r="H230" s="196" t="s">
        <v>261</v>
      </c>
      <c r="I230" s="196"/>
      <c r="J230" s="450">
        <v>7.6950000000000003</v>
      </c>
      <c r="K230" s="450">
        <v>1.004</v>
      </c>
      <c r="L230" s="450">
        <v>4.9000000000000002E-2</v>
      </c>
      <c r="M230" s="451">
        <v>23.38</v>
      </c>
      <c r="N230" s="451">
        <v>0</v>
      </c>
      <c r="O230" s="451">
        <v>0</v>
      </c>
      <c r="P230" s="450">
        <v>0</v>
      </c>
    </row>
    <row r="231" spans="4:16" x14ac:dyDescent="0.25">
      <c r="F231" s="99" t="s">
        <v>1006</v>
      </c>
      <c r="G231" s="196"/>
      <c r="H231" s="196" t="s">
        <v>261</v>
      </c>
      <c r="I231" s="196"/>
      <c r="J231" s="450">
        <v>7.6950000000000003</v>
      </c>
      <c r="K231" s="450">
        <v>1.004</v>
      </c>
      <c r="L231" s="450">
        <v>4.9000000000000002E-2</v>
      </c>
      <c r="M231" s="451">
        <v>42.72</v>
      </c>
      <c r="N231" s="451">
        <v>0</v>
      </c>
      <c r="O231" s="451">
        <v>0</v>
      </c>
      <c r="P231" s="450">
        <v>0</v>
      </c>
    </row>
    <row r="232" spans="4:16" x14ac:dyDescent="0.25">
      <c r="F232" s="99" t="s">
        <v>1007</v>
      </c>
      <c r="G232" s="196"/>
      <c r="H232" s="196" t="s">
        <v>261</v>
      </c>
      <c r="I232" s="196"/>
      <c r="J232" s="450">
        <v>7.6950000000000003</v>
      </c>
      <c r="K232" s="450">
        <v>1.004</v>
      </c>
      <c r="L232" s="450">
        <v>4.9000000000000002E-2</v>
      </c>
      <c r="M232" s="451">
        <v>102.29</v>
      </c>
      <c r="N232" s="451">
        <v>0</v>
      </c>
      <c r="O232" s="451">
        <v>0</v>
      </c>
      <c r="P232" s="450">
        <v>0</v>
      </c>
    </row>
    <row r="233" spans="4:16" s="293" customFormat="1" x14ac:dyDescent="0.25">
      <c r="D233" s="98"/>
      <c r="E233" s="98"/>
      <c r="F233" s="99" t="s">
        <v>929</v>
      </c>
      <c r="G233" s="196"/>
      <c r="H233" s="196" t="s">
        <v>261</v>
      </c>
      <c r="I233" s="196"/>
      <c r="J233" s="450">
        <v>7.6950000000000003</v>
      </c>
      <c r="K233" s="450">
        <v>1.004</v>
      </c>
      <c r="L233" s="450">
        <v>4.9000000000000002E-2</v>
      </c>
      <c r="M233" s="451">
        <v>0</v>
      </c>
      <c r="N233" s="451">
        <v>0</v>
      </c>
      <c r="O233" s="451">
        <v>0</v>
      </c>
      <c r="P233" s="450">
        <v>0</v>
      </c>
    </row>
    <row r="234" spans="4:16" s="293" customFormat="1" x14ac:dyDescent="0.25">
      <c r="D234" s="98"/>
      <c r="E234" s="98"/>
      <c r="F234" s="99" t="s">
        <v>1008</v>
      </c>
      <c r="G234" s="196"/>
      <c r="H234" s="196" t="s">
        <v>261</v>
      </c>
      <c r="I234" s="196"/>
      <c r="J234" s="450">
        <v>6.1029999999999998</v>
      </c>
      <c r="K234" s="450">
        <v>0.68600000000000005</v>
      </c>
      <c r="L234" s="450">
        <v>3.2000000000000001E-2</v>
      </c>
      <c r="M234" s="451">
        <v>17.8</v>
      </c>
      <c r="N234" s="451">
        <v>3.7</v>
      </c>
      <c r="O234" s="451">
        <v>6.79</v>
      </c>
      <c r="P234" s="450">
        <v>0.22500000000000001</v>
      </c>
    </row>
    <row r="235" spans="4:16" s="293" customFormat="1" x14ac:dyDescent="0.25">
      <c r="D235" s="98"/>
      <c r="E235" s="98"/>
      <c r="F235" s="99" t="s">
        <v>1009</v>
      </c>
      <c r="G235" s="196"/>
      <c r="H235" s="196" t="s">
        <v>261</v>
      </c>
      <c r="I235" s="196"/>
      <c r="J235" s="450">
        <v>6.1029999999999998</v>
      </c>
      <c r="K235" s="450">
        <v>0.68600000000000005</v>
      </c>
      <c r="L235" s="450">
        <v>3.2000000000000001E-2</v>
      </c>
      <c r="M235" s="451">
        <v>177.23</v>
      </c>
      <c r="N235" s="451">
        <v>3.7</v>
      </c>
      <c r="O235" s="451">
        <v>6.79</v>
      </c>
      <c r="P235" s="450">
        <v>0.22500000000000001</v>
      </c>
    </row>
    <row r="236" spans="4:16" x14ac:dyDescent="0.25">
      <c r="F236" s="99" t="s">
        <v>1010</v>
      </c>
      <c r="G236" s="196"/>
      <c r="H236" s="196" t="s">
        <v>261</v>
      </c>
      <c r="I236" s="196"/>
      <c r="J236" s="450">
        <v>6.1029999999999998</v>
      </c>
      <c r="K236" s="450">
        <v>0.68600000000000005</v>
      </c>
      <c r="L236" s="450">
        <v>3.2000000000000001E-2</v>
      </c>
      <c r="M236" s="451">
        <v>314.39</v>
      </c>
      <c r="N236" s="451">
        <v>3.7</v>
      </c>
      <c r="O236" s="451">
        <v>6.79</v>
      </c>
      <c r="P236" s="450">
        <v>0.22500000000000001</v>
      </c>
    </row>
    <row r="237" spans="4:16" x14ac:dyDescent="0.25">
      <c r="F237" s="99" t="s">
        <v>1011</v>
      </c>
      <c r="G237" s="196"/>
      <c r="H237" s="196" t="s">
        <v>261</v>
      </c>
      <c r="I237" s="196"/>
      <c r="J237" s="450">
        <v>6.1029999999999998</v>
      </c>
      <c r="K237" s="450">
        <v>0.68600000000000005</v>
      </c>
      <c r="L237" s="450">
        <v>3.2000000000000001E-2</v>
      </c>
      <c r="M237" s="451">
        <v>476.94</v>
      </c>
      <c r="N237" s="451">
        <v>3.7</v>
      </c>
      <c r="O237" s="451">
        <v>6.79</v>
      </c>
      <c r="P237" s="450">
        <v>0.22500000000000001</v>
      </c>
    </row>
    <row r="238" spans="4:16" x14ac:dyDescent="0.25">
      <c r="F238" s="99" t="s">
        <v>1012</v>
      </c>
      <c r="G238" s="196"/>
      <c r="H238" s="196" t="s">
        <v>261</v>
      </c>
      <c r="I238" s="196"/>
      <c r="J238" s="450">
        <v>6.1029999999999998</v>
      </c>
      <c r="K238" s="450">
        <v>0.68600000000000005</v>
      </c>
      <c r="L238" s="450">
        <v>3.2000000000000001E-2</v>
      </c>
      <c r="M238" s="451">
        <v>1196.28</v>
      </c>
      <c r="N238" s="451">
        <v>3.7</v>
      </c>
      <c r="O238" s="451">
        <v>6.79</v>
      </c>
      <c r="P238" s="450">
        <v>0.22500000000000001</v>
      </c>
    </row>
    <row r="239" spans="4:16" x14ac:dyDescent="0.25">
      <c r="F239" s="99" t="s">
        <v>1013</v>
      </c>
      <c r="G239" s="196"/>
      <c r="H239" s="196" t="s">
        <v>261</v>
      </c>
      <c r="I239" s="196"/>
      <c r="J239" s="450">
        <v>3.9</v>
      </c>
      <c r="K239" s="450">
        <v>0.29899999999999999</v>
      </c>
      <c r="L239" s="450">
        <v>1.2E-2</v>
      </c>
      <c r="M239" s="451">
        <v>41.74</v>
      </c>
      <c r="N239" s="451">
        <v>5.0199999999999996</v>
      </c>
      <c r="O239" s="451">
        <v>6.53</v>
      </c>
      <c r="P239" s="450">
        <v>0.125</v>
      </c>
    </row>
    <row r="240" spans="4:16" s="293" customFormat="1" x14ac:dyDescent="0.25">
      <c r="D240" s="98"/>
      <c r="E240" s="98"/>
      <c r="F240" s="99" t="s">
        <v>1014</v>
      </c>
      <c r="G240" s="196"/>
      <c r="H240" s="196" t="s">
        <v>261</v>
      </c>
      <c r="I240" s="196"/>
      <c r="J240" s="450">
        <v>3.9</v>
      </c>
      <c r="K240" s="450">
        <v>0.29899999999999999</v>
      </c>
      <c r="L240" s="450">
        <v>1.2E-2</v>
      </c>
      <c r="M240" s="451">
        <v>201.17</v>
      </c>
      <c r="N240" s="451">
        <v>5.0199999999999996</v>
      </c>
      <c r="O240" s="451">
        <v>6.53</v>
      </c>
      <c r="P240" s="450">
        <v>0.125</v>
      </c>
    </row>
    <row r="241" spans="4:16" s="293" customFormat="1" x14ac:dyDescent="0.25">
      <c r="D241" s="98"/>
      <c r="E241" s="98"/>
      <c r="F241" s="99" t="s">
        <v>1015</v>
      </c>
      <c r="G241" s="196"/>
      <c r="H241" s="196" t="s">
        <v>261</v>
      </c>
      <c r="I241" s="196"/>
      <c r="J241" s="450">
        <v>3.9</v>
      </c>
      <c r="K241" s="450">
        <v>0.29899999999999999</v>
      </c>
      <c r="L241" s="450">
        <v>1.2E-2</v>
      </c>
      <c r="M241" s="451">
        <v>338.33</v>
      </c>
      <c r="N241" s="451">
        <v>5.0199999999999996</v>
      </c>
      <c r="O241" s="451">
        <v>6.53</v>
      </c>
      <c r="P241" s="450">
        <v>0.125</v>
      </c>
    </row>
    <row r="242" spans="4:16" s="293" customFormat="1" x14ac:dyDescent="0.25">
      <c r="D242" s="98"/>
      <c r="E242" s="98"/>
      <c r="F242" s="99" t="s">
        <v>1016</v>
      </c>
      <c r="G242" s="196"/>
      <c r="H242" s="196" t="s">
        <v>261</v>
      </c>
      <c r="I242" s="196"/>
      <c r="J242" s="450">
        <v>3.9</v>
      </c>
      <c r="K242" s="450">
        <v>0.29899999999999999</v>
      </c>
      <c r="L242" s="450">
        <v>1.2E-2</v>
      </c>
      <c r="M242" s="451">
        <v>500.88</v>
      </c>
      <c r="N242" s="451">
        <v>5.0199999999999996</v>
      </c>
      <c r="O242" s="451">
        <v>6.53</v>
      </c>
      <c r="P242" s="450">
        <v>0.125</v>
      </c>
    </row>
    <row r="243" spans="4:16" s="293" customFormat="1" x14ac:dyDescent="0.25">
      <c r="D243" s="98"/>
      <c r="E243" s="98"/>
      <c r="F243" s="99" t="s">
        <v>1017</v>
      </c>
      <c r="G243" s="196"/>
      <c r="H243" s="196" t="s">
        <v>261</v>
      </c>
      <c r="I243" s="196"/>
      <c r="J243" s="450">
        <v>3.9</v>
      </c>
      <c r="K243" s="450">
        <v>0.29899999999999999</v>
      </c>
      <c r="L243" s="450">
        <v>1.2E-2</v>
      </c>
      <c r="M243" s="451">
        <v>1220.22</v>
      </c>
      <c r="N243" s="451">
        <v>5.0199999999999996</v>
      </c>
      <c r="O243" s="451">
        <v>6.53</v>
      </c>
      <c r="P243" s="450">
        <v>0.125</v>
      </c>
    </row>
    <row r="244" spans="4:16" s="293" customFormat="1" x14ac:dyDescent="0.25">
      <c r="D244" s="98"/>
      <c r="E244" s="98"/>
      <c r="F244" s="99" t="s">
        <v>1018</v>
      </c>
      <c r="G244" s="196"/>
      <c r="H244" s="196" t="s">
        <v>261</v>
      </c>
      <c r="I244" s="196"/>
      <c r="J244" s="450">
        <v>3.2309999999999999</v>
      </c>
      <c r="K244" s="450">
        <v>0.22</v>
      </c>
      <c r="L244" s="450">
        <v>8.9999999999999993E-3</v>
      </c>
      <c r="M244" s="451">
        <v>181.31</v>
      </c>
      <c r="N244" s="451">
        <v>5.99</v>
      </c>
      <c r="O244" s="451">
        <v>7.21</v>
      </c>
      <c r="P244" s="450">
        <v>9.5000000000000001E-2</v>
      </c>
    </row>
    <row r="245" spans="4:16" s="293" customFormat="1" x14ac:dyDescent="0.25">
      <c r="D245" s="98"/>
      <c r="E245" s="98"/>
      <c r="F245" s="99" t="s">
        <v>1019</v>
      </c>
      <c r="G245" s="196"/>
      <c r="H245" s="196" t="s">
        <v>261</v>
      </c>
      <c r="I245" s="196"/>
      <c r="J245" s="450">
        <v>3.2309999999999999</v>
      </c>
      <c r="K245" s="450">
        <v>0.22</v>
      </c>
      <c r="L245" s="450">
        <v>8.9999999999999993E-3</v>
      </c>
      <c r="M245" s="451">
        <v>1260.17</v>
      </c>
      <c r="N245" s="451">
        <v>5.99</v>
      </c>
      <c r="O245" s="451">
        <v>7.21</v>
      </c>
      <c r="P245" s="450">
        <v>9.5000000000000001E-2</v>
      </c>
    </row>
    <row r="246" spans="4:16" s="293" customFormat="1" x14ac:dyDescent="0.25">
      <c r="D246" s="98"/>
      <c r="E246" s="98"/>
      <c r="F246" s="99" t="s">
        <v>1020</v>
      </c>
      <c r="G246" s="196"/>
      <c r="H246" s="196" t="s">
        <v>261</v>
      </c>
      <c r="I246" s="196"/>
      <c r="J246" s="450">
        <v>3.2309999999999999</v>
      </c>
      <c r="K246" s="450">
        <v>0.22</v>
      </c>
      <c r="L246" s="450">
        <v>8.9999999999999993E-3</v>
      </c>
      <c r="M246" s="451">
        <v>3329.03</v>
      </c>
      <c r="N246" s="451">
        <v>5.99</v>
      </c>
      <c r="O246" s="451">
        <v>7.21</v>
      </c>
      <c r="P246" s="450">
        <v>9.5000000000000001E-2</v>
      </c>
    </row>
    <row r="247" spans="4:16" s="293" customFormat="1" x14ac:dyDescent="0.25">
      <c r="D247" s="98"/>
      <c r="E247" s="98"/>
      <c r="F247" s="99" t="s">
        <v>1021</v>
      </c>
      <c r="G247" s="196"/>
      <c r="H247" s="196" t="s">
        <v>261</v>
      </c>
      <c r="I247" s="196"/>
      <c r="J247" s="450">
        <v>3.2309999999999999</v>
      </c>
      <c r="K247" s="450">
        <v>0.22</v>
      </c>
      <c r="L247" s="450">
        <v>8.9999999999999993E-3</v>
      </c>
      <c r="M247" s="451">
        <v>5958.86</v>
      </c>
      <c r="N247" s="451">
        <v>5.99</v>
      </c>
      <c r="O247" s="451">
        <v>7.21</v>
      </c>
      <c r="P247" s="450">
        <v>9.5000000000000001E-2</v>
      </c>
    </row>
    <row r="248" spans="4:16" s="293" customFormat="1" x14ac:dyDescent="0.25">
      <c r="D248" s="98"/>
      <c r="E248" s="98"/>
      <c r="F248" s="99" t="s">
        <v>1022</v>
      </c>
      <c r="G248" s="196"/>
      <c r="H248" s="196" t="s">
        <v>261</v>
      </c>
      <c r="I248" s="196"/>
      <c r="J248" s="450">
        <v>3.2309999999999999</v>
      </c>
      <c r="K248" s="450">
        <v>0.22</v>
      </c>
      <c r="L248" s="450">
        <v>8.9999999999999993E-3</v>
      </c>
      <c r="M248" s="451">
        <v>15359.67</v>
      </c>
      <c r="N248" s="451">
        <v>5.99</v>
      </c>
      <c r="O248" s="451">
        <v>7.21</v>
      </c>
      <c r="P248" s="450">
        <v>9.5000000000000001E-2</v>
      </c>
    </row>
    <row r="249" spans="4:16" s="293" customFormat="1" x14ac:dyDescent="0.25">
      <c r="D249" s="98"/>
      <c r="E249" s="98"/>
      <c r="F249" s="99" t="s">
        <v>933</v>
      </c>
      <c r="G249" s="196"/>
      <c r="H249" s="196" t="s">
        <v>261</v>
      </c>
      <c r="I249" s="196"/>
      <c r="J249" s="450">
        <v>20.308</v>
      </c>
      <c r="K249" s="450">
        <v>3.9119999999999999</v>
      </c>
      <c r="L249" s="450">
        <v>3.06</v>
      </c>
      <c r="M249" s="451">
        <v>0</v>
      </c>
      <c r="N249" s="451">
        <v>0</v>
      </c>
      <c r="O249" s="451">
        <v>0</v>
      </c>
      <c r="P249" s="450">
        <v>0</v>
      </c>
    </row>
    <row r="250" spans="4:16" s="293" customFormat="1" x14ac:dyDescent="0.25">
      <c r="D250" s="98"/>
      <c r="E250" s="98"/>
      <c r="F250" s="99" t="s">
        <v>934</v>
      </c>
      <c r="G250" s="196"/>
      <c r="H250" s="196" t="s">
        <v>261</v>
      </c>
      <c r="I250" s="196"/>
      <c r="J250" s="450">
        <v>-5.915</v>
      </c>
      <c r="K250" s="450">
        <v>-0.77200000000000002</v>
      </c>
      <c r="L250" s="450">
        <v>-3.6999999999999998E-2</v>
      </c>
      <c r="M250" s="451">
        <v>0</v>
      </c>
      <c r="N250" s="451">
        <v>0</v>
      </c>
      <c r="O250" s="451">
        <v>0</v>
      </c>
      <c r="P250" s="450">
        <v>0</v>
      </c>
    </row>
    <row r="251" spans="4:16" s="293" customFormat="1" x14ac:dyDescent="0.25">
      <c r="D251" s="98"/>
      <c r="E251" s="98"/>
      <c r="F251" s="99" t="s">
        <v>935</v>
      </c>
      <c r="G251" s="196"/>
      <c r="H251" s="196" t="s">
        <v>261</v>
      </c>
      <c r="I251" s="196"/>
      <c r="J251" s="450">
        <v>-5.2839999999999998</v>
      </c>
      <c r="K251" s="450">
        <v>-0.63100000000000001</v>
      </c>
      <c r="L251" s="450">
        <v>-0.03</v>
      </c>
      <c r="M251" s="451">
        <v>0</v>
      </c>
      <c r="N251" s="451">
        <v>0</v>
      </c>
      <c r="O251" s="451">
        <v>0</v>
      </c>
      <c r="P251" s="450">
        <v>0</v>
      </c>
    </row>
    <row r="252" spans="4:16" s="293" customFormat="1" x14ac:dyDescent="0.25">
      <c r="D252" s="98"/>
      <c r="E252" s="98"/>
      <c r="F252" s="99" t="s">
        <v>936</v>
      </c>
      <c r="G252" s="196"/>
      <c r="H252" s="196" t="s">
        <v>261</v>
      </c>
      <c r="I252" s="196"/>
      <c r="J252" s="450">
        <v>-5.915</v>
      </c>
      <c r="K252" s="450">
        <v>-0.77200000000000002</v>
      </c>
      <c r="L252" s="450">
        <v>-3.6999999999999998E-2</v>
      </c>
      <c r="M252" s="451">
        <v>0</v>
      </c>
      <c r="N252" s="451">
        <v>0</v>
      </c>
      <c r="O252" s="451">
        <v>0</v>
      </c>
      <c r="P252" s="450">
        <v>0.23300000000000001</v>
      </c>
    </row>
    <row r="253" spans="4:16" x14ac:dyDescent="0.25">
      <c r="F253" s="99" t="s">
        <v>937</v>
      </c>
      <c r="G253" s="196"/>
      <c r="H253" s="196" t="s">
        <v>261</v>
      </c>
      <c r="I253" s="196"/>
      <c r="J253" s="450">
        <v>-5.915</v>
      </c>
      <c r="K253" s="450">
        <v>-0.77200000000000002</v>
      </c>
      <c r="L253" s="450">
        <v>-3.6999999999999998E-2</v>
      </c>
      <c r="M253" s="451">
        <v>0</v>
      </c>
      <c r="N253" s="451">
        <v>0</v>
      </c>
      <c r="O253" s="451">
        <v>0</v>
      </c>
      <c r="P253" s="450">
        <v>0</v>
      </c>
    </row>
    <row r="254" spans="4:16" x14ac:dyDescent="0.25">
      <c r="F254" s="99" t="s">
        <v>938</v>
      </c>
      <c r="G254" s="196"/>
      <c r="H254" s="196" t="s">
        <v>261</v>
      </c>
      <c r="I254" s="196"/>
      <c r="J254" s="450">
        <v>-5.2839999999999998</v>
      </c>
      <c r="K254" s="450">
        <v>-0.63100000000000001</v>
      </c>
      <c r="L254" s="450">
        <v>-0.03</v>
      </c>
      <c r="M254" s="451">
        <v>0</v>
      </c>
      <c r="N254" s="451">
        <v>0</v>
      </c>
      <c r="O254" s="451">
        <v>0</v>
      </c>
      <c r="P254" s="450">
        <v>0.19500000000000001</v>
      </c>
    </row>
    <row r="255" spans="4:16" x14ac:dyDescent="0.25">
      <c r="F255" s="99" t="s">
        <v>939</v>
      </c>
      <c r="G255" s="196"/>
      <c r="H255" s="196" t="s">
        <v>261</v>
      </c>
      <c r="I255" s="196"/>
      <c r="J255" s="450">
        <v>-5.2839999999999998</v>
      </c>
      <c r="K255" s="450">
        <v>-0.63100000000000001</v>
      </c>
      <c r="L255" s="450">
        <v>-0.03</v>
      </c>
      <c r="M255" s="451">
        <v>0</v>
      </c>
      <c r="N255" s="451">
        <v>0</v>
      </c>
      <c r="O255" s="451">
        <v>0</v>
      </c>
      <c r="P255" s="450">
        <v>0</v>
      </c>
    </row>
    <row r="256" spans="4:16" x14ac:dyDescent="0.25">
      <c r="F256" s="99" t="s">
        <v>940</v>
      </c>
      <c r="G256" s="196"/>
      <c r="H256" s="196" t="s">
        <v>261</v>
      </c>
      <c r="I256" s="196"/>
      <c r="J256" s="450">
        <v>-4.08</v>
      </c>
      <c r="K256" s="450">
        <v>-0.312</v>
      </c>
      <c r="L256" s="450">
        <v>-1.2999999999999999E-2</v>
      </c>
      <c r="M256" s="451">
        <v>362.81</v>
      </c>
      <c r="N256" s="451">
        <v>0</v>
      </c>
      <c r="O256" s="451">
        <v>0</v>
      </c>
      <c r="P256" s="450">
        <v>0.16900000000000001</v>
      </c>
    </row>
    <row r="257" spans="4:16" x14ac:dyDescent="0.25">
      <c r="F257" s="100" t="s">
        <v>941</v>
      </c>
      <c r="G257" s="93"/>
      <c r="H257" s="93" t="s">
        <v>261</v>
      </c>
      <c r="I257" s="93"/>
      <c r="J257" s="436">
        <v>-4.08</v>
      </c>
      <c r="K257" s="436">
        <v>-0.312</v>
      </c>
      <c r="L257" s="436">
        <v>-1.2999999999999999E-2</v>
      </c>
      <c r="M257" s="342">
        <v>362.81</v>
      </c>
      <c r="N257" s="342">
        <v>0</v>
      </c>
      <c r="O257" s="342">
        <v>0</v>
      </c>
      <c r="P257" s="436">
        <v>0</v>
      </c>
    </row>
    <row r="258" spans="4:16" x14ac:dyDescent="0.25">
      <c r="F258" s="98"/>
      <c r="G258" s="293"/>
      <c r="H258" s="293"/>
      <c r="I258" s="293"/>
      <c r="J258" s="343"/>
      <c r="K258" s="343"/>
      <c r="L258" s="343"/>
      <c r="M258" s="343"/>
      <c r="N258" s="343"/>
      <c r="O258" s="343"/>
      <c r="P258" s="437"/>
    </row>
    <row r="259" spans="4:16" x14ac:dyDescent="0.25">
      <c r="D259" s="96"/>
      <c r="E259" s="96" t="str">
        <f>"LDNO LV tariff forecast "&amp; 'ARP_User control'!G32</f>
        <v>LDNO LV tariff forecast 2024/25</v>
      </c>
      <c r="F259" s="98"/>
      <c r="G259" s="293"/>
      <c r="H259" s="293"/>
      <c r="I259" s="293"/>
      <c r="J259" s="343"/>
      <c r="K259" s="343"/>
      <c r="L259" s="343"/>
      <c r="M259" s="343"/>
      <c r="N259" s="343"/>
      <c r="O259" s="343"/>
      <c r="P259" s="437"/>
    </row>
    <row r="260" spans="4:16" x14ac:dyDescent="0.25">
      <c r="F260" s="103" t="s">
        <v>1002</v>
      </c>
      <c r="G260" s="91"/>
      <c r="H260" s="91" t="s">
        <v>146</v>
      </c>
      <c r="I260" s="91"/>
      <c r="J260" s="435">
        <v>5.6740000000000004</v>
      </c>
      <c r="K260" s="435">
        <v>0.74</v>
      </c>
      <c r="L260" s="435">
        <v>3.5999999999999997E-2</v>
      </c>
      <c r="M260" s="340">
        <v>8.1300000000000008</v>
      </c>
      <c r="N260" s="340">
        <v>0</v>
      </c>
      <c r="O260" s="340">
        <v>0</v>
      </c>
      <c r="P260" s="435">
        <v>0</v>
      </c>
    </row>
    <row r="261" spans="4:16" x14ac:dyDescent="0.25">
      <c r="F261" s="99" t="s">
        <v>927</v>
      </c>
      <c r="G261" s="196"/>
      <c r="H261" s="196" t="s">
        <v>146</v>
      </c>
      <c r="I261" s="196"/>
      <c r="J261" s="450">
        <v>5.6740000000000004</v>
      </c>
      <c r="K261" s="450">
        <v>0.74</v>
      </c>
      <c r="L261" s="450">
        <v>3.5999999999999997E-2</v>
      </c>
      <c r="M261" s="451">
        <v>0</v>
      </c>
      <c r="N261" s="451">
        <v>0</v>
      </c>
      <c r="O261" s="451">
        <v>0</v>
      </c>
      <c r="P261" s="450">
        <v>0</v>
      </c>
    </row>
    <row r="262" spans="4:16" x14ac:dyDescent="0.25">
      <c r="F262" s="99" t="s">
        <v>1003</v>
      </c>
      <c r="G262" s="196"/>
      <c r="H262" s="196" t="s">
        <v>146</v>
      </c>
      <c r="I262" s="196"/>
      <c r="J262" s="450">
        <v>4.984</v>
      </c>
      <c r="K262" s="450">
        <v>0.65</v>
      </c>
      <c r="L262" s="450">
        <v>3.2000000000000001E-2</v>
      </c>
      <c r="M262" s="451">
        <v>5.25</v>
      </c>
      <c r="N262" s="451">
        <v>0</v>
      </c>
      <c r="O262" s="451">
        <v>0</v>
      </c>
      <c r="P262" s="450">
        <v>0</v>
      </c>
    </row>
    <row r="263" spans="4:16" x14ac:dyDescent="0.25">
      <c r="F263" s="99" t="s">
        <v>1004</v>
      </c>
      <c r="G263" s="196"/>
      <c r="H263" s="196" t="s">
        <v>146</v>
      </c>
      <c r="I263" s="196"/>
      <c r="J263" s="450">
        <v>4.984</v>
      </c>
      <c r="K263" s="450">
        <v>0.65</v>
      </c>
      <c r="L263" s="450">
        <v>3.2000000000000001E-2</v>
      </c>
      <c r="M263" s="451">
        <v>8.26</v>
      </c>
      <c r="N263" s="451">
        <v>0</v>
      </c>
      <c r="O263" s="451">
        <v>0</v>
      </c>
      <c r="P263" s="450">
        <v>0</v>
      </c>
    </row>
    <row r="264" spans="4:16" x14ac:dyDescent="0.25">
      <c r="F264" s="99" t="s">
        <v>1005</v>
      </c>
      <c r="G264" s="196"/>
      <c r="H264" s="196" t="s">
        <v>146</v>
      </c>
      <c r="I264" s="196"/>
      <c r="J264" s="450">
        <v>4.984</v>
      </c>
      <c r="K264" s="450">
        <v>0.65</v>
      </c>
      <c r="L264" s="450">
        <v>3.2000000000000001E-2</v>
      </c>
      <c r="M264" s="451">
        <v>15.14</v>
      </c>
      <c r="N264" s="451">
        <v>0</v>
      </c>
      <c r="O264" s="451">
        <v>0</v>
      </c>
      <c r="P264" s="450">
        <v>0</v>
      </c>
    </row>
    <row r="265" spans="4:16" x14ac:dyDescent="0.25">
      <c r="F265" s="99" t="s">
        <v>1006</v>
      </c>
      <c r="G265" s="196"/>
      <c r="H265" s="196" t="s">
        <v>146</v>
      </c>
      <c r="I265" s="196"/>
      <c r="J265" s="450">
        <v>4.984</v>
      </c>
      <c r="K265" s="450">
        <v>0.65</v>
      </c>
      <c r="L265" s="450">
        <v>3.2000000000000001E-2</v>
      </c>
      <c r="M265" s="451">
        <v>27.67</v>
      </c>
      <c r="N265" s="451">
        <v>0</v>
      </c>
      <c r="O265" s="451">
        <v>0</v>
      </c>
      <c r="P265" s="450">
        <v>0</v>
      </c>
    </row>
    <row r="266" spans="4:16" x14ac:dyDescent="0.25">
      <c r="F266" s="99" t="s">
        <v>1007</v>
      </c>
      <c r="G266" s="196"/>
      <c r="H266" s="196" t="s">
        <v>146</v>
      </c>
      <c r="I266" s="196"/>
      <c r="J266" s="450">
        <v>4.984</v>
      </c>
      <c r="K266" s="450">
        <v>0.65</v>
      </c>
      <c r="L266" s="450">
        <v>3.2000000000000001E-2</v>
      </c>
      <c r="M266" s="451">
        <v>66.239999999999995</v>
      </c>
      <c r="N266" s="451">
        <v>0</v>
      </c>
      <c r="O266" s="451">
        <v>0</v>
      </c>
      <c r="P266" s="450">
        <v>0</v>
      </c>
    </row>
    <row r="267" spans="4:16" s="293" customFormat="1" x14ac:dyDescent="0.25">
      <c r="D267" s="98"/>
      <c r="E267" s="98"/>
      <c r="F267" s="99" t="s">
        <v>929</v>
      </c>
      <c r="G267" s="196"/>
      <c r="H267" s="196" t="s">
        <v>146</v>
      </c>
      <c r="I267" s="196"/>
      <c r="J267" s="450">
        <v>4.984</v>
      </c>
      <c r="K267" s="450">
        <v>0.65</v>
      </c>
      <c r="L267" s="450">
        <v>3.2000000000000001E-2</v>
      </c>
      <c r="M267" s="451">
        <v>0</v>
      </c>
      <c r="N267" s="451">
        <v>0</v>
      </c>
      <c r="O267" s="451">
        <v>0</v>
      </c>
      <c r="P267" s="450">
        <v>0</v>
      </c>
    </row>
    <row r="268" spans="4:16" s="293" customFormat="1" x14ac:dyDescent="0.25">
      <c r="D268" s="98"/>
      <c r="E268" s="98"/>
      <c r="F268" s="99" t="s">
        <v>1008</v>
      </c>
      <c r="G268" s="196"/>
      <c r="H268" s="196" t="s">
        <v>146</v>
      </c>
      <c r="I268" s="196"/>
      <c r="J268" s="450">
        <v>3.952</v>
      </c>
      <c r="K268" s="450">
        <v>0.44400000000000001</v>
      </c>
      <c r="L268" s="450">
        <v>2.1000000000000001E-2</v>
      </c>
      <c r="M268" s="451">
        <v>11.53</v>
      </c>
      <c r="N268" s="451">
        <v>2.4</v>
      </c>
      <c r="O268" s="451">
        <v>4.4000000000000004</v>
      </c>
      <c r="P268" s="450">
        <v>0.14599999999999999</v>
      </c>
    </row>
    <row r="269" spans="4:16" s="293" customFormat="1" x14ac:dyDescent="0.25">
      <c r="D269" s="98"/>
      <c r="E269" s="98"/>
      <c r="F269" s="99" t="s">
        <v>1009</v>
      </c>
      <c r="G269" s="196"/>
      <c r="H269" s="196" t="s">
        <v>146</v>
      </c>
      <c r="I269" s="196"/>
      <c r="J269" s="450">
        <v>3.952</v>
      </c>
      <c r="K269" s="450">
        <v>0.44400000000000001</v>
      </c>
      <c r="L269" s="450">
        <v>2.1000000000000001E-2</v>
      </c>
      <c r="M269" s="451">
        <v>114.77</v>
      </c>
      <c r="N269" s="451">
        <v>2.4</v>
      </c>
      <c r="O269" s="451">
        <v>4.4000000000000004</v>
      </c>
      <c r="P269" s="450">
        <v>0.14599999999999999</v>
      </c>
    </row>
    <row r="270" spans="4:16" x14ac:dyDescent="0.25">
      <c r="F270" s="99" t="s">
        <v>1010</v>
      </c>
      <c r="G270" s="196"/>
      <c r="H270" s="196" t="s">
        <v>146</v>
      </c>
      <c r="I270" s="196"/>
      <c r="J270" s="450">
        <v>3.952</v>
      </c>
      <c r="K270" s="450">
        <v>0.44400000000000001</v>
      </c>
      <c r="L270" s="450">
        <v>2.1000000000000001E-2</v>
      </c>
      <c r="M270" s="451">
        <v>203.6</v>
      </c>
      <c r="N270" s="451">
        <v>2.4</v>
      </c>
      <c r="O270" s="451">
        <v>4.4000000000000004</v>
      </c>
      <c r="P270" s="450">
        <v>0.14599999999999999</v>
      </c>
    </row>
    <row r="271" spans="4:16" x14ac:dyDescent="0.25">
      <c r="F271" s="99" t="s">
        <v>1011</v>
      </c>
      <c r="G271" s="196"/>
      <c r="H271" s="196" t="s">
        <v>146</v>
      </c>
      <c r="I271" s="196"/>
      <c r="J271" s="450">
        <v>3.952</v>
      </c>
      <c r="K271" s="450">
        <v>0.44400000000000001</v>
      </c>
      <c r="L271" s="450">
        <v>2.1000000000000001E-2</v>
      </c>
      <c r="M271" s="451">
        <v>308.86</v>
      </c>
      <c r="N271" s="451">
        <v>2.4</v>
      </c>
      <c r="O271" s="451">
        <v>4.4000000000000004</v>
      </c>
      <c r="P271" s="450">
        <v>0.14599999999999999</v>
      </c>
    </row>
    <row r="272" spans="4:16" x14ac:dyDescent="0.25">
      <c r="F272" s="99" t="s">
        <v>1012</v>
      </c>
      <c r="G272" s="196"/>
      <c r="H272" s="196" t="s">
        <v>146</v>
      </c>
      <c r="I272" s="196"/>
      <c r="J272" s="450">
        <v>3.952</v>
      </c>
      <c r="K272" s="450">
        <v>0.44400000000000001</v>
      </c>
      <c r="L272" s="450">
        <v>2.1000000000000001E-2</v>
      </c>
      <c r="M272" s="451">
        <v>774.7</v>
      </c>
      <c r="N272" s="451">
        <v>2.4</v>
      </c>
      <c r="O272" s="451">
        <v>4.4000000000000004</v>
      </c>
      <c r="P272" s="450">
        <v>0.14599999999999999</v>
      </c>
    </row>
    <row r="273" spans="4:16" x14ac:dyDescent="0.25">
      <c r="F273" s="99" t="s">
        <v>1013</v>
      </c>
      <c r="G273" s="196"/>
      <c r="H273" s="196" t="s">
        <v>146</v>
      </c>
      <c r="I273" s="196"/>
      <c r="J273" s="452">
        <v>0</v>
      </c>
      <c r="K273" s="452">
        <v>0</v>
      </c>
      <c r="L273" s="452">
        <v>0</v>
      </c>
      <c r="M273" s="453">
        <v>0</v>
      </c>
      <c r="N273" s="453">
        <v>0</v>
      </c>
      <c r="O273" s="453">
        <v>0</v>
      </c>
      <c r="P273" s="452">
        <v>0</v>
      </c>
    </row>
    <row r="274" spans="4:16" s="293" customFormat="1" x14ac:dyDescent="0.25">
      <c r="D274" s="98"/>
      <c r="E274" s="98"/>
      <c r="F274" s="99" t="s">
        <v>1014</v>
      </c>
      <c r="G274" s="196"/>
      <c r="H274" s="196" t="s">
        <v>146</v>
      </c>
      <c r="I274" s="196"/>
      <c r="J274" s="452">
        <v>0</v>
      </c>
      <c r="K274" s="452">
        <v>0</v>
      </c>
      <c r="L274" s="452">
        <v>0</v>
      </c>
      <c r="M274" s="453">
        <v>0</v>
      </c>
      <c r="N274" s="453">
        <v>0</v>
      </c>
      <c r="O274" s="453">
        <v>0</v>
      </c>
      <c r="P274" s="452">
        <v>0</v>
      </c>
    </row>
    <row r="275" spans="4:16" s="293" customFormat="1" x14ac:dyDescent="0.25">
      <c r="D275" s="98"/>
      <c r="E275" s="98"/>
      <c r="F275" s="99" t="s">
        <v>1015</v>
      </c>
      <c r="G275" s="196"/>
      <c r="H275" s="196" t="s">
        <v>146</v>
      </c>
      <c r="I275" s="196"/>
      <c r="J275" s="452">
        <v>0</v>
      </c>
      <c r="K275" s="452">
        <v>0</v>
      </c>
      <c r="L275" s="452">
        <v>0</v>
      </c>
      <c r="M275" s="453">
        <v>0</v>
      </c>
      <c r="N275" s="453">
        <v>0</v>
      </c>
      <c r="O275" s="453">
        <v>0</v>
      </c>
      <c r="P275" s="452">
        <v>0</v>
      </c>
    </row>
    <row r="276" spans="4:16" s="293" customFormat="1" x14ac:dyDescent="0.25">
      <c r="D276" s="98"/>
      <c r="E276" s="98"/>
      <c r="F276" s="99" t="s">
        <v>1016</v>
      </c>
      <c r="G276" s="196"/>
      <c r="H276" s="196" t="s">
        <v>146</v>
      </c>
      <c r="I276" s="196"/>
      <c r="J276" s="452">
        <v>0</v>
      </c>
      <c r="K276" s="452">
        <v>0</v>
      </c>
      <c r="L276" s="452">
        <v>0</v>
      </c>
      <c r="M276" s="453">
        <v>0</v>
      </c>
      <c r="N276" s="453">
        <v>0</v>
      </c>
      <c r="O276" s="453">
        <v>0</v>
      </c>
      <c r="P276" s="452">
        <v>0</v>
      </c>
    </row>
    <row r="277" spans="4:16" s="293" customFormat="1" x14ac:dyDescent="0.25">
      <c r="D277" s="98"/>
      <c r="E277" s="98"/>
      <c r="F277" s="99" t="s">
        <v>1017</v>
      </c>
      <c r="G277" s="196"/>
      <c r="H277" s="196" t="s">
        <v>146</v>
      </c>
      <c r="I277" s="196"/>
      <c r="J277" s="452">
        <v>0</v>
      </c>
      <c r="K277" s="452">
        <v>0</v>
      </c>
      <c r="L277" s="452">
        <v>0</v>
      </c>
      <c r="M277" s="453">
        <v>0</v>
      </c>
      <c r="N277" s="453">
        <v>0</v>
      </c>
      <c r="O277" s="453">
        <v>0</v>
      </c>
      <c r="P277" s="452">
        <v>0</v>
      </c>
    </row>
    <row r="278" spans="4:16" s="293" customFormat="1" x14ac:dyDescent="0.25">
      <c r="D278" s="98"/>
      <c r="E278" s="98"/>
      <c r="F278" s="99" t="s">
        <v>1018</v>
      </c>
      <c r="G278" s="196"/>
      <c r="H278" s="196" t="s">
        <v>146</v>
      </c>
      <c r="I278" s="196"/>
      <c r="J278" s="452">
        <v>0</v>
      </c>
      <c r="K278" s="452">
        <v>0</v>
      </c>
      <c r="L278" s="452">
        <v>0</v>
      </c>
      <c r="M278" s="453">
        <v>0</v>
      </c>
      <c r="N278" s="453">
        <v>0</v>
      </c>
      <c r="O278" s="453">
        <v>0</v>
      </c>
      <c r="P278" s="452">
        <v>0</v>
      </c>
    </row>
    <row r="279" spans="4:16" s="293" customFormat="1" x14ac:dyDescent="0.25">
      <c r="D279" s="98"/>
      <c r="E279" s="98"/>
      <c r="F279" s="99" t="s">
        <v>1019</v>
      </c>
      <c r="G279" s="196"/>
      <c r="H279" s="196" t="s">
        <v>146</v>
      </c>
      <c r="I279" s="196"/>
      <c r="J279" s="452">
        <v>0</v>
      </c>
      <c r="K279" s="452">
        <v>0</v>
      </c>
      <c r="L279" s="452">
        <v>0</v>
      </c>
      <c r="M279" s="453">
        <v>0</v>
      </c>
      <c r="N279" s="453">
        <v>0</v>
      </c>
      <c r="O279" s="453">
        <v>0</v>
      </c>
      <c r="P279" s="452">
        <v>0</v>
      </c>
    </row>
    <row r="280" spans="4:16" s="293" customFormat="1" x14ac:dyDescent="0.25">
      <c r="D280" s="98"/>
      <c r="E280" s="98"/>
      <c r="F280" s="99" t="s">
        <v>1020</v>
      </c>
      <c r="G280" s="196"/>
      <c r="H280" s="196" t="s">
        <v>146</v>
      </c>
      <c r="I280" s="196"/>
      <c r="J280" s="452">
        <v>0</v>
      </c>
      <c r="K280" s="452">
        <v>0</v>
      </c>
      <c r="L280" s="452">
        <v>0</v>
      </c>
      <c r="M280" s="453">
        <v>0</v>
      </c>
      <c r="N280" s="453">
        <v>0</v>
      </c>
      <c r="O280" s="453">
        <v>0</v>
      </c>
      <c r="P280" s="452">
        <v>0</v>
      </c>
    </row>
    <row r="281" spans="4:16" s="293" customFormat="1" x14ac:dyDescent="0.25">
      <c r="D281" s="98"/>
      <c r="E281" s="98"/>
      <c r="F281" s="99" t="s">
        <v>1021</v>
      </c>
      <c r="G281" s="196"/>
      <c r="H281" s="196" t="s">
        <v>146</v>
      </c>
      <c r="I281" s="196"/>
      <c r="J281" s="452">
        <v>0</v>
      </c>
      <c r="K281" s="452">
        <v>0</v>
      </c>
      <c r="L281" s="452">
        <v>0</v>
      </c>
      <c r="M281" s="453">
        <v>0</v>
      </c>
      <c r="N281" s="453">
        <v>0</v>
      </c>
      <c r="O281" s="453">
        <v>0</v>
      </c>
      <c r="P281" s="452">
        <v>0</v>
      </c>
    </row>
    <row r="282" spans="4:16" s="293" customFormat="1" x14ac:dyDescent="0.25">
      <c r="D282" s="98"/>
      <c r="E282" s="98"/>
      <c r="F282" s="99" t="s">
        <v>1022</v>
      </c>
      <c r="G282" s="196"/>
      <c r="H282" s="196" t="s">
        <v>146</v>
      </c>
      <c r="I282" s="196"/>
      <c r="J282" s="452">
        <v>0</v>
      </c>
      <c r="K282" s="452">
        <v>0</v>
      </c>
      <c r="L282" s="452">
        <v>0</v>
      </c>
      <c r="M282" s="453">
        <v>0</v>
      </c>
      <c r="N282" s="453">
        <v>0</v>
      </c>
      <c r="O282" s="453">
        <v>0</v>
      </c>
      <c r="P282" s="452">
        <v>0</v>
      </c>
    </row>
    <row r="283" spans="4:16" s="293" customFormat="1" x14ac:dyDescent="0.25">
      <c r="D283" s="98"/>
      <c r="E283" s="98"/>
      <c r="F283" s="99" t="s">
        <v>933</v>
      </c>
      <c r="G283" s="196"/>
      <c r="H283" s="196" t="s">
        <v>146</v>
      </c>
      <c r="I283" s="196"/>
      <c r="J283" s="450">
        <v>13.151</v>
      </c>
      <c r="K283" s="450">
        <v>2.5329999999999999</v>
      </c>
      <c r="L283" s="450">
        <v>1.982</v>
      </c>
      <c r="M283" s="451">
        <v>0</v>
      </c>
      <c r="N283" s="451">
        <v>0</v>
      </c>
      <c r="O283" s="451">
        <v>0</v>
      </c>
      <c r="P283" s="450">
        <v>0</v>
      </c>
    </row>
    <row r="284" spans="4:16" s="293" customFormat="1" x14ac:dyDescent="0.25">
      <c r="D284" s="98"/>
      <c r="E284" s="98"/>
      <c r="F284" s="99" t="s">
        <v>934</v>
      </c>
      <c r="G284" s="196"/>
      <c r="H284" s="196" t="s">
        <v>146</v>
      </c>
      <c r="I284" s="196"/>
      <c r="J284" s="450">
        <v>-5.915</v>
      </c>
      <c r="K284" s="450">
        <v>-0.77200000000000002</v>
      </c>
      <c r="L284" s="450">
        <v>-3.6999999999999998E-2</v>
      </c>
      <c r="M284" s="451">
        <v>0</v>
      </c>
      <c r="N284" s="451">
        <v>0</v>
      </c>
      <c r="O284" s="451">
        <v>0</v>
      </c>
      <c r="P284" s="450">
        <v>0</v>
      </c>
    </row>
    <row r="285" spans="4:16" s="293" customFormat="1" x14ac:dyDescent="0.25">
      <c r="D285" s="98"/>
      <c r="E285" s="98"/>
      <c r="F285" s="99" t="s">
        <v>935</v>
      </c>
      <c r="G285" s="196"/>
      <c r="H285" s="196" t="s">
        <v>146</v>
      </c>
      <c r="I285" s="196"/>
      <c r="J285" s="452">
        <v>0</v>
      </c>
      <c r="K285" s="452">
        <v>0</v>
      </c>
      <c r="L285" s="452">
        <v>0</v>
      </c>
      <c r="M285" s="453">
        <v>0</v>
      </c>
      <c r="N285" s="453">
        <v>0</v>
      </c>
      <c r="O285" s="453">
        <v>0</v>
      </c>
      <c r="P285" s="452">
        <v>0</v>
      </c>
    </row>
    <row r="286" spans="4:16" s="293" customFormat="1" x14ac:dyDescent="0.25">
      <c r="D286" s="98"/>
      <c r="E286" s="98"/>
      <c r="F286" s="99" t="s">
        <v>936</v>
      </c>
      <c r="G286" s="196"/>
      <c r="H286" s="196" t="s">
        <v>146</v>
      </c>
      <c r="I286" s="196"/>
      <c r="J286" s="450">
        <v>-5.915</v>
      </c>
      <c r="K286" s="450">
        <v>-0.77200000000000002</v>
      </c>
      <c r="L286" s="450">
        <v>-3.6999999999999998E-2</v>
      </c>
      <c r="M286" s="451">
        <v>0</v>
      </c>
      <c r="N286" s="451">
        <v>0</v>
      </c>
      <c r="O286" s="451">
        <v>0</v>
      </c>
      <c r="P286" s="450">
        <v>0.23300000000000001</v>
      </c>
    </row>
    <row r="287" spans="4:16" x14ac:dyDescent="0.25">
      <c r="F287" s="99" t="s">
        <v>937</v>
      </c>
      <c r="G287" s="196"/>
      <c r="H287" s="196" t="s">
        <v>146</v>
      </c>
      <c r="I287" s="196"/>
      <c r="J287" s="452">
        <v>0</v>
      </c>
      <c r="K287" s="452">
        <v>0</v>
      </c>
      <c r="L287" s="452">
        <v>0</v>
      </c>
      <c r="M287" s="453">
        <v>0</v>
      </c>
      <c r="N287" s="453">
        <v>0</v>
      </c>
      <c r="O287" s="453">
        <v>0</v>
      </c>
      <c r="P287" s="452">
        <v>0</v>
      </c>
    </row>
    <row r="288" spans="4:16" x14ac:dyDescent="0.25">
      <c r="F288" s="99" t="s">
        <v>938</v>
      </c>
      <c r="G288" s="196"/>
      <c r="H288" s="196" t="s">
        <v>146</v>
      </c>
      <c r="I288" s="196"/>
      <c r="J288" s="452">
        <v>0</v>
      </c>
      <c r="K288" s="452">
        <v>0</v>
      </c>
      <c r="L288" s="452">
        <v>0</v>
      </c>
      <c r="M288" s="453">
        <v>0</v>
      </c>
      <c r="N288" s="453">
        <v>0</v>
      </c>
      <c r="O288" s="453">
        <v>0</v>
      </c>
      <c r="P288" s="452">
        <v>0</v>
      </c>
    </row>
    <row r="289" spans="4:19" x14ac:dyDescent="0.25">
      <c r="F289" s="99" t="s">
        <v>939</v>
      </c>
      <c r="G289" s="196"/>
      <c r="H289" s="196" t="s">
        <v>146</v>
      </c>
      <c r="I289" s="196"/>
      <c r="J289" s="452">
        <v>0</v>
      </c>
      <c r="K289" s="452">
        <v>0</v>
      </c>
      <c r="L289" s="452">
        <v>0</v>
      </c>
      <c r="M289" s="453">
        <v>0</v>
      </c>
      <c r="N289" s="453">
        <v>0</v>
      </c>
      <c r="O289" s="453">
        <v>0</v>
      </c>
      <c r="P289" s="452">
        <v>0</v>
      </c>
    </row>
    <row r="290" spans="4:19" x14ac:dyDescent="0.25">
      <c r="F290" s="99" t="s">
        <v>940</v>
      </c>
      <c r="G290" s="196"/>
      <c r="H290" s="196" t="s">
        <v>146</v>
      </c>
      <c r="I290" s="196"/>
      <c r="J290" s="452">
        <v>0</v>
      </c>
      <c r="K290" s="452">
        <v>0</v>
      </c>
      <c r="L290" s="452">
        <v>0</v>
      </c>
      <c r="M290" s="453">
        <v>0</v>
      </c>
      <c r="N290" s="453">
        <v>0</v>
      </c>
      <c r="O290" s="453">
        <v>0</v>
      </c>
      <c r="P290" s="452">
        <v>0</v>
      </c>
    </row>
    <row r="291" spans="4:19" x14ac:dyDescent="0.25">
      <c r="F291" s="100" t="s">
        <v>941</v>
      </c>
      <c r="G291" s="93"/>
      <c r="H291" s="93" t="s">
        <v>146</v>
      </c>
      <c r="I291" s="93"/>
      <c r="J291" s="438">
        <v>0</v>
      </c>
      <c r="K291" s="438">
        <v>0</v>
      </c>
      <c r="L291" s="438">
        <v>0</v>
      </c>
      <c r="M291" s="344">
        <v>0</v>
      </c>
      <c r="N291" s="344">
        <v>0</v>
      </c>
      <c r="O291" s="344">
        <v>0</v>
      </c>
      <c r="P291" s="438">
        <v>0</v>
      </c>
    </row>
    <row r="292" spans="4:19" x14ac:dyDescent="0.25">
      <c r="D292" s="195"/>
      <c r="E292" s="195"/>
      <c r="F292" s="293"/>
      <c r="G292" s="293"/>
      <c r="H292" s="293"/>
      <c r="I292" s="293"/>
      <c r="J292" s="437"/>
      <c r="K292" s="437"/>
      <c r="L292" s="437"/>
      <c r="M292" s="343"/>
      <c r="N292" s="343"/>
      <c r="O292" s="343"/>
      <c r="P292" s="437"/>
      <c r="Q292" s="195"/>
      <c r="R292" s="195"/>
      <c r="S292" s="195"/>
    </row>
    <row r="293" spans="4:19" x14ac:dyDescent="0.25">
      <c r="D293" s="96"/>
      <c r="E293" s="96" t="str">
        <f>"LDNO HV tariff forecast "&amp; 'ARP_User control'!G32</f>
        <v>LDNO HV tariff forecast 2024/25</v>
      </c>
      <c r="F293" s="293"/>
      <c r="G293" s="293"/>
      <c r="H293" s="293"/>
      <c r="I293" s="293"/>
      <c r="J293" s="437"/>
      <c r="K293" s="437"/>
      <c r="L293" s="437"/>
      <c r="M293" s="343"/>
      <c r="N293" s="343"/>
      <c r="O293" s="343"/>
      <c r="P293" s="437"/>
      <c r="Q293" s="195"/>
      <c r="R293" s="195"/>
      <c r="S293" s="195"/>
    </row>
    <row r="294" spans="4:19" x14ac:dyDescent="0.25">
      <c r="F294" s="103" t="s">
        <v>1002</v>
      </c>
      <c r="G294" s="91"/>
      <c r="H294" s="91" t="s">
        <v>147</v>
      </c>
      <c r="I294" s="91"/>
      <c r="J294" s="435">
        <v>4.07</v>
      </c>
      <c r="K294" s="435">
        <v>0.53100000000000003</v>
      </c>
      <c r="L294" s="435">
        <v>2.5999999999999999E-2</v>
      </c>
      <c r="M294" s="340">
        <v>5.83</v>
      </c>
      <c r="N294" s="340">
        <v>0</v>
      </c>
      <c r="O294" s="340">
        <v>0</v>
      </c>
      <c r="P294" s="435">
        <v>0</v>
      </c>
    </row>
    <row r="295" spans="4:19" x14ac:dyDescent="0.25">
      <c r="F295" s="99" t="s">
        <v>927</v>
      </c>
      <c r="G295" s="196"/>
      <c r="H295" s="196" t="s">
        <v>147</v>
      </c>
      <c r="I295" s="196"/>
      <c r="J295" s="450">
        <v>4.07</v>
      </c>
      <c r="K295" s="450">
        <v>0.53100000000000003</v>
      </c>
      <c r="L295" s="450">
        <v>2.5999999999999999E-2</v>
      </c>
      <c r="M295" s="451">
        <v>0</v>
      </c>
      <c r="N295" s="451">
        <v>0</v>
      </c>
      <c r="O295" s="451">
        <v>0</v>
      </c>
      <c r="P295" s="450">
        <v>0</v>
      </c>
    </row>
    <row r="296" spans="4:19" x14ac:dyDescent="0.25">
      <c r="F296" s="99" t="s">
        <v>1003</v>
      </c>
      <c r="G296" s="196"/>
      <c r="H296" s="196" t="s">
        <v>147</v>
      </c>
      <c r="I296" s="196"/>
      <c r="J296" s="450">
        <v>3.5750000000000002</v>
      </c>
      <c r="K296" s="450">
        <v>0.46600000000000003</v>
      </c>
      <c r="L296" s="450">
        <v>2.3E-2</v>
      </c>
      <c r="M296" s="451">
        <v>3.77</v>
      </c>
      <c r="N296" s="451">
        <v>0</v>
      </c>
      <c r="O296" s="451">
        <v>0</v>
      </c>
      <c r="P296" s="450">
        <v>0</v>
      </c>
    </row>
    <row r="297" spans="4:19" x14ac:dyDescent="0.25">
      <c r="F297" s="99" t="s">
        <v>1004</v>
      </c>
      <c r="G297" s="196"/>
      <c r="H297" s="196" t="s">
        <v>147</v>
      </c>
      <c r="I297" s="196"/>
      <c r="J297" s="450">
        <v>3.5750000000000002</v>
      </c>
      <c r="K297" s="450">
        <v>0.46600000000000003</v>
      </c>
      <c r="L297" s="450">
        <v>2.3E-2</v>
      </c>
      <c r="M297" s="451">
        <v>5.93</v>
      </c>
      <c r="N297" s="451">
        <v>0</v>
      </c>
      <c r="O297" s="451">
        <v>0</v>
      </c>
      <c r="P297" s="450">
        <v>0</v>
      </c>
    </row>
    <row r="298" spans="4:19" x14ac:dyDescent="0.25">
      <c r="F298" s="99" t="s">
        <v>1005</v>
      </c>
      <c r="G298" s="196"/>
      <c r="H298" s="196" t="s">
        <v>147</v>
      </c>
      <c r="I298" s="196"/>
      <c r="J298" s="450">
        <v>3.5750000000000002</v>
      </c>
      <c r="K298" s="450">
        <v>0.46600000000000003</v>
      </c>
      <c r="L298" s="450">
        <v>2.3E-2</v>
      </c>
      <c r="M298" s="451">
        <v>10.86</v>
      </c>
      <c r="N298" s="451">
        <v>0</v>
      </c>
      <c r="O298" s="451">
        <v>0</v>
      </c>
      <c r="P298" s="450">
        <v>0</v>
      </c>
    </row>
    <row r="299" spans="4:19" x14ac:dyDescent="0.25">
      <c r="F299" s="99" t="s">
        <v>1006</v>
      </c>
      <c r="G299" s="196"/>
      <c r="H299" s="196" t="s">
        <v>147</v>
      </c>
      <c r="I299" s="196"/>
      <c r="J299" s="450">
        <v>3.5750000000000002</v>
      </c>
      <c r="K299" s="450">
        <v>0.46600000000000003</v>
      </c>
      <c r="L299" s="450">
        <v>2.3E-2</v>
      </c>
      <c r="M299" s="451">
        <v>19.850000000000001</v>
      </c>
      <c r="N299" s="451">
        <v>0</v>
      </c>
      <c r="O299" s="451">
        <v>0</v>
      </c>
      <c r="P299" s="450">
        <v>0</v>
      </c>
    </row>
    <row r="300" spans="4:19" x14ac:dyDescent="0.25">
      <c r="F300" s="99" t="s">
        <v>1007</v>
      </c>
      <c r="G300" s="196"/>
      <c r="H300" s="196" t="s">
        <v>147</v>
      </c>
      <c r="I300" s="196"/>
      <c r="J300" s="450">
        <v>3.5750000000000002</v>
      </c>
      <c r="K300" s="450">
        <v>0.46600000000000003</v>
      </c>
      <c r="L300" s="450">
        <v>2.3E-2</v>
      </c>
      <c r="M300" s="451">
        <v>47.52</v>
      </c>
      <c r="N300" s="451">
        <v>0</v>
      </c>
      <c r="O300" s="451">
        <v>0</v>
      </c>
      <c r="P300" s="450">
        <v>0</v>
      </c>
    </row>
    <row r="301" spans="4:19" s="293" customFormat="1" x14ac:dyDescent="0.25">
      <c r="D301" s="98"/>
      <c r="E301" s="98"/>
      <c r="F301" s="99" t="s">
        <v>929</v>
      </c>
      <c r="G301" s="196"/>
      <c r="H301" s="196" t="s">
        <v>147</v>
      </c>
      <c r="I301" s="196"/>
      <c r="J301" s="450">
        <v>3.5750000000000002</v>
      </c>
      <c r="K301" s="450">
        <v>0.46600000000000003</v>
      </c>
      <c r="L301" s="450">
        <v>2.3E-2</v>
      </c>
      <c r="M301" s="451">
        <v>0</v>
      </c>
      <c r="N301" s="451">
        <v>0</v>
      </c>
      <c r="O301" s="451">
        <v>0</v>
      </c>
      <c r="P301" s="450">
        <v>0</v>
      </c>
    </row>
    <row r="302" spans="4:19" s="293" customFormat="1" x14ac:dyDescent="0.25">
      <c r="D302" s="98"/>
      <c r="E302" s="98"/>
      <c r="F302" s="99" t="s">
        <v>1008</v>
      </c>
      <c r="G302" s="196"/>
      <c r="H302" s="196" t="s">
        <v>147</v>
      </c>
      <c r="I302" s="196"/>
      <c r="J302" s="450">
        <v>2.835</v>
      </c>
      <c r="K302" s="450">
        <v>0.31900000000000001</v>
      </c>
      <c r="L302" s="450">
        <v>1.4999999999999999E-2</v>
      </c>
      <c r="M302" s="451">
        <v>8.27</v>
      </c>
      <c r="N302" s="451">
        <v>1.72</v>
      </c>
      <c r="O302" s="451">
        <v>3.16</v>
      </c>
      <c r="P302" s="450">
        <v>0.104</v>
      </c>
    </row>
    <row r="303" spans="4:19" s="293" customFormat="1" x14ac:dyDescent="0.25">
      <c r="D303" s="98"/>
      <c r="E303" s="98"/>
      <c r="F303" s="99" t="s">
        <v>1009</v>
      </c>
      <c r="G303" s="196"/>
      <c r="H303" s="196" t="s">
        <v>147</v>
      </c>
      <c r="I303" s="196"/>
      <c r="J303" s="450">
        <v>2.835</v>
      </c>
      <c r="K303" s="450">
        <v>0.31900000000000001</v>
      </c>
      <c r="L303" s="450">
        <v>1.4999999999999999E-2</v>
      </c>
      <c r="M303" s="451">
        <v>82.33</v>
      </c>
      <c r="N303" s="451">
        <v>1.72</v>
      </c>
      <c r="O303" s="451">
        <v>3.16</v>
      </c>
      <c r="P303" s="450">
        <v>0.104</v>
      </c>
    </row>
    <row r="304" spans="4:19" x14ac:dyDescent="0.25">
      <c r="F304" s="99" t="s">
        <v>1010</v>
      </c>
      <c r="G304" s="196"/>
      <c r="H304" s="196" t="s">
        <v>147</v>
      </c>
      <c r="I304" s="196"/>
      <c r="J304" s="450">
        <v>2.835</v>
      </c>
      <c r="K304" s="450">
        <v>0.31900000000000001</v>
      </c>
      <c r="L304" s="450">
        <v>1.4999999999999999E-2</v>
      </c>
      <c r="M304" s="451">
        <v>146.04</v>
      </c>
      <c r="N304" s="451">
        <v>1.72</v>
      </c>
      <c r="O304" s="451">
        <v>3.16</v>
      </c>
      <c r="P304" s="450">
        <v>0.104</v>
      </c>
    </row>
    <row r="305" spans="4:16" x14ac:dyDescent="0.25">
      <c r="F305" s="99" t="s">
        <v>1011</v>
      </c>
      <c r="G305" s="196"/>
      <c r="H305" s="196" t="s">
        <v>147</v>
      </c>
      <c r="I305" s="196"/>
      <c r="J305" s="450">
        <v>2.835</v>
      </c>
      <c r="K305" s="450">
        <v>0.31900000000000001</v>
      </c>
      <c r="L305" s="450">
        <v>1.4999999999999999E-2</v>
      </c>
      <c r="M305" s="451">
        <v>221.55</v>
      </c>
      <c r="N305" s="451">
        <v>1.72</v>
      </c>
      <c r="O305" s="451">
        <v>3.16</v>
      </c>
      <c r="P305" s="450">
        <v>0.104</v>
      </c>
    </row>
    <row r="306" spans="4:16" x14ac:dyDescent="0.25">
      <c r="F306" s="99" t="s">
        <v>1012</v>
      </c>
      <c r="G306" s="196"/>
      <c r="H306" s="196" t="s">
        <v>147</v>
      </c>
      <c r="I306" s="196"/>
      <c r="J306" s="450">
        <v>2.835</v>
      </c>
      <c r="K306" s="450">
        <v>0.31900000000000001</v>
      </c>
      <c r="L306" s="450">
        <v>1.4999999999999999E-2</v>
      </c>
      <c r="M306" s="451">
        <v>555.70000000000005</v>
      </c>
      <c r="N306" s="451">
        <v>1.72</v>
      </c>
      <c r="O306" s="451">
        <v>3.16</v>
      </c>
      <c r="P306" s="450">
        <v>0.104</v>
      </c>
    </row>
    <row r="307" spans="4:16" x14ac:dyDescent="0.25">
      <c r="F307" s="99" t="s">
        <v>1013</v>
      </c>
      <c r="G307" s="196"/>
      <c r="H307" s="196" t="s">
        <v>147</v>
      </c>
      <c r="I307" s="196"/>
      <c r="J307" s="450">
        <v>2.8940000000000001</v>
      </c>
      <c r="K307" s="450">
        <v>0.222</v>
      </c>
      <c r="L307" s="450">
        <v>8.9999999999999993E-3</v>
      </c>
      <c r="M307" s="451">
        <v>30.98</v>
      </c>
      <c r="N307" s="451">
        <v>3.73</v>
      </c>
      <c r="O307" s="451">
        <v>4.8499999999999996</v>
      </c>
      <c r="P307" s="450">
        <v>9.2999999999999999E-2</v>
      </c>
    </row>
    <row r="308" spans="4:16" x14ac:dyDescent="0.25">
      <c r="F308" s="99" t="s">
        <v>1014</v>
      </c>
      <c r="G308" s="196"/>
      <c r="H308" s="196" t="s">
        <v>147</v>
      </c>
      <c r="I308" s="196"/>
      <c r="J308" s="450">
        <v>2.8940000000000001</v>
      </c>
      <c r="K308" s="450">
        <v>0.222</v>
      </c>
      <c r="L308" s="450">
        <v>8.9999999999999993E-3</v>
      </c>
      <c r="M308" s="451">
        <v>149.30000000000001</v>
      </c>
      <c r="N308" s="451">
        <v>3.73</v>
      </c>
      <c r="O308" s="451">
        <v>4.8499999999999996</v>
      </c>
      <c r="P308" s="450">
        <v>9.2999999999999999E-2</v>
      </c>
    </row>
    <row r="309" spans="4:16" s="293" customFormat="1" x14ac:dyDescent="0.25">
      <c r="D309" s="98"/>
      <c r="E309" s="98"/>
      <c r="F309" s="99" t="s">
        <v>1015</v>
      </c>
      <c r="G309" s="196"/>
      <c r="H309" s="196" t="s">
        <v>147</v>
      </c>
      <c r="I309" s="196"/>
      <c r="J309" s="450">
        <v>2.8940000000000001</v>
      </c>
      <c r="K309" s="450">
        <v>0.222</v>
      </c>
      <c r="L309" s="450">
        <v>8.9999999999999993E-3</v>
      </c>
      <c r="M309" s="451">
        <v>251.09</v>
      </c>
      <c r="N309" s="451">
        <v>3.73</v>
      </c>
      <c r="O309" s="451">
        <v>4.8499999999999996</v>
      </c>
      <c r="P309" s="450">
        <v>9.2999999999999999E-2</v>
      </c>
    </row>
    <row r="310" spans="4:16" s="293" customFormat="1" x14ac:dyDescent="0.25">
      <c r="D310" s="98"/>
      <c r="E310" s="98"/>
      <c r="F310" s="99" t="s">
        <v>1016</v>
      </c>
      <c r="G310" s="196"/>
      <c r="H310" s="196" t="s">
        <v>147</v>
      </c>
      <c r="I310" s="196"/>
      <c r="J310" s="450">
        <v>2.8940000000000001</v>
      </c>
      <c r="K310" s="450">
        <v>0.222</v>
      </c>
      <c r="L310" s="450">
        <v>8.9999999999999993E-3</v>
      </c>
      <c r="M310" s="451">
        <v>371.73</v>
      </c>
      <c r="N310" s="451">
        <v>3.73</v>
      </c>
      <c r="O310" s="451">
        <v>4.8499999999999996</v>
      </c>
      <c r="P310" s="450">
        <v>9.2999999999999999E-2</v>
      </c>
    </row>
    <row r="311" spans="4:16" s="293" customFormat="1" x14ac:dyDescent="0.25">
      <c r="D311" s="98"/>
      <c r="E311" s="98"/>
      <c r="F311" s="99" t="s">
        <v>1017</v>
      </c>
      <c r="G311" s="196"/>
      <c r="H311" s="196" t="s">
        <v>147</v>
      </c>
      <c r="I311" s="196"/>
      <c r="J311" s="450">
        <v>2.8940000000000001</v>
      </c>
      <c r="K311" s="450">
        <v>0.222</v>
      </c>
      <c r="L311" s="450">
        <v>8.9999999999999993E-3</v>
      </c>
      <c r="M311" s="451">
        <v>905.59</v>
      </c>
      <c r="N311" s="451">
        <v>3.73</v>
      </c>
      <c r="O311" s="451">
        <v>4.8499999999999996</v>
      </c>
      <c r="P311" s="450">
        <v>9.2999999999999999E-2</v>
      </c>
    </row>
    <row r="312" spans="4:16" s="293" customFormat="1" x14ac:dyDescent="0.25">
      <c r="D312" s="98"/>
      <c r="E312" s="98"/>
      <c r="F312" s="99" t="s">
        <v>1018</v>
      </c>
      <c r="G312" s="196"/>
      <c r="H312" s="196" t="s">
        <v>147</v>
      </c>
      <c r="I312" s="196"/>
      <c r="J312" s="450">
        <v>2.7469999999999999</v>
      </c>
      <c r="K312" s="450">
        <v>0.187</v>
      </c>
      <c r="L312" s="450">
        <v>8.0000000000000002E-3</v>
      </c>
      <c r="M312" s="451">
        <v>154.16999999999999</v>
      </c>
      <c r="N312" s="451">
        <v>5.09</v>
      </c>
      <c r="O312" s="451">
        <v>6.13</v>
      </c>
      <c r="P312" s="450">
        <v>8.1000000000000003E-2</v>
      </c>
    </row>
    <row r="313" spans="4:16" s="293" customFormat="1" x14ac:dyDescent="0.25">
      <c r="D313" s="98"/>
      <c r="E313" s="98"/>
      <c r="F313" s="99" t="s">
        <v>1019</v>
      </c>
      <c r="G313" s="196"/>
      <c r="H313" s="196" t="s">
        <v>147</v>
      </c>
      <c r="I313" s="196"/>
      <c r="J313" s="450">
        <v>2.7469999999999999</v>
      </c>
      <c r="K313" s="450">
        <v>0.187</v>
      </c>
      <c r="L313" s="450">
        <v>8.0000000000000002E-3</v>
      </c>
      <c r="M313" s="451">
        <v>1071.52</v>
      </c>
      <c r="N313" s="451">
        <v>5.09</v>
      </c>
      <c r="O313" s="451">
        <v>6.13</v>
      </c>
      <c r="P313" s="450">
        <v>8.1000000000000003E-2</v>
      </c>
    </row>
    <row r="314" spans="4:16" s="293" customFormat="1" x14ac:dyDescent="0.25">
      <c r="D314" s="98"/>
      <c r="E314" s="98"/>
      <c r="F314" s="99" t="s">
        <v>1020</v>
      </c>
      <c r="G314" s="196"/>
      <c r="H314" s="196" t="s">
        <v>147</v>
      </c>
      <c r="I314" s="196"/>
      <c r="J314" s="450">
        <v>2.7469999999999999</v>
      </c>
      <c r="K314" s="450">
        <v>0.187</v>
      </c>
      <c r="L314" s="450">
        <v>8.0000000000000002E-3</v>
      </c>
      <c r="M314" s="451">
        <v>2830.66</v>
      </c>
      <c r="N314" s="451">
        <v>5.09</v>
      </c>
      <c r="O314" s="451">
        <v>6.13</v>
      </c>
      <c r="P314" s="450">
        <v>8.1000000000000003E-2</v>
      </c>
    </row>
    <row r="315" spans="4:16" s="293" customFormat="1" x14ac:dyDescent="0.25">
      <c r="D315" s="98"/>
      <c r="E315" s="98"/>
      <c r="F315" s="99" t="s">
        <v>1021</v>
      </c>
      <c r="G315" s="196"/>
      <c r="H315" s="196" t="s">
        <v>147</v>
      </c>
      <c r="I315" s="196"/>
      <c r="J315" s="450">
        <v>2.7469999999999999</v>
      </c>
      <c r="K315" s="450">
        <v>0.187</v>
      </c>
      <c r="L315" s="450">
        <v>8.0000000000000002E-3</v>
      </c>
      <c r="M315" s="451">
        <v>5066.78</v>
      </c>
      <c r="N315" s="451">
        <v>5.09</v>
      </c>
      <c r="O315" s="451">
        <v>6.13</v>
      </c>
      <c r="P315" s="450">
        <v>8.1000000000000003E-2</v>
      </c>
    </row>
    <row r="316" spans="4:16" s="293" customFormat="1" x14ac:dyDescent="0.25">
      <c r="D316" s="98"/>
      <c r="E316" s="98"/>
      <c r="F316" s="99" t="s">
        <v>1022</v>
      </c>
      <c r="G316" s="196"/>
      <c r="H316" s="196" t="s">
        <v>147</v>
      </c>
      <c r="I316" s="196"/>
      <c r="J316" s="450">
        <v>2.7469999999999999</v>
      </c>
      <c r="K316" s="450">
        <v>0.187</v>
      </c>
      <c r="L316" s="450">
        <v>8.0000000000000002E-3</v>
      </c>
      <c r="M316" s="451">
        <v>13060.23</v>
      </c>
      <c r="N316" s="451">
        <v>5.09</v>
      </c>
      <c r="O316" s="451">
        <v>6.13</v>
      </c>
      <c r="P316" s="450">
        <v>8.1000000000000003E-2</v>
      </c>
    </row>
    <row r="317" spans="4:16" s="293" customFormat="1" x14ac:dyDescent="0.25">
      <c r="D317" s="98"/>
      <c r="E317" s="98"/>
      <c r="F317" s="99" t="s">
        <v>933</v>
      </c>
      <c r="G317" s="196"/>
      <c r="H317" s="196" t="s">
        <v>147</v>
      </c>
      <c r="I317" s="196"/>
      <c r="J317" s="450">
        <v>9.4339999999999993</v>
      </c>
      <c r="K317" s="450">
        <v>1.8169999999999999</v>
      </c>
      <c r="L317" s="450">
        <v>1.421</v>
      </c>
      <c r="M317" s="451">
        <v>0</v>
      </c>
      <c r="N317" s="451">
        <v>0</v>
      </c>
      <c r="O317" s="451">
        <v>0</v>
      </c>
      <c r="P317" s="450">
        <v>0</v>
      </c>
    </row>
    <row r="318" spans="4:16" s="293" customFormat="1" x14ac:dyDescent="0.25">
      <c r="D318" s="98"/>
      <c r="E318" s="98"/>
      <c r="F318" s="99" t="s">
        <v>934</v>
      </c>
      <c r="G318" s="196"/>
      <c r="H318" s="196" t="s">
        <v>147</v>
      </c>
      <c r="I318" s="196"/>
      <c r="J318" s="450">
        <v>-5.915</v>
      </c>
      <c r="K318" s="450">
        <v>-0.77200000000000002</v>
      </c>
      <c r="L318" s="450">
        <v>-3.6999999999999998E-2</v>
      </c>
      <c r="M318" s="451">
        <v>0</v>
      </c>
      <c r="N318" s="451">
        <v>0</v>
      </c>
      <c r="O318" s="451">
        <v>0</v>
      </c>
      <c r="P318" s="450">
        <v>0</v>
      </c>
    </row>
    <row r="319" spans="4:16" s="293" customFormat="1" x14ac:dyDescent="0.25">
      <c r="D319" s="98"/>
      <c r="E319" s="98"/>
      <c r="F319" s="99" t="s">
        <v>935</v>
      </c>
      <c r="G319" s="196"/>
      <c r="H319" s="196" t="s">
        <v>147</v>
      </c>
      <c r="I319" s="196"/>
      <c r="J319" s="450">
        <v>-5.2839999999999998</v>
      </c>
      <c r="K319" s="450">
        <v>-0.63100000000000001</v>
      </c>
      <c r="L319" s="450">
        <v>-0.03</v>
      </c>
      <c r="M319" s="451">
        <v>0</v>
      </c>
      <c r="N319" s="451">
        <v>0</v>
      </c>
      <c r="O319" s="451">
        <v>0</v>
      </c>
      <c r="P319" s="450">
        <v>0</v>
      </c>
    </row>
    <row r="320" spans="4:16" s="293" customFormat="1" x14ac:dyDescent="0.25">
      <c r="D320" s="98"/>
      <c r="E320" s="98"/>
      <c r="F320" s="99" t="s">
        <v>936</v>
      </c>
      <c r="G320" s="196"/>
      <c r="H320" s="196" t="s">
        <v>147</v>
      </c>
      <c r="I320" s="196"/>
      <c r="J320" s="450">
        <v>-5.915</v>
      </c>
      <c r="K320" s="450">
        <v>-0.77200000000000002</v>
      </c>
      <c r="L320" s="450">
        <v>-3.6999999999999998E-2</v>
      </c>
      <c r="M320" s="451">
        <v>0</v>
      </c>
      <c r="N320" s="451">
        <v>0</v>
      </c>
      <c r="O320" s="451">
        <v>0</v>
      </c>
      <c r="P320" s="450">
        <v>0.23300000000000001</v>
      </c>
    </row>
    <row r="321" spans="3:19" s="293" customFormat="1" x14ac:dyDescent="0.25">
      <c r="D321" s="98"/>
      <c r="E321" s="98"/>
      <c r="F321" s="99" t="s">
        <v>937</v>
      </c>
      <c r="G321" s="196"/>
      <c r="H321" s="196" t="s">
        <v>147</v>
      </c>
      <c r="I321" s="196"/>
      <c r="J321" s="452">
        <v>0</v>
      </c>
      <c r="K321" s="452">
        <v>0</v>
      </c>
      <c r="L321" s="452">
        <v>0</v>
      </c>
      <c r="M321" s="453">
        <v>0</v>
      </c>
      <c r="N321" s="453">
        <v>0</v>
      </c>
      <c r="O321" s="453">
        <v>0</v>
      </c>
      <c r="P321" s="452">
        <v>0</v>
      </c>
    </row>
    <row r="322" spans="3:19" x14ac:dyDescent="0.25">
      <c r="F322" s="99" t="s">
        <v>938</v>
      </c>
      <c r="G322" s="196"/>
      <c r="H322" s="196" t="s">
        <v>147</v>
      </c>
      <c r="I322" s="196"/>
      <c r="J322" s="450">
        <v>-5.2839999999999998</v>
      </c>
      <c r="K322" s="450">
        <v>-0.63100000000000001</v>
      </c>
      <c r="L322" s="450">
        <v>-0.03</v>
      </c>
      <c r="M322" s="451">
        <v>0</v>
      </c>
      <c r="N322" s="451">
        <v>0</v>
      </c>
      <c r="O322" s="451">
        <v>0</v>
      </c>
      <c r="P322" s="450">
        <v>0.19500000000000001</v>
      </c>
    </row>
    <row r="323" spans="3:19" x14ac:dyDescent="0.25">
      <c r="F323" s="99" t="s">
        <v>939</v>
      </c>
      <c r="G323" s="196"/>
      <c r="H323" s="196" t="s">
        <v>147</v>
      </c>
      <c r="I323" s="196"/>
      <c r="J323" s="452">
        <v>0</v>
      </c>
      <c r="K323" s="452">
        <v>0</v>
      </c>
      <c r="L323" s="452">
        <v>0</v>
      </c>
      <c r="M323" s="453">
        <v>0</v>
      </c>
      <c r="N323" s="453">
        <v>0</v>
      </c>
      <c r="O323" s="453">
        <v>0</v>
      </c>
      <c r="P323" s="452">
        <v>0</v>
      </c>
    </row>
    <row r="324" spans="3:19" x14ac:dyDescent="0.25">
      <c r="F324" s="99" t="s">
        <v>940</v>
      </c>
      <c r="G324" s="196"/>
      <c r="H324" s="196" t="s">
        <v>147</v>
      </c>
      <c r="I324" s="196"/>
      <c r="J324" s="450">
        <v>-4.08</v>
      </c>
      <c r="K324" s="450">
        <v>-0.312</v>
      </c>
      <c r="L324" s="450">
        <v>-1.2999999999999999E-2</v>
      </c>
      <c r="M324" s="451">
        <v>0</v>
      </c>
      <c r="N324" s="451">
        <v>0</v>
      </c>
      <c r="O324" s="451">
        <v>0</v>
      </c>
      <c r="P324" s="450">
        <v>0.16900000000000001</v>
      </c>
    </row>
    <row r="325" spans="3:19" x14ac:dyDescent="0.25">
      <c r="F325" s="100" t="s">
        <v>941</v>
      </c>
      <c r="G325" s="93"/>
      <c r="H325" s="93" t="s">
        <v>147</v>
      </c>
      <c r="I325" s="93"/>
      <c r="J325" s="438">
        <v>0</v>
      </c>
      <c r="K325" s="438">
        <v>0</v>
      </c>
      <c r="L325" s="438">
        <v>0</v>
      </c>
      <c r="M325" s="344">
        <v>0</v>
      </c>
      <c r="N325" s="344">
        <v>0</v>
      </c>
      <c r="O325" s="344">
        <v>0</v>
      </c>
      <c r="P325" s="438">
        <v>0</v>
      </c>
    </row>
    <row r="326" spans="3:19" x14ac:dyDescent="0.25">
      <c r="D326" s="195"/>
      <c r="E326" s="195"/>
      <c r="F326" s="195"/>
      <c r="G326" s="195"/>
      <c r="H326" s="195"/>
      <c r="I326" s="195"/>
      <c r="J326" s="349"/>
      <c r="K326" s="349"/>
      <c r="L326" s="349"/>
      <c r="M326" s="214"/>
      <c r="N326" s="214"/>
      <c r="O326" s="214"/>
      <c r="P326" s="349"/>
      <c r="Q326" s="195"/>
      <c r="R326" s="195"/>
      <c r="S326" s="195"/>
    </row>
    <row r="327" spans="3:19" s="195" customFormat="1" x14ac:dyDescent="0.25">
      <c r="C327" s="7" t="str">
        <f ca="1">INDEX('Version control'!$H$35:$H$61,MATCH($A$1,'Version control'!$F$35:$F$61,0),1)&amp;"-D: Tariff results for charging year " &amp; 'ARP_User control'!G33</f>
        <v>Output 501-D: Tariff results for charging year 2025/26</v>
      </c>
      <c r="D327" s="7"/>
      <c r="E327" s="7"/>
      <c r="F327" s="7"/>
      <c r="G327" s="7"/>
      <c r="H327" s="7"/>
      <c r="I327" s="7"/>
      <c r="J327" s="440"/>
      <c r="K327" s="440"/>
      <c r="L327" s="440"/>
      <c r="M327" s="7"/>
      <c r="N327" s="7"/>
      <c r="O327" s="7"/>
      <c r="P327" s="440"/>
      <c r="Q327" s="7"/>
      <c r="R327" s="7"/>
    </row>
    <row r="328" spans="3:19" x14ac:dyDescent="0.25">
      <c r="D328" s="85"/>
      <c r="E328" s="195"/>
      <c r="F328" s="195"/>
      <c r="J328" s="441"/>
      <c r="K328" s="441"/>
      <c r="L328" s="441"/>
      <c r="M328" s="213"/>
      <c r="N328" s="213"/>
      <c r="O328" s="213"/>
      <c r="P328" s="441"/>
    </row>
    <row r="329" spans="3:19" x14ac:dyDescent="0.25">
      <c r="D329" s="96"/>
      <c r="E329" s="96" t="str">
        <f>"All the way tariff forecast "&amp; 'ARP_User control'!G33</f>
        <v>All the way tariff forecast 2025/26</v>
      </c>
      <c r="F329" s="195"/>
      <c r="J329" s="441"/>
      <c r="K329" s="441"/>
      <c r="L329" s="441"/>
      <c r="M329" s="213"/>
      <c r="N329" s="213"/>
      <c r="O329" s="213"/>
      <c r="P329" s="441"/>
    </row>
    <row r="330" spans="3:19" x14ac:dyDescent="0.25">
      <c r="F330" s="103" t="s">
        <v>1002</v>
      </c>
      <c r="G330" s="91"/>
      <c r="H330" s="91" t="s">
        <v>261</v>
      </c>
      <c r="I330" s="91"/>
      <c r="J330" s="435">
        <v>8.7680000000000007</v>
      </c>
      <c r="K330" s="435">
        <v>1.1439999999999999</v>
      </c>
      <c r="L330" s="435">
        <v>5.5E-2</v>
      </c>
      <c r="M330" s="340">
        <v>13.41</v>
      </c>
      <c r="N330" s="340">
        <v>0</v>
      </c>
      <c r="O330" s="340">
        <v>0</v>
      </c>
      <c r="P330" s="435">
        <v>0</v>
      </c>
    </row>
    <row r="331" spans="3:19" x14ac:dyDescent="0.25">
      <c r="F331" s="99" t="s">
        <v>927</v>
      </c>
      <c r="G331" s="196"/>
      <c r="H331" s="196" t="s">
        <v>261</v>
      </c>
      <c r="I331" s="196"/>
      <c r="J331" s="450">
        <v>8.7680000000000007</v>
      </c>
      <c r="K331" s="450">
        <v>1.1439999999999999</v>
      </c>
      <c r="L331" s="450">
        <v>5.5E-2</v>
      </c>
      <c r="M331" s="451">
        <v>0</v>
      </c>
      <c r="N331" s="451">
        <v>0</v>
      </c>
      <c r="O331" s="451">
        <v>0</v>
      </c>
      <c r="P331" s="450">
        <v>0</v>
      </c>
    </row>
    <row r="332" spans="3:19" x14ac:dyDescent="0.25">
      <c r="F332" s="99" t="s">
        <v>1003</v>
      </c>
      <c r="G332" s="196"/>
      <c r="H332" s="196" t="s">
        <v>261</v>
      </c>
      <c r="I332" s="196"/>
      <c r="J332" s="450">
        <v>7.6929999999999996</v>
      </c>
      <c r="K332" s="450">
        <v>1.004</v>
      </c>
      <c r="L332" s="450">
        <v>4.9000000000000002E-2</v>
      </c>
      <c r="M332" s="451">
        <v>8.1300000000000008</v>
      </c>
      <c r="N332" s="451">
        <v>0</v>
      </c>
      <c r="O332" s="451">
        <v>0</v>
      </c>
      <c r="P332" s="450">
        <v>0</v>
      </c>
    </row>
    <row r="333" spans="3:19" x14ac:dyDescent="0.25">
      <c r="F333" s="99" t="s">
        <v>1004</v>
      </c>
      <c r="G333" s="196"/>
      <c r="H333" s="196" t="s">
        <v>261</v>
      </c>
      <c r="I333" s="196"/>
      <c r="J333" s="450">
        <v>7.6929999999999996</v>
      </c>
      <c r="K333" s="450">
        <v>1.004</v>
      </c>
      <c r="L333" s="450">
        <v>4.9000000000000002E-2</v>
      </c>
      <c r="M333" s="451">
        <v>13.15</v>
      </c>
      <c r="N333" s="451">
        <v>0</v>
      </c>
      <c r="O333" s="451">
        <v>0</v>
      </c>
      <c r="P333" s="450">
        <v>0</v>
      </c>
    </row>
    <row r="334" spans="3:19" x14ac:dyDescent="0.25">
      <c r="F334" s="99" t="s">
        <v>1005</v>
      </c>
      <c r="G334" s="196"/>
      <c r="H334" s="196" t="s">
        <v>261</v>
      </c>
      <c r="I334" s="196"/>
      <c r="J334" s="450">
        <v>7.6929999999999996</v>
      </c>
      <c r="K334" s="450">
        <v>1.004</v>
      </c>
      <c r="L334" s="450">
        <v>4.9000000000000002E-2</v>
      </c>
      <c r="M334" s="451">
        <v>24.63</v>
      </c>
      <c r="N334" s="451">
        <v>0</v>
      </c>
      <c r="O334" s="451">
        <v>0</v>
      </c>
      <c r="P334" s="450">
        <v>0</v>
      </c>
    </row>
    <row r="335" spans="3:19" x14ac:dyDescent="0.25">
      <c r="F335" s="99" t="s">
        <v>1006</v>
      </c>
      <c r="G335" s="196"/>
      <c r="H335" s="196" t="s">
        <v>261</v>
      </c>
      <c r="I335" s="196"/>
      <c r="J335" s="450">
        <v>7.6929999999999996</v>
      </c>
      <c r="K335" s="450">
        <v>1.004</v>
      </c>
      <c r="L335" s="450">
        <v>4.9000000000000002E-2</v>
      </c>
      <c r="M335" s="451">
        <v>45.52</v>
      </c>
      <c r="N335" s="451">
        <v>0</v>
      </c>
      <c r="O335" s="451">
        <v>0</v>
      </c>
      <c r="P335" s="450">
        <v>0</v>
      </c>
    </row>
    <row r="336" spans="3:19" x14ac:dyDescent="0.25">
      <c r="F336" s="99" t="s">
        <v>1007</v>
      </c>
      <c r="G336" s="196"/>
      <c r="H336" s="196" t="s">
        <v>261</v>
      </c>
      <c r="I336" s="196"/>
      <c r="J336" s="450">
        <v>7.6929999999999996</v>
      </c>
      <c r="K336" s="450">
        <v>1.004</v>
      </c>
      <c r="L336" s="450">
        <v>4.9000000000000002E-2</v>
      </c>
      <c r="M336" s="451">
        <v>109.87</v>
      </c>
      <c r="N336" s="451">
        <v>0</v>
      </c>
      <c r="O336" s="451">
        <v>0</v>
      </c>
      <c r="P336" s="450">
        <v>0</v>
      </c>
    </row>
    <row r="337" spans="4:16" s="293" customFormat="1" x14ac:dyDescent="0.25">
      <c r="D337" s="98"/>
      <c r="E337" s="98"/>
      <c r="F337" s="99" t="s">
        <v>929</v>
      </c>
      <c r="G337" s="196"/>
      <c r="H337" s="196" t="s">
        <v>261</v>
      </c>
      <c r="I337" s="196"/>
      <c r="J337" s="450">
        <v>7.6929999999999996</v>
      </c>
      <c r="K337" s="450">
        <v>1.004</v>
      </c>
      <c r="L337" s="450">
        <v>4.9000000000000002E-2</v>
      </c>
      <c r="M337" s="451">
        <v>0</v>
      </c>
      <c r="N337" s="451">
        <v>0</v>
      </c>
      <c r="O337" s="451">
        <v>0</v>
      </c>
      <c r="P337" s="450">
        <v>0</v>
      </c>
    </row>
    <row r="338" spans="4:16" s="293" customFormat="1" x14ac:dyDescent="0.25">
      <c r="D338" s="98"/>
      <c r="E338" s="98"/>
      <c r="F338" s="99" t="s">
        <v>1008</v>
      </c>
      <c r="G338" s="196"/>
      <c r="H338" s="196" t="s">
        <v>261</v>
      </c>
      <c r="I338" s="196"/>
      <c r="J338" s="450">
        <v>6.2690000000000001</v>
      </c>
      <c r="K338" s="450">
        <v>0.70399999999999996</v>
      </c>
      <c r="L338" s="450">
        <v>3.3000000000000002E-2</v>
      </c>
      <c r="M338" s="451">
        <v>17.95</v>
      </c>
      <c r="N338" s="451">
        <v>3.71</v>
      </c>
      <c r="O338" s="451">
        <v>6.78</v>
      </c>
      <c r="P338" s="450">
        <v>0.22600000000000001</v>
      </c>
    </row>
    <row r="339" spans="4:16" s="293" customFormat="1" x14ac:dyDescent="0.25">
      <c r="D339" s="98"/>
      <c r="E339" s="98"/>
      <c r="F339" s="99" t="s">
        <v>1009</v>
      </c>
      <c r="G339" s="196"/>
      <c r="H339" s="196" t="s">
        <v>261</v>
      </c>
      <c r="I339" s="196"/>
      <c r="J339" s="450">
        <v>6.2690000000000001</v>
      </c>
      <c r="K339" s="450">
        <v>0.70399999999999996</v>
      </c>
      <c r="L339" s="450">
        <v>3.3000000000000002E-2</v>
      </c>
      <c r="M339" s="451">
        <v>188.17</v>
      </c>
      <c r="N339" s="451">
        <v>3.71</v>
      </c>
      <c r="O339" s="451">
        <v>6.78</v>
      </c>
      <c r="P339" s="450">
        <v>0.22600000000000001</v>
      </c>
    </row>
    <row r="340" spans="4:16" x14ac:dyDescent="0.25">
      <c r="F340" s="99" t="s">
        <v>1010</v>
      </c>
      <c r="G340" s="196"/>
      <c r="H340" s="196" t="s">
        <v>261</v>
      </c>
      <c r="I340" s="196"/>
      <c r="J340" s="450">
        <v>6.2690000000000001</v>
      </c>
      <c r="K340" s="450">
        <v>0.70399999999999996</v>
      </c>
      <c r="L340" s="450">
        <v>3.3000000000000002E-2</v>
      </c>
      <c r="M340" s="451">
        <v>334.86</v>
      </c>
      <c r="N340" s="451">
        <v>3.71</v>
      </c>
      <c r="O340" s="451">
        <v>6.78</v>
      </c>
      <c r="P340" s="450">
        <v>0.22600000000000001</v>
      </c>
    </row>
    <row r="341" spans="4:16" x14ac:dyDescent="0.25">
      <c r="F341" s="99" t="s">
        <v>1011</v>
      </c>
      <c r="G341" s="196"/>
      <c r="H341" s="196" t="s">
        <v>261</v>
      </c>
      <c r="I341" s="196"/>
      <c r="J341" s="450">
        <v>6.2690000000000001</v>
      </c>
      <c r="K341" s="450">
        <v>0.70399999999999996</v>
      </c>
      <c r="L341" s="450">
        <v>3.3000000000000002E-2</v>
      </c>
      <c r="M341" s="451">
        <v>508.7</v>
      </c>
      <c r="N341" s="451">
        <v>3.71</v>
      </c>
      <c r="O341" s="451">
        <v>6.78</v>
      </c>
      <c r="P341" s="450">
        <v>0.22600000000000001</v>
      </c>
    </row>
    <row r="342" spans="4:16" x14ac:dyDescent="0.25">
      <c r="F342" s="99" t="s">
        <v>1012</v>
      </c>
      <c r="G342" s="196"/>
      <c r="H342" s="196" t="s">
        <v>261</v>
      </c>
      <c r="I342" s="196"/>
      <c r="J342" s="450">
        <v>6.2690000000000001</v>
      </c>
      <c r="K342" s="450">
        <v>0.70399999999999996</v>
      </c>
      <c r="L342" s="450">
        <v>3.3000000000000002E-2</v>
      </c>
      <c r="M342" s="451">
        <v>1281.9100000000001</v>
      </c>
      <c r="N342" s="451">
        <v>3.71</v>
      </c>
      <c r="O342" s="451">
        <v>6.78</v>
      </c>
      <c r="P342" s="450">
        <v>0.22600000000000001</v>
      </c>
    </row>
    <row r="343" spans="4:16" x14ac:dyDescent="0.25">
      <c r="F343" s="99" t="s">
        <v>1013</v>
      </c>
      <c r="G343" s="196"/>
      <c r="H343" s="196" t="s">
        <v>261</v>
      </c>
      <c r="I343" s="196"/>
      <c r="J343" s="450">
        <v>3.8420000000000001</v>
      </c>
      <c r="K343" s="450">
        <v>0.29499999999999998</v>
      </c>
      <c r="L343" s="450">
        <v>1.2E-2</v>
      </c>
      <c r="M343" s="451">
        <v>42.09</v>
      </c>
      <c r="N343" s="451">
        <v>5.04</v>
      </c>
      <c r="O343" s="451">
        <v>6.55</v>
      </c>
      <c r="P343" s="450">
        <v>0.126</v>
      </c>
    </row>
    <row r="344" spans="4:16" s="293" customFormat="1" x14ac:dyDescent="0.25">
      <c r="D344" s="98"/>
      <c r="E344" s="98"/>
      <c r="F344" s="99" t="s">
        <v>1014</v>
      </c>
      <c r="G344" s="196"/>
      <c r="H344" s="196" t="s">
        <v>261</v>
      </c>
      <c r="I344" s="196"/>
      <c r="J344" s="450">
        <v>3.8420000000000001</v>
      </c>
      <c r="K344" s="450">
        <v>0.29499999999999998</v>
      </c>
      <c r="L344" s="450">
        <v>1.2E-2</v>
      </c>
      <c r="M344" s="451">
        <v>212.31</v>
      </c>
      <c r="N344" s="451">
        <v>5.04</v>
      </c>
      <c r="O344" s="451">
        <v>6.55</v>
      </c>
      <c r="P344" s="450">
        <v>0.126</v>
      </c>
    </row>
    <row r="345" spans="4:16" s="293" customFormat="1" x14ac:dyDescent="0.25">
      <c r="D345" s="98"/>
      <c r="E345" s="98"/>
      <c r="F345" s="99" t="s">
        <v>1015</v>
      </c>
      <c r="G345" s="196"/>
      <c r="H345" s="196" t="s">
        <v>261</v>
      </c>
      <c r="I345" s="196"/>
      <c r="J345" s="450">
        <v>3.8420000000000001</v>
      </c>
      <c r="K345" s="450">
        <v>0.29499999999999998</v>
      </c>
      <c r="L345" s="450">
        <v>1.2E-2</v>
      </c>
      <c r="M345" s="451">
        <v>359</v>
      </c>
      <c r="N345" s="451">
        <v>5.04</v>
      </c>
      <c r="O345" s="451">
        <v>6.55</v>
      </c>
      <c r="P345" s="450">
        <v>0.126</v>
      </c>
    </row>
    <row r="346" spans="4:16" s="293" customFormat="1" x14ac:dyDescent="0.25">
      <c r="D346" s="98"/>
      <c r="E346" s="98"/>
      <c r="F346" s="99" t="s">
        <v>1016</v>
      </c>
      <c r="G346" s="196"/>
      <c r="H346" s="196" t="s">
        <v>261</v>
      </c>
      <c r="I346" s="196"/>
      <c r="J346" s="450">
        <v>3.8420000000000001</v>
      </c>
      <c r="K346" s="450">
        <v>0.29499999999999998</v>
      </c>
      <c r="L346" s="450">
        <v>1.2E-2</v>
      </c>
      <c r="M346" s="451">
        <v>532.84</v>
      </c>
      <c r="N346" s="451">
        <v>5.04</v>
      </c>
      <c r="O346" s="451">
        <v>6.55</v>
      </c>
      <c r="P346" s="450">
        <v>0.126</v>
      </c>
    </row>
    <row r="347" spans="4:16" s="293" customFormat="1" x14ac:dyDescent="0.25">
      <c r="D347" s="98"/>
      <c r="E347" s="98"/>
      <c r="F347" s="99" t="s">
        <v>1017</v>
      </c>
      <c r="G347" s="196"/>
      <c r="H347" s="196" t="s">
        <v>261</v>
      </c>
      <c r="I347" s="196"/>
      <c r="J347" s="450">
        <v>3.8420000000000001</v>
      </c>
      <c r="K347" s="450">
        <v>0.29499999999999998</v>
      </c>
      <c r="L347" s="450">
        <v>1.2E-2</v>
      </c>
      <c r="M347" s="451">
        <v>1306.05</v>
      </c>
      <c r="N347" s="451">
        <v>5.04</v>
      </c>
      <c r="O347" s="451">
        <v>6.55</v>
      </c>
      <c r="P347" s="450">
        <v>0.126</v>
      </c>
    </row>
    <row r="348" spans="4:16" s="293" customFormat="1" x14ac:dyDescent="0.25">
      <c r="D348" s="98"/>
      <c r="E348" s="98"/>
      <c r="F348" s="99" t="s">
        <v>1018</v>
      </c>
      <c r="G348" s="196"/>
      <c r="H348" s="196" t="s">
        <v>261</v>
      </c>
      <c r="I348" s="196"/>
      <c r="J348" s="450">
        <v>3.2349999999999999</v>
      </c>
      <c r="K348" s="450">
        <v>0.22</v>
      </c>
      <c r="L348" s="450">
        <v>8.9999999999999993E-3</v>
      </c>
      <c r="M348" s="451">
        <v>182.82</v>
      </c>
      <c r="N348" s="451">
        <v>6.01</v>
      </c>
      <c r="O348" s="451">
        <v>7.24</v>
      </c>
      <c r="P348" s="450">
        <v>9.5000000000000001E-2</v>
      </c>
    </row>
    <row r="349" spans="4:16" s="293" customFormat="1" x14ac:dyDescent="0.25">
      <c r="D349" s="98"/>
      <c r="E349" s="98"/>
      <c r="F349" s="99" t="s">
        <v>1019</v>
      </c>
      <c r="G349" s="196"/>
      <c r="H349" s="196" t="s">
        <v>261</v>
      </c>
      <c r="I349" s="196"/>
      <c r="J349" s="450">
        <v>3.2349999999999999</v>
      </c>
      <c r="K349" s="450">
        <v>0.22</v>
      </c>
      <c r="L349" s="450">
        <v>8.9999999999999993E-3</v>
      </c>
      <c r="M349" s="451">
        <v>1372.76</v>
      </c>
      <c r="N349" s="451">
        <v>6.01</v>
      </c>
      <c r="O349" s="451">
        <v>7.24</v>
      </c>
      <c r="P349" s="450">
        <v>9.5000000000000001E-2</v>
      </c>
    </row>
    <row r="350" spans="4:16" s="293" customFormat="1" x14ac:dyDescent="0.25">
      <c r="D350" s="98"/>
      <c r="E350" s="98"/>
      <c r="F350" s="99" t="s">
        <v>1020</v>
      </c>
      <c r="G350" s="196"/>
      <c r="H350" s="196" t="s">
        <v>261</v>
      </c>
      <c r="I350" s="196"/>
      <c r="J350" s="450">
        <v>3.2349999999999999</v>
      </c>
      <c r="K350" s="450">
        <v>0.22</v>
      </c>
      <c r="L350" s="450">
        <v>8.9999999999999993E-3</v>
      </c>
      <c r="M350" s="451">
        <v>3654.64</v>
      </c>
      <c r="N350" s="451">
        <v>6.01</v>
      </c>
      <c r="O350" s="451">
        <v>7.24</v>
      </c>
      <c r="P350" s="450">
        <v>9.5000000000000001E-2</v>
      </c>
    </row>
    <row r="351" spans="4:16" s="293" customFormat="1" x14ac:dyDescent="0.25">
      <c r="D351" s="98"/>
      <c r="E351" s="98"/>
      <c r="F351" s="99" t="s">
        <v>1021</v>
      </c>
      <c r="G351" s="196"/>
      <c r="H351" s="196" t="s">
        <v>261</v>
      </c>
      <c r="I351" s="196"/>
      <c r="J351" s="450">
        <v>3.2349999999999999</v>
      </c>
      <c r="K351" s="450">
        <v>0.22</v>
      </c>
      <c r="L351" s="450">
        <v>8.9999999999999993E-3</v>
      </c>
      <c r="M351" s="451">
        <v>6555.24</v>
      </c>
      <c r="N351" s="451">
        <v>6.01</v>
      </c>
      <c r="O351" s="451">
        <v>7.24</v>
      </c>
      <c r="P351" s="450">
        <v>9.5000000000000001E-2</v>
      </c>
    </row>
    <row r="352" spans="4:16" s="293" customFormat="1" x14ac:dyDescent="0.25">
      <c r="D352" s="98"/>
      <c r="E352" s="98"/>
      <c r="F352" s="99" t="s">
        <v>1022</v>
      </c>
      <c r="G352" s="196"/>
      <c r="H352" s="196" t="s">
        <v>261</v>
      </c>
      <c r="I352" s="196"/>
      <c r="J352" s="450">
        <v>3.2349999999999999</v>
      </c>
      <c r="K352" s="450">
        <v>0.22</v>
      </c>
      <c r="L352" s="450">
        <v>8.9999999999999993E-3</v>
      </c>
      <c r="M352" s="451">
        <v>16923.98</v>
      </c>
      <c r="N352" s="451">
        <v>6.01</v>
      </c>
      <c r="O352" s="451">
        <v>7.24</v>
      </c>
      <c r="P352" s="450">
        <v>9.5000000000000001E-2</v>
      </c>
    </row>
    <row r="353" spans="4:16" s="293" customFormat="1" x14ac:dyDescent="0.25">
      <c r="D353" s="98"/>
      <c r="E353" s="98"/>
      <c r="F353" s="99" t="s">
        <v>933</v>
      </c>
      <c r="G353" s="196"/>
      <c r="H353" s="196" t="s">
        <v>261</v>
      </c>
      <c r="I353" s="196"/>
      <c r="J353" s="450">
        <v>20.565000000000001</v>
      </c>
      <c r="K353" s="450">
        <v>4.0170000000000003</v>
      </c>
      <c r="L353" s="450">
        <v>3.1680000000000001</v>
      </c>
      <c r="M353" s="451">
        <v>0</v>
      </c>
      <c r="N353" s="451">
        <v>0</v>
      </c>
      <c r="O353" s="451">
        <v>0</v>
      </c>
      <c r="P353" s="450">
        <v>0</v>
      </c>
    </row>
    <row r="354" spans="4:16" s="293" customFormat="1" x14ac:dyDescent="0.25">
      <c r="D354" s="98"/>
      <c r="E354" s="98"/>
      <c r="F354" s="99" t="s">
        <v>934</v>
      </c>
      <c r="G354" s="196"/>
      <c r="H354" s="196" t="s">
        <v>261</v>
      </c>
      <c r="I354" s="196"/>
      <c r="J354" s="450">
        <v>-5.9379999999999997</v>
      </c>
      <c r="K354" s="450">
        <v>-0.77500000000000002</v>
      </c>
      <c r="L354" s="450">
        <v>-3.7999999999999999E-2</v>
      </c>
      <c r="M354" s="451">
        <v>0</v>
      </c>
      <c r="N354" s="451">
        <v>0</v>
      </c>
      <c r="O354" s="451">
        <v>0</v>
      </c>
      <c r="P354" s="450">
        <v>0</v>
      </c>
    </row>
    <row r="355" spans="4:16" s="293" customFormat="1" x14ac:dyDescent="0.25">
      <c r="D355" s="98"/>
      <c r="E355" s="98"/>
      <c r="F355" s="99" t="s">
        <v>935</v>
      </c>
      <c r="G355" s="196"/>
      <c r="H355" s="196" t="s">
        <v>261</v>
      </c>
      <c r="I355" s="196"/>
      <c r="J355" s="450">
        <v>-5.3040000000000003</v>
      </c>
      <c r="K355" s="450">
        <v>-0.63300000000000001</v>
      </c>
      <c r="L355" s="450">
        <v>-0.03</v>
      </c>
      <c r="M355" s="451">
        <v>0</v>
      </c>
      <c r="N355" s="451">
        <v>0</v>
      </c>
      <c r="O355" s="451">
        <v>0</v>
      </c>
      <c r="P355" s="450">
        <v>0</v>
      </c>
    </row>
    <row r="356" spans="4:16" s="293" customFormat="1" x14ac:dyDescent="0.25">
      <c r="D356" s="98"/>
      <c r="E356" s="98"/>
      <c r="F356" s="99" t="s">
        <v>936</v>
      </c>
      <c r="G356" s="196"/>
      <c r="H356" s="196" t="s">
        <v>261</v>
      </c>
      <c r="I356" s="196"/>
      <c r="J356" s="450">
        <v>-5.9379999999999997</v>
      </c>
      <c r="K356" s="450">
        <v>-0.77500000000000002</v>
      </c>
      <c r="L356" s="450">
        <v>-3.7999999999999999E-2</v>
      </c>
      <c r="M356" s="451">
        <v>0</v>
      </c>
      <c r="N356" s="451">
        <v>0</v>
      </c>
      <c r="O356" s="451">
        <v>0</v>
      </c>
      <c r="P356" s="450">
        <v>0.23400000000000001</v>
      </c>
    </row>
    <row r="357" spans="4:16" x14ac:dyDescent="0.25">
      <c r="F357" s="99" t="s">
        <v>937</v>
      </c>
      <c r="G357" s="196"/>
      <c r="H357" s="196" t="s">
        <v>261</v>
      </c>
      <c r="I357" s="196"/>
      <c r="J357" s="450">
        <v>-5.9379999999999997</v>
      </c>
      <c r="K357" s="450">
        <v>-0.77500000000000002</v>
      </c>
      <c r="L357" s="450">
        <v>-3.7999999999999999E-2</v>
      </c>
      <c r="M357" s="451">
        <v>0</v>
      </c>
      <c r="N357" s="451">
        <v>0</v>
      </c>
      <c r="O357" s="451">
        <v>0</v>
      </c>
      <c r="P357" s="450">
        <v>0</v>
      </c>
    </row>
    <row r="358" spans="4:16" x14ac:dyDescent="0.25">
      <c r="F358" s="99" t="s">
        <v>938</v>
      </c>
      <c r="G358" s="196"/>
      <c r="H358" s="196" t="s">
        <v>261</v>
      </c>
      <c r="I358" s="196"/>
      <c r="J358" s="450">
        <v>-5.3040000000000003</v>
      </c>
      <c r="K358" s="450">
        <v>-0.63300000000000001</v>
      </c>
      <c r="L358" s="450">
        <v>-0.03</v>
      </c>
      <c r="M358" s="451">
        <v>0</v>
      </c>
      <c r="N358" s="451">
        <v>0</v>
      </c>
      <c r="O358" s="451">
        <v>0</v>
      </c>
      <c r="P358" s="450">
        <v>0.19500000000000001</v>
      </c>
    </row>
    <row r="359" spans="4:16" x14ac:dyDescent="0.25">
      <c r="F359" s="99" t="s">
        <v>939</v>
      </c>
      <c r="G359" s="196"/>
      <c r="H359" s="196" t="s">
        <v>261</v>
      </c>
      <c r="I359" s="196"/>
      <c r="J359" s="450">
        <v>-5.3040000000000003</v>
      </c>
      <c r="K359" s="450">
        <v>-0.63300000000000001</v>
      </c>
      <c r="L359" s="450">
        <v>-0.03</v>
      </c>
      <c r="M359" s="451">
        <v>0</v>
      </c>
      <c r="N359" s="451">
        <v>0</v>
      </c>
      <c r="O359" s="451">
        <v>0</v>
      </c>
      <c r="P359" s="450">
        <v>0</v>
      </c>
    </row>
    <row r="360" spans="4:16" x14ac:dyDescent="0.25">
      <c r="F360" s="99" t="s">
        <v>940</v>
      </c>
      <c r="G360" s="196"/>
      <c r="H360" s="196" t="s">
        <v>261</v>
      </c>
      <c r="I360" s="196"/>
      <c r="J360" s="450">
        <v>-4.0960000000000001</v>
      </c>
      <c r="K360" s="450">
        <v>-0.313</v>
      </c>
      <c r="L360" s="450">
        <v>-1.2999999999999999E-2</v>
      </c>
      <c r="M360" s="451">
        <v>365.83</v>
      </c>
      <c r="N360" s="451">
        <v>0</v>
      </c>
      <c r="O360" s="451">
        <v>0</v>
      </c>
      <c r="P360" s="450">
        <v>0.17</v>
      </c>
    </row>
    <row r="361" spans="4:16" x14ac:dyDescent="0.25">
      <c r="F361" s="100" t="s">
        <v>941</v>
      </c>
      <c r="G361" s="93"/>
      <c r="H361" s="93" t="s">
        <v>261</v>
      </c>
      <c r="I361" s="93"/>
      <c r="J361" s="436">
        <v>-4.0960000000000001</v>
      </c>
      <c r="K361" s="436">
        <v>-0.313</v>
      </c>
      <c r="L361" s="436">
        <v>-1.2999999999999999E-2</v>
      </c>
      <c r="M361" s="342">
        <v>365.83</v>
      </c>
      <c r="N361" s="342">
        <v>0</v>
      </c>
      <c r="O361" s="342">
        <v>0</v>
      </c>
      <c r="P361" s="436">
        <v>0</v>
      </c>
    </row>
    <row r="362" spans="4:16" x14ac:dyDescent="0.25">
      <c r="F362" s="98"/>
      <c r="G362" s="293"/>
      <c r="H362" s="293"/>
      <c r="I362" s="293"/>
      <c r="J362" s="343"/>
      <c r="K362" s="343"/>
      <c r="L362" s="343"/>
      <c r="M362" s="343"/>
      <c r="N362" s="343"/>
      <c r="O362" s="343"/>
      <c r="P362" s="437"/>
    </row>
    <row r="363" spans="4:16" x14ac:dyDescent="0.25">
      <c r="D363" s="96"/>
      <c r="E363" s="96" t="str">
        <f>"LDNO LV tariff forecast "&amp; 'ARP_User control'!G33</f>
        <v>LDNO LV tariff forecast 2025/26</v>
      </c>
      <c r="F363" s="98"/>
      <c r="G363" s="293"/>
      <c r="H363" s="293"/>
      <c r="I363" s="293"/>
      <c r="J363" s="343"/>
      <c r="K363" s="343"/>
      <c r="L363" s="343"/>
      <c r="M363" s="343"/>
      <c r="N363" s="343"/>
      <c r="O363" s="343"/>
      <c r="P363" s="437"/>
    </row>
    <row r="364" spans="4:16" x14ac:dyDescent="0.25">
      <c r="F364" s="103" t="s">
        <v>1002</v>
      </c>
      <c r="G364" s="91"/>
      <c r="H364" s="91" t="s">
        <v>146</v>
      </c>
      <c r="I364" s="91"/>
      <c r="J364" s="435">
        <v>5.6779999999999999</v>
      </c>
      <c r="K364" s="435">
        <v>0.74099999999999999</v>
      </c>
      <c r="L364" s="435">
        <v>3.5999999999999997E-2</v>
      </c>
      <c r="M364" s="340">
        <v>8.68</v>
      </c>
      <c r="N364" s="340">
        <v>0</v>
      </c>
      <c r="O364" s="340">
        <v>0</v>
      </c>
      <c r="P364" s="435">
        <v>0</v>
      </c>
    </row>
    <row r="365" spans="4:16" x14ac:dyDescent="0.25">
      <c r="F365" s="99" t="s">
        <v>927</v>
      </c>
      <c r="G365" s="196"/>
      <c r="H365" s="196" t="s">
        <v>146</v>
      </c>
      <c r="I365" s="196"/>
      <c r="J365" s="450">
        <v>5.6779999999999999</v>
      </c>
      <c r="K365" s="450">
        <v>0.74099999999999999</v>
      </c>
      <c r="L365" s="450">
        <v>3.5999999999999997E-2</v>
      </c>
      <c r="M365" s="451">
        <v>0</v>
      </c>
      <c r="N365" s="451">
        <v>0</v>
      </c>
      <c r="O365" s="451">
        <v>0</v>
      </c>
      <c r="P365" s="450">
        <v>0</v>
      </c>
    </row>
    <row r="366" spans="4:16" x14ac:dyDescent="0.25">
      <c r="F366" s="99" t="s">
        <v>1003</v>
      </c>
      <c r="G366" s="196"/>
      <c r="H366" s="196" t="s">
        <v>146</v>
      </c>
      <c r="I366" s="196"/>
      <c r="J366" s="450">
        <v>4.9820000000000002</v>
      </c>
      <c r="K366" s="450">
        <v>0.65</v>
      </c>
      <c r="L366" s="450">
        <v>3.2000000000000001E-2</v>
      </c>
      <c r="M366" s="451">
        <v>5.26</v>
      </c>
      <c r="N366" s="451">
        <v>0</v>
      </c>
      <c r="O366" s="451">
        <v>0</v>
      </c>
      <c r="P366" s="450">
        <v>0</v>
      </c>
    </row>
    <row r="367" spans="4:16" x14ac:dyDescent="0.25">
      <c r="F367" s="99" t="s">
        <v>1004</v>
      </c>
      <c r="G367" s="196"/>
      <c r="H367" s="196" t="s">
        <v>146</v>
      </c>
      <c r="I367" s="196"/>
      <c r="J367" s="450">
        <v>4.9820000000000002</v>
      </c>
      <c r="K367" s="450">
        <v>0.65</v>
      </c>
      <c r="L367" s="450">
        <v>3.2000000000000001E-2</v>
      </c>
      <c r="M367" s="451">
        <v>8.52</v>
      </c>
      <c r="N367" s="451">
        <v>0</v>
      </c>
      <c r="O367" s="451">
        <v>0</v>
      </c>
      <c r="P367" s="450">
        <v>0</v>
      </c>
    </row>
    <row r="368" spans="4:16" x14ac:dyDescent="0.25">
      <c r="F368" s="99" t="s">
        <v>1005</v>
      </c>
      <c r="G368" s="196"/>
      <c r="H368" s="196" t="s">
        <v>146</v>
      </c>
      <c r="I368" s="196"/>
      <c r="J368" s="450">
        <v>4.9820000000000002</v>
      </c>
      <c r="K368" s="450">
        <v>0.65</v>
      </c>
      <c r="L368" s="450">
        <v>3.2000000000000001E-2</v>
      </c>
      <c r="M368" s="451">
        <v>15.95</v>
      </c>
      <c r="N368" s="451">
        <v>0</v>
      </c>
      <c r="O368" s="451">
        <v>0</v>
      </c>
      <c r="P368" s="450">
        <v>0</v>
      </c>
    </row>
    <row r="369" spans="4:16" x14ac:dyDescent="0.25">
      <c r="F369" s="99" t="s">
        <v>1006</v>
      </c>
      <c r="G369" s="196"/>
      <c r="H369" s="196" t="s">
        <v>146</v>
      </c>
      <c r="I369" s="196"/>
      <c r="J369" s="450">
        <v>4.9820000000000002</v>
      </c>
      <c r="K369" s="450">
        <v>0.65</v>
      </c>
      <c r="L369" s="450">
        <v>3.2000000000000001E-2</v>
      </c>
      <c r="M369" s="451">
        <v>29.48</v>
      </c>
      <c r="N369" s="451">
        <v>0</v>
      </c>
      <c r="O369" s="451">
        <v>0</v>
      </c>
      <c r="P369" s="450">
        <v>0</v>
      </c>
    </row>
    <row r="370" spans="4:16" x14ac:dyDescent="0.25">
      <c r="F370" s="99" t="s">
        <v>1007</v>
      </c>
      <c r="G370" s="196"/>
      <c r="H370" s="196" t="s">
        <v>146</v>
      </c>
      <c r="I370" s="196"/>
      <c r="J370" s="450">
        <v>4.9820000000000002</v>
      </c>
      <c r="K370" s="450">
        <v>0.65</v>
      </c>
      <c r="L370" s="450">
        <v>3.2000000000000001E-2</v>
      </c>
      <c r="M370" s="451">
        <v>71.150000000000006</v>
      </c>
      <c r="N370" s="451">
        <v>0</v>
      </c>
      <c r="O370" s="451">
        <v>0</v>
      </c>
      <c r="P370" s="450">
        <v>0</v>
      </c>
    </row>
    <row r="371" spans="4:16" s="293" customFormat="1" x14ac:dyDescent="0.25">
      <c r="D371" s="98"/>
      <c r="E371" s="98"/>
      <c r="F371" s="99" t="s">
        <v>929</v>
      </c>
      <c r="G371" s="196"/>
      <c r="H371" s="196" t="s">
        <v>146</v>
      </c>
      <c r="I371" s="196"/>
      <c r="J371" s="450">
        <v>4.9820000000000002</v>
      </c>
      <c r="K371" s="450">
        <v>0.65</v>
      </c>
      <c r="L371" s="450">
        <v>3.2000000000000001E-2</v>
      </c>
      <c r="M371" s="451">
        <v>0</v>
      </c>
      <c r="N371" s="451">
        <v>0</v>
      </c>
      <c r="O371" s="451">
        <v>0</v>
      </c>
      <c r="P371" s="450">
        <v>0</v>
      </c>
    </row>
    <row r="372" spans="4:16" s="293" customFormat="1" x14ac:dyDescent="0.25">
      <c r="D372" s="98"/>
      <c r="E372" s="98"/>
      <c r="F372" s="99" t="s">
        <v>1008</v>
      </c>
      <c r="G372" s="196"/>
      <c r="H372" s="196" t="s">
        <v>146</v>
      </c>
      <c r="I372" s="196"/>
      <c r="J372" s="450">
        <v>4.0599999999999996</v>
      </c>
      <c r="K372" s="450">
        <v>0.45600000000000002</v>
      </c>
      <c r="L372" s="450">
        <v>2.1000000000000001E-2</v>
      </c>
      <c r="M372" s="451">
        <v>11.62</v>
      </c>
      <c r="N372" s="451">
        <v>2.4</v>
      </c>
      <c r="O372" s="451">
        <v>4.3899999999999997</v>
      </c>
      <c r="P372" s="450">
        <v>0.14599999999999999</v>
      </c>
    </row>
    <row r="373" spans="4:16" s="293" customFormat="1" x14ac:dyDescent="0.25">
      <c r="D373" s="98"/>
      <c r="E373" s="98"/>
      <c r="F373" s="99" t="s">
        <v>1009</v>
      </c>
      <c r="G373" s="196"/>
      <c r="H373" s="196" t="s">
        <v>146</v>
      </c>
      <c r="I373" s="196"/>
      <c r="J373" s="450">
        <v>4.0599999999999996</v>
      </c>
      <c r="K373" s="450">
        <v>0.45600000000000002</v>
      </c>
      <c r="L373" s="450">
        <v>2.1000000000000001E-2</v>
      </c>
      <c r="M373" s="451">
        <v>121.86</v>
      </c>
      <c r="N373" s="451">
        <v>2.4</v>
      </c>
      <c r="O373" s="451">
        <v>4.3899999999999997</v>
      </c>
      <c r="P373" s="450">
        <v>0.14599999999999999</v>
      </c>
    </row>
    <row r="374" spans="4:16" x14ac:dyDescent="0.25">
      <c r="F374" s="99" t="s">
        <v>1010</v>
      </c>
      <c r="G374" s="196"/>
      <c r="H374" s="196" t="s">
        <v>146</v>
      </c>
      <c r="I374" s="196"/>
      <c r="J374" s="450">
        <v>4.0599999999999996</v>
      </c>
      <c r="K374" s="450">
        <v>0.45600000000000002</v>
      </c>
      <c r="L374" s="450">
        <v>2.1000000000000001E-2</v>
      </c>
      <c r="M374" s="451">
        <v>216.85</v>
      </c>
      <c r="N374" s="451">
        <v>2.4</v>
      </c>
      <c r="O374" s="451">
        <v>4.3899999999999997</v>
      </c>
      <c r="P374" s="450">
        <v>0.14599999999999999</v>
      </c>
    </row>
    <row r="375" spans="4:16" x14ac:dyDescent="0.25">
      <c r="F375" s="99" t="s">
        <v>1011</v>
      </c>
      <c r="G375" s="196"/>
      <c r="H375" s="196" t="s">
        <v>146</v>
      </c>
      <c r="I375" s="196"/>
      <c r="J375" s="450">
        <v>4.0599999999999996</v>
      </c>
      <c r="K375" s="450">
        <v>0.45600000000000002</v>
      </c>
      <c r="L375" s="450">
        <v>2.1000000000000001E-2</v>
      </c>
      <c r="M375" s="451">
        <v>329.43</v>
      </c>
      <c r="N375" s="451">
        <v>2.4</v>
      </c>
      <c r="O375" s="451">
        <v>4.3899999999999997</v>
      </c>
      <c r="P375" s="450">
        <v>0.14599999999999999</v>
      </c>
    </row>
    <row r="376" spans="4:16" x14ac:dyDescent="0.25">
      <c r="F376" s="99" t="s">
        <v>1012</v>
      </c>
      <c r="G376" s="196"/>
      <c r="H376" s="196" t="s">
        <v>146</v>
      </c>
      <c r="I376" s="196"/>
      <c r="J376" s="450">
        <v>4.0599999999999996</v>
      </c>
      <c r="K376" s="450">
        <v>0.45600000000000002</v>
      </c>
      <c r="L376" s="450">
        <v>2.1000000000000001E-2</v>
      </c>
      <c r="M376" s="451">
        <v>830.16</v>
      </c>
      <c r="N376" s="451">
        <v>2.4</v>
      </c>
      <c r="O376" s="451">
        <v>4.3899999999999997</v>
      </c>
      <c r="P376" s="450">
        <v>0.14599999999999999</v>
      </c>
    </row>
    <row r="377" spans="4:16" x14ac:dyDescent="0.25">
      <c r="F377" s="99" t="s">
        <v>1013</v>
      </c>
      <c r="G377" s="196"/>
      <c r="H377" s="196" t="s">
        <v>146</v>
      </c>
      <c r="I377" s="196"/>
      <c r="J377" s="452">
        <v>0</v>
      </c>
      <c r="K377" s="452">
        <v>0</v>
      </c>
      <c r="L377" s="452">
        <v>0</v>
      </c>
      <c r="M377" s="453">
        <v>0</v>
      </c>
      <c r="N377" s="453">
        <v>0</v>
      </c>
      <c r="O377" s="453">
        <v>0</v>
      </c>
      <c r="P377" s="452">
        <v>0</v>
      </c>
    </row>
    <row r="378" spans="4:16" s="293" customFormat="1" x14ac:dyDescent="0.25">
      <c r="D378" s="98"/>
      <c r="E378" s="98"/>
      <c r="F378" s="99" t="s">
        <v>1014</v>
      </c>
      <c r="G378" s="196"/>
      <c r="H378" s="196" t="s">
        <v>146</v>
      </c>
      <c r="I378" s="196"/>
      <c r="J378" s="452">
        <v>0</v>
      </c>
      <c r="K378" s="452">
        <v>0</v>
      </c>
      <c r="L378" s="452">
        <v>0</v>
      </c>
      <c r="M378" s="453">
        <v>0</v>
      </c>
      <c r="N378" s="453">
        <v>0</v>
      </c>
      <c r="O378" s="453">
        <v>0</v>
      </c>
      <c r="P378" s="452">
        <v>0</v>
      </c>
    </row>
    <row r="379" spans="4:16" s="293" customFormat="1" x14ac:dyDescent="0.25">
      <c r="D379" s="98"/>
      <c r="E379" s="98"/>
      <c r="F379" s="99" t="s">
        <v>1015</v>
      </c>
      <c r="G379" s="196"/>
      <c r="H379" s="196" t="s">
        <v>146</v>
      </c>
      <c r="I379" s="196"/>
      <c r="J379" s="452">
        <v>0</v>
      </c>
      <c r="K379" s="452">
        <v>0</v>
      </c>
      <c r="L379" s="452">
        <v>0</v>
      </c>
      <c r="M379" s="453">
        <v>0</v>
      </c>
      <c r="N379" s="453">
        <v>0</v>
      </c>
      <c r="O379" s="453">
        <v>0</v>
      </c>
      <c r="P379" s="452">
        <v>0</v>
      </c>
    </row>
    <row r="380" spans="4:16" s="293" customFormat="1" x14ac:dyDescent="0.25">
      <c r="D380" s="98"/>
      <c r="E380" s="98"/>
      <c r="F380" s="99" t="s">
        <v>1016</v>
      </c>
      <c r="G380" s="196"/>
      <c r="H380" s="196" t="s">
        <v>146</v>
      </c>
      <c r="I380" s="196"/>
      <c r="J380" s="452">
        <v>0</v>
      </c>
      <c r="K380" s="452">
        <v>0</v>
      </c>
      <c r="L380" s="452">
        <v>0</v>
      </c>
      <c r="M380" s="453">
        <v>0</v>
      </c>
      <c r="N380" s="453">
        <v>0</v>
      </c>
      <c r="O380" s="453">
        <v>0</v>
      </c>
      <c r="P380" s="452">
        <v>0</v>
      </c>
    </row>
    <row r="381" spans="4:16" s="293" customFormat="1" x14ac:dyDescent="0.25">
      <c r="D381" s="98"/>
      <c r="E381" s="98"/>
      <c r="F381" s="99" t="s">
        <v>1017</v>
      </c>
      <c r="G381" s="196"/>
      <c r="H381" s="196" t="s">
        <v>146</v>
      </c>
      <c r="I381" s="196"/>
      <c r="J381" s="452">
        <v>0</v>
      </c>
      <c r="K381" s="452">
        <v>0</v>
      </c>
      <c r="L381" s="452">
        <v>0</v>
      </c>
      <c r="M381" s="453">
        <v>0</v>
      </c>
      <c r="N381" s="453">
        <v>0</v>
      </c>
      <c r="O381" s="453">
        <v>0</v>
      </c>
      <c r="P381" s="452">
        <v>0</v>
      </c>
    </row>
    <row r="382" spans="4:16" s="293" customFormat="1" x14ac:dyDescent="0.25">
      <c r="D382" s="98"/>
      <c r="E382" s="98"/>
      <c r="F382" s="99" t="s">
        <v>1018</v>
      </c>
      <c r="G382" s="196"/>
      <c r="H382" s="196" t="s">
        <v>146</v>
      </c>
      <c r="I382" s="196"/>
      <c r="J382" s="452">
        <v>0</v>
      </c>
      <c r="K382" s="452">
        <v>0</v>
      </c>
      <c r="L382" s="452">
        <v>0</v>
      </c>
      <c r="M382" s="453">
        <v>0</v>
      </c>
      <c r="N382" s="453">
        <v>0</v>
      </c>
      <c r="O382" s="453">
        <v>0</v>
      </c>
      <c r="P382" s="452">
        <v>0</v>
      </c>
    </row>
    <row r="383" spans="4:16" s="293" customFormat="1" x14ac:dyDescent="0.25">
      <c r="D383" s="98"/>
      <c r="E383" s="98"/>
      <c r="F383" s="99" t="s">
        <v>1019</v>
      </c>
      <c r="G383" s="196"/>
      <c r="H383" s="196" t="s">
        <v>146</v>
      </c>
      <c r="I383" s="196"/>
      <c r="J383" s="452">
        <v>0</v>
      </c>
      <c r="K383" s="452">
        <v>0</v>
      </c>
      <c r="L383" s="452">
        <v>0</v>
      </c>
      <c r="M383" s="453">
        <v>0</v>
      </c>
      <c r="N383" s="453">
        <v>0</v>
      </c>
      <c r="O383" s="453">
        <v>0</v>
      </c>
      <c r="P383" s="452">
        <v>0</v>
      </c>
    </row>
    <row r="384" spans="4:16" s="293" customFormat="1" x14ac:dyDescent="0.25">
      <c r="D384" s="98"/>
      <c r="E384" s="98"/>
      <c r="F384" s="99" t="s">
        <v>1020</v>
      </c>
      <c r="G384" s="196"/>
      <c r="H384" s="196" t="s">
        <v>146</v>
      </c>
      <c r="I384" s="196"/>
      <c r="J384" s="452">
        <v>0</v>
      </c>
      <c r="K384" s="452">
        <v>0</v>
      </c>
      <c r="L384" s="452">
        <v>0</v>
      </c>
      <c r="M384" s="453">
        <v>0</v>
      </c>
      <c r="N384" s="453">
        <v>0</v>
      </c>
      <c r="O384" s="453">
        <v>0</v>
      </c>
      <c r="P384" s="452">
        <v>0</v>
      </c>
    </row>
    <row r="385" spans="4:19" s="293" customFormat="1" x14ac:dyDescent="0.25">
      <c r="D385" s="98"/>
      <c r="E385" s="98"/>
      <c r="F385" s="99" t="s">
        <v>1021</v>
      </c>
      <c r="G385" s="196"/>
      <c r="H385" s="196" t="s">
        <v>146</v>
      </c>
      <c r="I385" s="196"/>
      <c r="J385" s="452">
        <v>0</v>
      </c>
      <c r="K385" s="452">
        <v>0</v>
      </c>
      <c r="L385" s="452">
        <v>0</v>
      </c>
      <c r="M385" s="453">
        <v>0</v>
      </c>
      <c r="N385" s="453">
        <v>0</v>
      </c>
      <c r="O385" s="453">
        <v>0</v>
      </c>
      <c r="P385" s="452">
        <v>0</v>
      </c>
    </row>
    <row r="386" spans="4:19" s="293" customFormat="1" x14ac:dyDescent="0.25">
      <c r="D386" s="98"/>
      <c r="E386" s="98"/>
      <c r="F386" s="99" t="s">
        <v>1022</v>
      </c>
      <c r="G386" s="196"/>
      <c r="H386" s="196" t="s">
        <v>146</v>
      </c>
      <c r="I386" s="196"/>
      <c r="J386" s="452">
        <v>0</v>
      </c>
      <c r="K386" s="452">
        <v>0</v>
      </c>
      <c r="L386" s="452">
        <v>0</v>
      </c>
      <c r="M386" s="453">
        <v>0</v>
      </c>
      <c r="N386" s="453">
        <v>0</v>
      </c>
      <c r="O386" s="453">
        <v>0</v>
      </c>
      <c r="P386" s="452">
        <v>0</v>
      </c>
    </row>
    <row r="387" spans="4:19" s="293" customFormat="1" x14ac:dyDescent="0.25">
      <c r="D387" s="98"/>
      <c r="E387" s="98"/>
      <c r="F387" s="99" t="s">
        <v>933</v>
      </c>
      <c r="G387" s="196"/>
      <c r="H387" s="196" t="s">
        <v>146</v>
      </c>
      <c r="I387" s="196"/>
      <c r="J387" s="450">
        <v>13.318</v>
      </c>
      <c r="K387" s="450">
        <v>2.601</v>
      </c>
      <c r="L387" s="450">
        <v>2.052</v>
      </c>
      <c r="M387" s="451">
        <v>0</v>
      </c>
      <c r="N387" s="451">
        <v>0</v>
      </c>
      <c r="O387" s="451">
        <v>0</v>
      </c>
      <c r="P387" s="450">
        <v>0</v>
      </c>
    </row>
    <row r="388" spans="4:19" s="293" customFormat="1" x14ac:dyDescent="0.25">
      <c r="D388" s="98"/>
      <c r="E388" s="98"/>
      <c r="F388" s="99" t="s">
        <v>934</v>
      </c>
      <c r="G388" s="196"/>
      <c r="H388" s="196" t="s">
        <v>146</v>
      </c>
      <c r="I388" s="196"/>
      <c r="J388" s="450">
        <v>-5.9379999999999997</v>
      </c>
      <c r="K388" s="450">
        <v>-0.77500000000000002</v>
      </c>
      <c r="L388" s="450">
        <v>-3.7999999999999999E-2</v>
      </c>
      <c r="M388" s="451">
        <v>0</v>
      </c>
      <c r="N388" s="451">
        <v>0</v>
      </c>
      <c r="O388" s="451">
        <v>0</v>
      </c>
      <c r="P388" s="450">
        <v>0</v>
      </c>
    </row>
    <row r="389" spans="4:19" s="293" customFormat="1" x14ac:dyDescent="0.25">
      <c r="D389" s="98"/>
      <c r="E389" s="98"/>
      <c r="F389" s="99" t="s">
        <v>935</v>
      </c>
      <c r="G389" s="196"/>
      <c r="H389" s="196" t="s">
        <v>146</v>
      </c>
      <c r="I389" s="196"/>
      <c r="J389" s="452">
        <v>0</v>
      </c>
      <c r="K389" s="452">
        <v>0</v>
      </c>
      <c r="L389" s="452">
        <v>0</v>
      </c>
      <c r="M389" s="453">
        <v>0</v>
      </c>
      <c r="N389" s="453">
        <v>0</v>
      </c>
      <c r="O389" s="453">
        <v>0</v>
      </c>
      <c r="P389" s="452">
        <v>0</v>
      </c>
    </row>
    <row r="390" spans="4:19" s="293" customFormat="1" x14ac:dyDescent="0.25">
      <c r="D390" s="98"/>
      <c r="E390" s="98"/>
      <c r="F390" s="99" t="s">
        <v>936</v>
      </c>
      <c r="G390" s="196"/>
      <c r="H390" s="196" t="s">
        <v>146</v>
      </c>
      <c r="I390" s="196"/>
      <c r="J390" s="450">
        <v>-5.9379999999999997</v>
      </c>
      <c r="K390" s="450">
        <v>-0.77500000000000002</v>
      </c>
      <c r="L390" s="450">
        <v>-3.7999999999999999E-2</v>
      </c>
      <c r="M390" s="451">
        <v>0</v>
      </c>
      <c r="N390" s="451">
        <v>0</v>
      </c>
      <c r="O390" s="451">
        <v>0</v>
      </c>
      <c r="P390" s="450">
        <v>0.23400000000000001</v>
      </c>
    </row>
    <row r="391" spans="4:19" x14ac:dyDescent="0.25">
      <c r="F391" s="99" t="s">
        <v>937</v>
      </c>
      <c r="G391" s="196"/>
      <c r="H391" s="196" t="s">
        <v>146</v>
      </c>
      <c r="I391" s="196"/>
      <c r="J391" s="452">
        <v>0</v>
      </c>
      <c r="K391" s="452">
        <v>0</v>
      </c>
      <c r="L391" s="452">
        <v>0</v>
      </c>
      <c r="M391" s="453">
        <v>0</v>
      </c>
      <c r="N391" s="453">
        <v>0</v>
      </c>
      <c r="O391" s="453">
        <v>0</v>
      </c>
      <c r="P391" s="452">
        <v>0</v>
      </c>
    </row>
    <row r="392" spans="4:19" x14ac:dyDescent="0.25">
      <c r="F392" s="99" t="s">
        <v>938</v>
      </c>
      <c r="G392" s="196"/>
      <c r="H392" s="196" t="s">
        <v>146</v>
      </c>
      <c r="I392" s="196"/>
      <c r="J392" s="452">
        <v>0</v>
      </c>
      <c r="K392" s="452">
        <v>0</v>
      </c>
      <c r="L392" s="452">
        <v>0</v>
      </c>
      <c r="M392" s="453">
        <v>0</v>
      </c>
      <c r="N392" s="453">
        <v>0</v>
      </c>
      <c r="O392" s="453">
        <v>0</v>
      </c>
      <c r="P392" s="452">
        <v>0</v>
      </c>
    </row>
    <row r="393" spans="4:19" x14ac:dyDescent="0.25">
      <c r="F393" s="99" t="s">
        <v>939</v>
      </c>
      <c r="G393" s="196"/>
      <c r="H393" s="196" t="s">
        <v>146</v>
      </c>
      <c r="I393" s="196"/>
      <c r="J393" s="452">
        <v>0</v>
      </c>
      <c r="K393" s="452">
        <v>0</v>
      </c>
      <c r="L393" s="452">
        <v>0</v>
      </c>
      <c r="M393" s="453">
        <v>0</v>
      </c>
      <c r="N393" s="453">
        <v>0</v>
      </c>
      <c r="O393" s="453">
        <v>0</v>
      </c>
      <c r="P393" s="452">
        <v>0</v>
      </c>
    </row>
    <row r="394" spans="4:19" x14ac:dyDescent="0.25">
      <c r="F394" s="99" t="s">
        <v>940</v>
      </c>
      <c r="G394" s="196"/>
      <c r="H394" s="196" t="s">
        <v>146</v>
      </c>
      <c r="I394" s="196"/>
      <c r="J394" s="452">
        <v>0</v>
      </c>
      <c r="K394" s="452">
        <v>0</v>
      </c>
      <c r="L394" s="452">
        <v>0</v>
      </c>
      <c r="M394" s="453">
        <v>0</v>
      </c>
      <c r="N394" s="453">
        <v>0</v>
      </c>
      <c r="O394" s="453">
        <v>0</v>
      </c>
      <c r="P394" s="452">
        <v>0</v>
      </c>
    </row>
    <row r="395" spans="4:19" x14ac:dyDescent="0.25">
      <c r="F395" s="100" t="s">
        <v>941</v>
      </c>
      <c r="G395" s="93"/>
      <c r="H395" s="93" t="s">
        <v>146</v>
      </c>
      <c r="I395" s="93"/>
      <c r="J395" s="438">
        <v>0</v>
      </c>
      <c r="K395" s="438">
        <v>0</v>
      </c>
      <c r="L395" s="438">
        <v>0</v>
      </c>
      <c r="M395" s="344">
        <v>0</v>
      </c>
      <c r="N395" s="344">
        <v>0</v>
      </c>
      <c r="O395" s="344">
        <v>0</v>
      </c>
      <c r="P395" s="438">
        <v>0</v>
      </c>
    </row>
    <row r="396" spans="4:19" x14ac:dyDescent="0.25">
      <c r="D396" s="195"/>
      <c r="E396" s="195"/>
      <c r="F396" s="293"/>
      <c r="G396" s="293"/>
      <c r="H396" s="293"/>
      <c r="I396" s="293"/>
      <c r="J396" s="437"/>
      <c r="K396" s="437"/>
      <c r="L396" s="437"/>
      <c r="M396" s="343"/>
      <c r="N396" s="343"/>
      <c r="O396" s="343"/>
      <c r="P396" s="437"/>
      <c r="Q396" s="195"/>
      <c r="R396" s="195"/>
      <c r="S396" s="195"/>
    </row>
    <row r="397" spans="4:19" x14ac:dyDescent="0.25">
      <c r="D397" s="96"/>
      <c r="E397" s="96" t="str">
        <f>"LDNO HV tariff forecast "&amp; 'ARP_User control'!G33</f>
        <v>LDNO HV tariff forecast 2025/26</v>
      </c>
      <c r="F397" s="293"/>
      <c r="G397" s="293"/>
      <c r="H397" s="293"/>
      <c r="I397" s="293"/>
      <c r="J397" s="437"/>
      <c r="K397" s="437"/>
      <c r="L397" s="437"/>
      <c r="M397" s="343"/>
      <c r="N397" s="343"/>
      <c r="O397" s="343"/>
      <c r="P397" s="437"/>
      <c r="Q397" s="195"/>
      <c r="R397" s="195"/>
      <c r="S397" s="195"/>
    </row>
    <row r="398" spans="4:19" x14ac:dyDescent="0.25">
      <c r="F398" s="103" t="s">
        <v>1002</v>
      </c>
      <c r="G398" s="91"/>
      <c r="H398" s="91" t="s">
        <v>147</v>
      </c>
      <c r="I398" s="91"/>
      <c r="J398" s="435">
        <v>4.0730000000000004</v>
      </c>
      <c r="K398" s="435">
        <v>0.53100000000000003</v>
      </c>
      <c r="L398" s="435">
        <v>2.5999999999999999E-2</v>
      </c>
      <c r="M398" s="340">
        <v>6.23</v>
      </c>
      <c r="N398" s="340">
        <v>0</v>
      </c>
      <c r="O398" s="340">
        <v>0</v>
      </c>
      <c r="P398" s="435">
        <v>0</v>
      </c>
    </row>
    <row r="399" spans="4:19" x14ac:dyDescent="0.25">
      <c r="F399" s="99" t="s">
        <v>927</v>
      </c>
      <c r="G399" s="196"/>
      <c r="H399" s="196" t="s">
        <v>147</v>
      </c>
      <c r="I399" s="196"/>
      <c r="J399" s="450">
        <v>4.0730000000000004</v>
      </c>
      <c r="K399" s="450">
        <v>0.53100000000000003</v>
      </c>
      <c r="L399" s="450">
        <v>2.5999999999999999E-2</v>
      </c>
      <c r="M399" s="451">
        <v>0</v>
      </c>
      <c r="N399" s="451">
        <v>0</v>
      </c>
      <c r="O399" s="451">
        <v>0</v>
      </c>
      <c r="P399" s="450">
        <v>0</v>
      </c>
    </row>
    <row r="400" spans="4:19" x14ac:dyDescent="0.25">
      <c r="F400" s="99" t="s">
        <v>1003</v>
      </c>
      <c r="G400" s="196"/>
      <c r="H400" s="196" t="s">
        <v>147</v>
      </c>
      <c r="I400" s="196"/>
      <c r="J400" s="450">
        <v>3.5739999999999998</v>
      </c>
      <c r="K400" s="450">
        <v>0.46600000000000003</v>
      </c>
      <c r="L400" s="450">
        <v>2.3E-2</v>
      </c>
      <c r="M400" s="451">
        <v>3.77</v>
      </c>
      <c r="N400" s="451">
        <v>0</v>
      </c>
      <c r="O400" s="451">
        <v>0</v>
      </c>
      <c r="P400" s="450">
        <v>0</v>
      </c>
    </row>
    <row r="401" spans="4:16" x14ac:dyDescent="0.25">
      <c r="F401" s="99" t="s">
        <v>1004</v>
      </c>
      <c r="G401" s="196"/>
      <c r="H401" s="196" t="s">
        <v>147</v>
      </c>
      <c r="I401" s="196"/>
      <c r="J401" s="450">
        <v>3.5739999999999998</v>
      </c>
      <c r="K401" s="450">
        <v>0.46600000000000003</v>
      </c>
      <c r="L401" s="450">
        <v>2.3E-2</v>
      </c>
      <c r="M401" s="451">
        <v>6.11</v>
      </c>
      <c r="N401" s="451">
        <v>0</v>
      </c>
      <c r="O401" s="451">
        <v>0</v>
      </c>
      <c r="P401" s="450">
        <v>0</v>
      </c>
    </row>
    <row r="402" spans="4:16" x14ac:dyDescent="0.25">
      <c r="F402" s="99" t="s">
        <v>1005</v>
      </c>
      <c r="G402" s="196"/>
      <c r="H402" s="196" t="s">
        <v>147</v>
      </c>
      <c r="I402" s="196"/>
      <c r="J402" s="450">
        <v>3.5739999999999998</v>
      </c>
      <c r="K402" s="450">
        <v>0.46600000000000003</v>
      </c>
      <c r="L402" s="450">
        <v>2.3E-2</v>
      </c>
      <c r="M402" s="451">
        <v>11.44</v>
      </c>
      <c r="N402" s="451">
        <v>0</v>
      </c>
      <c r="O402" s="451">
        <v>0</v>
      </c>
      <c r="P402" s="450">
        <v>0</v>
      </c>
    </row>
    <row r="403" spans="4:16" x14ac:dyDescent="0.25">
      <c r="F403" s="99" t="s">
        <v>1006</v>
      </c>
      <c r="G403" s="196"/>
      <c r="H403" s="196" t="s">
        <v>147</v>
      </c>
      <c r="I403" s="196"/>
      <c r="J403" s="450">
        <v>3.5739999999999998</v>
      </c>
      <c r="K403" s="450">
        <v>0.46600000000000003</v>
      </c>
      <c r="L403" s="450">
        <v>2.3E-2</v>
      </c>
      <c r="M403" s="451">
        <v>21.15</v>
      </c>
      <c r="N403" s="451">
        <v>0</v>
      </c>
      <c r="O403" s="451">
        <v>0</v>
      </c>
      <c r="P403" s="450">
        <v>0</v>
      </c>
    </row>
    <row r="404" spans="4:16" x14ac:dyDescent="0.25">
      <c r="F404" s="99" t="s">
        <v>1007</v>
      </c>
      <c r="G404" s="196"/>
      <c r="H404" s="196" t="s">
        <v>147</v>
      </c>
      <c r="I404" s="196"/>
      <c r="J404" s="450">
        <v>3.5739999999999998</v>
      </c>
      <c r="K404" s="450">
        <v>0.46600000000000003</v>
      </c>
      <c r="L404" s="450">
        <v>2.3E-2</v>
      </c>
      <c r="M404" s="451">
        <v>51.04</v>
      </c>
      <c r="N404" s="451">
        <v>0</v>
      </c>
      <c r="O404" s="451">
        <v>0</v>
      </c>
      <c r="P404" s="450">
        <v>0</v>
      </c>
    </row>
    <row r="405" spans="4:16" s="293" customFormat="1" x14ac:dyDescent="0.25">
      <c r="D405" s="98"/>
      <c r="E405" s="98"/>
      <c r="F405" s="99" t="s">
        <v>929</v>
      </c>
      <c r="G405" s="196"/>
      <c r="H405" s="196" t="s">
        <v>147</v>
      </c>
      <c r="I405" s="196"/>
      <c r="J405" s="450">
        <v>3.5739999999999998</v>
      </c>
      <c r="K405" s="450">
        <v>0.46600000000000003</v>
      </c>
      <c r="L405" s="450">
        <v>2.3E-2</v>
      </c>
      <c r="M405" s="451">
        <v>0</v>
      </c>
      <c r="N405" s="451">
        <v>0</v>
      </c>
      <c r="O405" s="451">
        <v>0</v>
      </c>
      <c r="P405" s="450">
        <v>0</v>
      </c>
    </row>
    <row r="406" spans="4:16" s="293" customFormat="1" x14ac:dyDescent="0.25">
      <c r="D406" s="98"/>
      <c r="E406" s="98"/>
      <c r="F406" s="99" t="s">
        <v>1008</v>
      </c>
      <c r="G406" s="196"/>
      <c r="H406" s="196" t="s">
        <v>147</v>
      </c>
      <c r="I406" s="196"/>
      <c r="J406" s="450">
        <v>2.9119999999999999</v>
      </c>
      <c r="K406" s="450">
        <v>0.32700000000000001</v>
      </c>
      <c r="L406" s="450">
        <v>1.4999999999999999E-2</v>
      </c>
      <c r="M406" s="451">
        <v>8.34</v>
      </c>
      <c r="N406" s="451">
        <v>1.72</v>
      </c>
      <c r="O406" s="451">
        <v>3.15</v>
      </c>
      <c r="P406" s="450">
        <v>0.105</v>
      </c>
    </row>
    <row r="407" spans="4:16" s="293" customFormat="1" x14ac:dyDescent="0.25">
      <c r="D407" s="98"/>
      <c r="E407" s="98"/>
      <c r="F407" s="99" t="s">
        <v>1009</v>
      </c>
      <c r="G407" s="196"/>
      <c r="H407" s="196" t="s">
        <v>147</v>
      </c>
      <c r="I407" s="196"/>
      <c r="J407" s="450">
        <v>2.9119999999999999</v>
      </c>
      <c r="K407" s="450">
        <v>0.32700000000000001</v>
      </c>
      <c r="L407" s="450">
        <v>1.4999999999999999E-2</v>
      </c>
      <c r="M407" s="451">
        <v>87.41</v>
      </c>
      <c r="N407" s="451">
        <v>1.72</v>
      </c>
      <c r="O407" s="451">
        <v>3.15</v>
      </c>
      <c r="P407" s="450">
        <v>0.105</v>
      </c>
    </row>
    <row r="408" spans="4:16" x14ac:dyDescent="0.25">
      <c r="F408" s="99" t="s">
        <v>1010</v>
      </c>
      <c r="G408" s="196"/>
      <c r="H408" s="196" t="s">
        <v>147</v>
      </c>
      <c r="I408" s="196"/>
      <c r="J408" s="450">
        <v>2.9119999999999999</v>
      </c>
      <c r="K408" s="450">
        <v>0.32700000000000001</v>
      </c>
      <c r="L408" s="450">
        <v>1.4999999999999999E-2</v>
      </c>
      <c r="M408" s="451">
        <v>155.55000000000001</v>
      </c>
      <c r="N408" s="451">
        <v>1.72</v>
      </c>
      <c r="O408" s="451">
        <v>3.15</v>
      </c>
      <c r="P408" s="450">
        <v>0.105</v>
      </c>
    </row>
    <row r="409" spans="4:16" x14ac:dyDescent="0.25">
      <c r="F409" s="99" t="s">
        <v>1011</v>
      </c>
      <c r="G409" s="196"/>
      <c r="H409" s="196" t="s">
        <v>147</v>
      </c>
      <c r="I409" s="196"/>
      <c r="J409" s="450">
        <v>2.9119999999999999</v>
      </c>
      <c r="K409" s="450">
        <v>0.32700000000000001</v>
      </c>
      <c r="L409" s="450">
        <v>1.4999999999999999E-2</v>
      </c>
      <c r="M409" s="451">
        <v>236.31</v>
      </c>
      <c r="N409" s="451">
        <v>1.72</v>
      </c>
      <c r="O409" s="451">
        <v>3.15</v>
      </c>
      <c r="P409" s="450">
        <v>0.105</v>
      </c>
    </row>
    <row r="410" spans="4:16" x14ac:dyDescent="0.25">
      <c r="F410" s="99" t="s">
        <v>1012</v>
      </c>
      <c r="G410" s="196"/>
      <c r="H410" s="196" t="s">
        <v>147</v>
      </c>
      <c r="I410" s="196"/>
      <c r="J410" s="450">
        <v>2.9119999999999999</v>
      </c>
      <c r="K410" s="450">
        <v>0.32700000000000001</v>
      </c>
      <c r="L410" s="450">
        <v>1.4999999999999999E-2</v>
      </c>
      <c r="M410" s="451">
        <v>595.48</v>
      </c>
      <c r="N410" s="451">
        <v>1.72</v>
      </c>
      <c r="O410" s="451">
        <v>3.15</v>
      </c>
      <c r="P410" s="450">
        <v>0.105</v>
      </c>
    </row>
    <row r="411" spans="4:16" x14ac:dyDescent="0.25">
      <c r="F411" s="99" t="s">
        <v>1013</v>
      </c>
      <c r="G411" s="196"/>
      <c r="H411" s="196" t="s">
        <v>147</v>
      </c>
      <c r="I411" s="196"/>
      <c r="J411" s="450">
        <v>2.8519999999999999</v>
      </c>
      <c r="K411" s="450">
        <v>0.219</v>
      </c>
      <c r="L411" s="450">
        <v>8.9999999999999993E-3</v>
      </c>
      <c r="M411" s="451">
        <v>31.24</v>
      </c>
      <c r="N411" s="451">
        <v>3.74</v>
      </c>
      <c r="O411" s="451">
        <v>4.8600000000000003</v>
      </c>
      <c r="P411" s="450">
        <v>9.2999999999999999E-2</v>
      </c>
    </row>
    <row r="412" spans="4:16" s="293" customFormat="1" x14ac:dyDescent="0.25">
      <c r="D412" s="98"/>
      <c r="E412" s="98"/>
      <c r="F412" s="99" t="s">
        <v>1014</v>
      </c>
      <c r="G412" s="196"/>
      <c r="H412" s="196" t="s">
        <v>147</v>
      </c>
      <c r="I412" s="196"/>
      <c r="J412" s="450">
        <v>2.8519999999999999</v>
      </c>
      <c r="K412" s="450">
        <v>0.219</v>
      </c>
      <c r="L412" s="450">
        <v>8.9999999999999993E-3</v>
      </c>
      <c r="M412" s="451">
        <v>157.56</v>
      </c>
      <c r="N412" s="451">
        <v>3.74</v>
      </c>
      <c r="O412" s="451">
        <v>4.8600000000000003</v>
      </c>
      <c r="P412" s="450">
        <v>9.2999999999999999E-2</v>
      </c>
    </row>
    <row r="413" spans="4:16" s="293" customFormat="1" x14ac:dyDescent="0.25">
      <c r="D413" s="98"/>
      <c r="E413" s="98"/>
      <c r="F413" s="99" t="s">
        <v>1015</v>
      </c>
      <c r="G413" s="196"/>
      <c r="H413" s="196" t="s">
        <v>147</v>
      </c>
      <c r="I413" s="196"/>
      <c r="J413" s="450">
        <v>2.8519999999999999</v>
      </c>
      <c r="K413" s="450">
        <v>0.219</v>
      </c>
      <c r="L413" s="450">
        <v>8.9999999999999993E-3</v>
      </c>
      <c r="M413" s="451">
        <v>266.43</v>
      </c>
      <c r="N413" s="451">
        <v>3.74</v>
      </c>
      <c r="O413" s="451">
        <v>4.8600000000000003</v>
      </c>
      <c r="P413" s="450">
        <v>9.2999999999999999E-2</v>
      </c>
    </row>
    <row r="414" spans="4:16" s="293" customFormat="1" x14ac:dyDescent="0.25">
      <c r="D414" s="98"/>
      <c r="E414" s="98"/>
      <c r="F414" s="99" t="s">
        <v>1016</v>
      </c>
      <c r="G414" s="196"/>
      <c r="H414" s="196" t="s">
        <v>147</v>
      </c>
      <c r="I414" s="196"/>
      <c r="J414" s="450">
        <v>2.8519999999999999</v>
      </c>
      <c r="K414" s="450">
        <v>0.219</v>
      </c>
      <c r="L414" s="450">
        <v>8.9999999999999993E-3</v>
      </c>
      <c r="M414" s="451">
        <v>395.45</v>
      </c>
      <c r="N414" s="451">
        <v>3.74</v>
      </c>
      <c r="O414" s="451">
        <v>4.8600000000000003</v>
      </c>
      <c r="P414" s="450">
        <v>9.2999999999999999E-2</v>
      </c>
    </row>
    <row r="415" spans="4:16" s="293" customFormat="1" x14ac:dyDescent="0.25">
      <c r="D415" s="98"/>
      <c r="E415" s="98"/>
      <c r="F415" s="99" t="s">
        <v>1017</v>
      </c>
      <c r="G415" s="196"/>
      <c r="H415" s="196" t="s">
        <v>147</v>
      </c>
      <c r="I415" s="196"/>
      <c r="J415" s="450">
        <v>2.8519999999999999</v>
      </c>
      <c r="K415" s="450">
        <v>0.219</v>
      </c>
      <c r="L415" s="450">
        <v>8.9999999999999993E-3</v>
      </c>
      <c r="M415" s="451">
        <v>969.29</v>
      </c>
      <c r="N415" s="451">
        <v>3.74</v>
      </c>
      <c r="O415" s="451">
        <v>4.8600000000000003</v>
      </c>
      <c r="P415" s="450">
        <v>9.2999999999999999E-2</v>
      </c>
    </row>
    <row r="416" spans="4:16" s="293" customFormat="1" x14ac:dyDescent="0.25">
      <c r="D416" s="98"/>
      <c r="E416" s="98"/>
      <c r="F416" s="99" t="s">
        <v>1018</v>
      </c>
      <c r="G416" s="196"/>
      <c r="H416" s="196" t="s">
        <v>147</v>
      </c>
      <c r="I416" s="196"/>
      <c r="J416" s="450">
        <v>2.7509999999999999</v>
      </c>
      <c r="K416" s="450">
        <v>0.187</v>
      </c>
      <c r="L416" s="450">
        <v>8.0000000000000002E-3</v>
      </c>
      <c r="M416" s="451">
        <v>155.44999999999999</v>
      </c>
      <c r="N416" s="451">
        <v>5.1100000000000003</v>
      </c>
      <c r="O416" s="451">
        <v>6.15</v>
      </c>
      <c r="P416" s="450">
        <v>8.1000000000000003E-2</v>
      </c>
    </row>
    <row r="417" spans="3:19" s="293" customFormat="1" x14ac:dyDescent="0.25">
      <c r="D417" s="98"/>
      <c r="E417" s="98"/>
      <c r="F417" s="99" t="s">
        <v>1019</v>
      </c>
      <c r="G417" s="196"/>
      <c r="H417" s="196" t="s">
        <v>147</v>
      </c>
      <c r="I417" s="196"/>
      <c r="J417" s="450">
        <v>2.7509999999999999</v>
      </c>
      <c r="K417" s="450">
        <v>0.187</v>
      </c>
      <c r="L417" s="450">
        <v>8.0000000000000002E-3</v>
      </c>
      <c r="M417" s="451">
        <v>1167.25</v>
      </c>
      <c r="N417" s="451">
        <v>5.1100000000000003</v>
      </c>
      <c r="O417" s="451">
        <v>6.15</v>
      </c>
      <c r="P417" s="450">
        <v>8.1000000000000003E-2</v>
      </c>
    </row>
    <row r="418" spans="3:19" s="293" customFormat="1" x14ac:dyDescent="0.25">
      <c r="D418" s="98"/>
      <c r="E418" s="98"/>
      <c r="F418" s="99" t="s">
        <v>1020</v>
      </c>
      <c r="G418" s="196"/>
      <c r="H418" s="196" t="s">
        <v>147</v>
      </c>
      <c r="I418" s="196"/>
      <c r="J418" s="450">
        <v>2.7509999999999999</v>
      </c>
      <c r="K418" s="450">
        <v>0.187</v>
      </c>
      <c r="L418" s="450">
        <v>8.0000000000000002E-3</v>
      </c>
      <c r="M418" s="451">
        <v>3107.52</v>
      </c>
      <c r="N418" s="451">
        <v>5.1100000000000003</v>
      </c>
      <c r="O418" s="451">
        <v>6.15</v>
      </c>
      <c r="P418" s="450">
        <v>8.1000000000000003E-2</v>
      </c>
    </row>
    <row r="419" spans="3:19" s="293" customFormat="1" x14ac:dyDescent="0.25">
      <c r="D419" s="98"/>
      <c r="E419" s="98"/>
      <c r="F419" s="99" t="s">
        <v>1021</v>
      </c>
      <c r="G419" s="196"/>
      <c r="H419" s="196" t="s">
        <v>147</v>
      </c>
      <c r="I419" s="196"/>
      <c r="J419" s="450">
        <v>2.7509999999999999</v>
      </c>
      <c r="K419" s="450">
        <v>0.187</v>
      </c>
      <c r="L419" s="450">
        <v>8.0000000000000002E-3</v>
      </c>
      <c r="M419" s="451">
        <v>5573.88</v>
      </c>
      <c r="N419" s="451">
        <v>5.1100000000000003</v>
      </c>
      <c r="O419" s="451">
        <v>6.15</v>
      </c>
      <c r="P419" s="450">
        <v>8.1000000000000003E-2</v>
      </c>
    </row>
    <row r="420" spans="3:19" s="293" customFormat="1" x14ac:dyDescent="0.25">
      <c r="D420" s="98"/>
      <c r="E420" s="98"/>
      <c r="F420" s="99" t="s">
        <v>1022</v>
      </c>
      <c r="G420" s="196"/>
      <c r="H420" s="196" t="s">
        <v>147</v>
      </c>
      <c r="I420" s="196"/>
      <c r="J420" s="450">
        <v>2.7509999999999999</v>
      </c>
      <c r="K420" s="450">
        <v>0.187</v>
      </c>
      <c r="L420" s="450">
        <v>8.0000000000000002E-3</v>
      </c>
      <c r="M420" s="451">
        <v>14390.36</v>
      </c>
      <c r="N420" s="451">
        <v>5.1100000000000003</v>
      </c>
      <c r="O420" s="451">
        <v>6.15</v>
      </c>
      <c r="P420" s="450">
        <v>8.1000000000000003E-2</v>
      </c>
    </row>
    <row r="421" spans="3:19" s="293" customFormat="1" x14ac:dyDescent="0.25">
      <c r="D421" s="98"/>
      <c r="E421" s="98"/>
      <c r="F421" s="99" t="s">
        <v>933</v>
      </c>
      <c r="G421" s="196"/>
      <c r="H421" s="196" t="s">
        <v>147</v>
      </c>
      <c r="I421" s="196"/>
      <c r="J421" s="450">
        <v>9.5530000000000008</v>
      </c>
      <c r="K421" s="450">
        <v>1.8660000000000001</v>
      </c>
      <c r="L421" s="450">
        <v>1.472</v>
      </c>
      <c r="M421" s="451">
        <v>0</v>
      </c>
      <c r="N421" s="451">
        <v>0</v>
      </c>
      <c r="O421" s="451">
        <v>0</v>
      </c>
      <c r="P421" s="450">
        <v>0</v>
      </c>
    </row>
    <row r="422" spans="3:19" s="293" customFormat="1" x14ac:dyDescent="0.25">
      <c r="D422" s="98"/>
      <c r="E422" s="98"/>
      <c r="F422" s="99" t="s">
        <v>934</v>
      </c>
      <c r="G422" s="196"/>
      <c r="H422" s="196" t="s">
        <v>147</v>
      </c>
      <c r="I422" s="196"/>
      <c r="J422" s="450">
        <v>-5.9379999999999997</v>
      </c>
      <c r="K422" s="450">
        <v>-0.77500000000000002</v>
      </c>
      <c r="L422" s="450">
        <v>-3.7999999999999999E-2</v>
      </c>
      <c r="M422" s="451">
        <v>0</v>
      </c>
      <c r="N422" s="451">
        <v>0</v>
      </c>
      <c r="O422" s="451">
        <v>0</v>
      </c>
      <c r="P422" s="450">
        <v>0</v>
      </c>
    </row>
    <row r="423" spans="3:19" s="293" customFormat="1" x14ac:dyDescent="0.25">
      <c r="D423" s="98"/>
      <c r="E423" s="98"/>
      <c r="F423" s="99" t="s">
        <v>935</v>
      </c>
      <c r="G423" s="196"/>
      <c r="H423" s="196" t="s">
        <v>147</v>
      </c>
      <c r="I423" s="196"/>
      <c r="J423" s="450">
        <v>-5.3040000000000003</v>
      </c>
      <c r="K423" s="450">
        <v>-0.63300000000000001</v>
      </c>
      <c r="L423" s="450">
        <v>-0.03</v>
      </c>
      <c r="M423" s="451">
        <v>0</v>
      </c>
      <c r="N423" s="451">
        <v>0</v>
      </c>
      <c r="O423" s="451">
        <v>0</v>
      </c>
      <c r="P423" s="450">
        <v>0</v>
      </c>
    </row>
    <row r="424" spans="3:19" s="293" customFormat="1" x14ac:dyDescent="0.25">
      <c r="D424" s="98"/>
      <c r="E424" s="98"/>
      <c r="F424" s="99" t="s">
        <v>936</v>
      </c>
      <c r="G424" s="196"/>
      <c r="H424" s="196" t="s">
        <v>147</v>
      </c>
      <c r="I424" s="196"/>
      <c r="J424" s="450">
        <v>-5.9379999999999997</v>
      </c>
      <c r="K424" s="450">
        <v>-0.77500000000000002</v>
      </c>
      <c r="L424" s="450">
        <v>-3.7999999999999999E-2</v>
      </c>
      <c r="M424" s="451">
        <v>0</v>
      </c>
      <c r="N424" s="451">
        <v>0</v>
      </c>
      <c r="O424" s="451">
        <v>0</v>
      </c>
      <c r="P424" s="450">
        <v>0.23400000000000001</v>
      </c>
    </row>
    <row r="425" spans="3:19" x14ac:dyDescent="0.25">
      <c r="F425" s="99" t="s">
        <v>937</v>
      </c>
      <c r="G425" s="196"/>
      <c r="H425" s="196" t="s">
        <v>147</v>
      </c>
      <c r="I425" s="196"/>
      <c r="J425" s="452">
        <v>0</v>
      </c>
      <c r="K425" s="452">
        <v>0</v>
      </c>
      <c r="L425" s="452">
        <v>0</v>
      </c>
      <c r="M425" s="453">
        <v>0</v>
      </c>
      <c r="N425" s="453">
        <v>0</v>
      </c>
      <c r="O425" s="453">
        <v>0</v>
      </c>
      <c r="P425" s="452">
        <v>0</v>
      </c>
    </row>
    <row r="426" spans="3:19" x14ac:dyDescent="0.25">
      <c r="F426" s="99" t="s">
        <v>938</v>
      </c>
      <c r="G426" s="196"/>
      <c r="H426" s="196" t="s">
        <v>147</v>
      </c>
      <c r="I426" s="196"/>
      <c r="J426" s="450">
        <v>-5.3040000000000003</v>
      </c>
      <c r="K426" s="450">
        <v>-0.63300000000000001</v>
      </c>
      <c r="L426" s="450">
        <v>-0.03</v>
      </c>
      <c r="M426" s="451">
        <v>0</v>
      </c>
      <c r="N426" s="451">
        <v>0</v>
      </c>
      <c r="O426" s="451">
        <v>0</v>
      </c>
      <c r="P426" s="450">
        <v>0.19500000000000001</v>
      </c>
    </row>
    <row r="427" spans="3:19" x14ac:dyDescent="0.25">
      <c r="F427" s="99" t="s">
        <v>939</v>
      </c>
      <c r="G427" s="196"/>
      <c r="H427" s="196" t="s">
        <v>147</v>
      </c>
      <c r="I427" s="196"/>
      <c r="J427" s="452">
        <v>0</v>
      </c>
      <c r="K427" s="452">
        <v>0</v>
      </c>
      <c r="L427" s="452">
        <v>0</v>
      </c>
      <c r="M427" s="453">
        <v>0</v>
      </c>
      <c r="N427" s="453">
        <v>0</v>
      </c>
      <c r="O427" s="453">
        <v>0</v>
      </c>
      <c r="P427" s="452">
        <v>0</v>
      </c>
    </row>
    <row r="428" spans="3:19" x14ac:dyDescent="0.25">
      <c r="F428" s="99" t="s">
        <v>940</v>
      </c>
      <c r="G428" s="196"/>
      <c r="H428" s="196" t="s">
        <v>147</v>
      </c>
      <c r="I428" s="196"/>
      <c r="J428" s="450">
        <v>-4.0960000000000001</v>
      </c>
      <c r="K428" s="450">
        <v>-0.313</v>
      </c>
      <c r="L428" s="450">
        <v>-1.2999999999999999E-2</v>
      </c>
      <c r="M428" s="451">
        <v>0</v>
      </c>
      <c r="N428" s="451">
        <v>0</v>
      </c>
      <c r="O428" s="451">
        <v>0</v>
      </c>
      <c r="P428" s="450">
        <v>0.17</v>
      </c>
    </row>
    <row r="429" spans="3:19" x14ac:dyDescent="0.25">
      <c r="F429" s="100" t="s">
        <v>941</v>
      </c>
      <c r="G429" s="93"/>
      <c r="H429" s="93" t="s">
        <v>147</v>
      </c>
      <c r="I429" s="93"/>
      <c r="J429" s="438">
        <v>0</v>
      </c>
      <c r="K429" s="438">
        <v>0</v>
      </c>
      <c r="L429" s="438">
        <v>0</v>
      </c>
      <c r="M429" s="344">
        <v>0</v>
      </c>
      <c r="N429" s="344">
        <v>0</v>
      </c>
      <c r="O429" s="344">
        <v>0</v>
      </c>
      <c r="P429" s="438">
        <v>0</v>
      </c>
    </row>
    <row r="430" spans="3:19" x14ac:dyDescent="0.25">
      <c r="D430" s="96"/>
      <c r="E430" s="96"/>
      <c r="F430" s="96"/>
      <c r="G430" s="96"/>
      <c r="H430" s="96"/>
      <c r="I430" s="96"/>
      <c r="J430" s="439"/>
      <c r="K430" s="439"/>
      <c r="L430" s="439"/>
      <c r="M430" s="215"/>
      <c r="N430" s="215"/>
      <c r="O430" s="215"/>
      <c r="P430" s="439"/>
      <c r="Q430" s="96"/>
      <c r="R430" s="96"/>
      <c r="S430" s="96"/>
    </row>
    <row r="431" spans="3:19" s="195" customFormat="1" x14ac:dyDescent="0.25">
      <c r="C431" s="7" t="str">
        <f ca="1">INDEX('Version control'!$H$35:$H$61,MATCH($A$1,'Version control'!$F$35:$F$61,0),1)&amp;"-E: Tariff results for charging year " &amp; 'ARP_User control'!G34</f>
        <v>Output 501-E: Tariff results for charging year 2026/27</v>
      </c>
      <c r="D431" s="7"/>
      <c r="E431" s="7"/>
      <c r="F431" s="7"/>
      <c r="G431" s="7"/>
      <c r="H431" s="7"/>
      <c r="I431" s="7"/>
      <c r="J431" s="440"/>
      <c r="K431" s="440"/>
      <c r="L431" s="440"/>
      <c r="M431" s="7"/>
      <c r="N431" s="7"/>
      <c r="O431" s="7"/>
      <c r="P431" s="440"/>
      <c r="Q431" s="7"/>
      <c r="R431" s="7"/>
    </row>
    <row r="432" spans="3:19" x14ac:dyDescent="0.25">
      <c r="D432" s="85"/>
      <c r="E432" s="195"/>
      <c r="F432" s="195"/>
      <c r="J432" s="441"/>
      <c r="K432" s="441"/>
      <c r="L432" s="441"/>
      <c r="M432" s="213"/>
      <c r="N432" s="213"/>
      <c r="O432" s="213"/>
      <c r="P432" s="441"/>
    </row>
    <row r="433" spans="4:16" x14ac:dyDescent="0.25">
      <c r="D433" s="96"/>
      <c r="E433" s="96" t="str">
        <f>"All the way tariff forecast "&amp; 'ARP_User control'!G34</f>
        <v>All the way tariff forecast 2026/27</v>
      </c>
      <c r="F433" s="195"/>
      <c r="J433" s="441"/>
      <c r="K433" s="441"/>
      <c r="L433" s="441"/>
      <c r="M433" s="213"/>
      <c r="N433" s="213"/>
      <c r="O433" s="213"/>
      <c r="P433" s="441"/>
    </row>
    <row r="434" spans="4:16" x14ac:dyDescent="0.25">
      <c r="F434" s="103" t="s">
        <v>1002</v>
      </c>
      <c r="G434" s="91"/>
      <c r="H434" s="91" t="s">
        <v>261</v>
      </c>
      <c r="I434" s="91"/>
      <c r="J434" s="435">
        <v>8.7590000000000003</v>
      </c>
      <c r="K434" s="435">
        <v>1.1419999999999999</v>
      </c>
      <c r="L434" s="435">
        <v>5.5E-2</v>
      </c>
      <c r="M434" s="340">
        <v>14.12</v>
      </c>
      <c r="N434" s="340">
        <v>0</v>
      </c>
      <c r="O434" s="340">
        <v>0</v>
      </c>
      <c r="P434" s="435">
        <v>0</v>
      </c>
    </row>
    <row r="435" spans="4:16" x14ac:dyDescent="0.25">
      <c r="F435" s="99" t="s">
        <v>927</v>
      </c>
      <c r="G435" s="196"/>
      <c r="H435" s="196" t="s">
        <v>261</v>
      </c>
      <c r="I435" s="196"/>
      <c r="J435" s="450">
        <v>8.7590000000000003</v>
      </c>
      <c r="K435" s="450">
        <v>1.1419999999999999</v>
      </c>
      <c r="L435" s="450">
        <v>5.5E-2</v>
      </c>
      <c r="M435" s="451">
        <v>0</v>
      </c>
      <c r="N435" s="451">
        <v>0</v>
      </c>
      <c r="O435" s="451">
        <v>0</v>
      </c>
      <c r="P435" s="450">
        <v>0</v>
      </c>
    </row>
    <row r="436" spans="4:16" x14ac:dyDescent="0.25">
      <c r="F436" s="99" t="s">
        <v>1003</v>
      </c>
      <c r="G436" s="196"/>
      <c r="H436" s="196" t="s">
        <v>261</v>
      </c>
      <c r="I436" s="196"/>
      <c r="J436" s="450">
        <v>7.6859999999999999</v>
      </c>
      <c r="K436" s="450">
        <v>1.002</v>
      </c>
      <c r="L436" s="450">
        <v>4.9000000000000002E-2</v>
      </c>
      <c r="M436" s="451">
        <v>8.1199999999999992</v>
      </c>
      <c r="N436" s="451">
        <v>0</v>
      </c>
      <c r="O436" s="451">
        <v>0</v>
      </c>
      <c r="P436" s="450">
        <v>0</v>
      </c>
    </row>
    <row r="437" spans="4:16" x14ac:dyDescent="0.25">
      <c r="F437" s="99" t="s">
        <v>1004</v>
      </c>
      <c r="G437" s="196"/>
      <c r="H437" s="196" t="s">
        <v>261</v>
      </c>
      <c r="I437" s="196"/>
      <c r="J437" s="450">
        <v>7.6859999999999999</v>
      </c>
      <c r="K437" s="450">
        <v>1.002</v>
      </c>
      <c r="L437" s="450">
        <v>4.9000000000000002E-2</v>
      </c>
      <c r="M437" s="451">
        <v>13.4</v>
      </c>
      <c r="N437" s="451">
        <v>0</v>
      </c>
      <c r="O437" s="451">
        <v>0</v>
      </c>
      <c r="P437" s="450">
        <v>0</v>
      </c>
    </row>
    <row r="438" spans="4:16" x14ac:dyDescent="0.25">
      <c r="F438" s="99" t="s">
        <v>1005</v>
      </c>
      <c r="G438" s="196"/>
      <c r="H438" s="196" t="s">
        <v>261</v>
      </c>
      <c r="I438" s="196"/>
      <c r="J438" s="450">
        <v>7.6859999999999999</v>
      </c>
      <c r="K438" s="450">
        <v>1.002</v>
      </c>
      <c r="L438" s="450">
        <v>4.9000000000000002E-2</v>
      </c>
      <c r="M438" s="451">
        <v>25.45</v>
      </c>
      <c r="N438" s="451">
        <v>0</v>
      </c>
      <c r="O438" s="451">
        <v>0</v>
      </c>
      <c r="P438" s="450">
        <v>0</v>
      </c>
    </row>
    <row r="439" spans="4:16" x14ac:dyDescent="0.25">
      <c r="F439" s="99" t="s">
        <v>1006</v>
      </c>
      <c r="G439" s="196"/>
      <c r="H439" s="196" t="s">
        <v>261</v>
      </c>
      <c r="I439" s="196"/>
      <c r="J439" s="450">
        <v>7.6859999999999999</v>
      </c>
      <c r="K439" s="450">
        <v>1.002</v>
      </c>
      <c r="L439" s="450">
        <v>4.9000000000000002E-2</v>
      </c>
      <c r="M439" s="451">
        <v>47.4</v>
      </c>
      <c r="N439" s="451">
        <v>0</v>
      </c>
      <c r="O439" s="451">
        <v>0</v>
      </c>
      <c r="P439" s="450">
        <v>0</v>
      </c>
    </row>
    <row r="440" spans="4:16" x14ac:dyDescent="0.25">
      <c r="F440" s="99" t="s">
        <v>1007</v>
      </c>
      <c r="G440" s="196"/>
      <c r="H440" s="196" t="s">
        <v>261</v>
      </c>
      <c r="I440" s="196"/>
      <c r="J440" s="450">
        <v>7.6859999999999999</v>
      </c>
      <c r="K440" s="450">
        <v>1.002</v>
      </c>
      <c r="L440" s="450">
        <v>4.9000000000000002E-2</v>
      </c>
      <c r="M440" s="451">
        <v>114.99</v>
      </c>
      <c r="N440" s="451">
        <v>0</v>
      </c>
      <c r="O440" s="451">
        <v>0</v>
      </c>
      <c r="P440" s="450">
        <v>0</v>
      </c>
    </row>
    <row r="441" spans="4:16" s="293" customFormat="1" x14ac:dyDescent="0.25">
      <c r="D441" s="98"/>
      <c r="E441" s="98"/>
      <c r="F441" s="99" t="s">
        <v>929</v>
      </c>
      <c r="G441" s="196"/>
      <c r="H441" s="196" t="s">
        <v>261</v>
      </c>
      <c r="I441" s="196"/>
      <c r="J441" s="450">
        <v>7.6859999999999999</v>
      </c>
      <c r="K441" s="450">
        <v>1.002</v>
      </c>
      <c r="L441" s="450">
        <v>4.9000000000000002E-2</v>
      </c>
      <c r="M441" s="451">
        <v>0</v>
      </c>
      <c r="N441" s="451">
        <v>0</v>
      </c>
      <c r="O441" s="451">
        <v>0</v>
      </c>
      <c r="P441" s="450">
        <v>0</v>
      </c>
    </row>
    <row r="442" spans="4:16" s="293" customFormat="1" x14ac:dyDescent="0.25">
      <c r="D442" s="98"/>
      <c r="E442" s="98"/>
      <c r="F442" s="99" t="s">
        <v>1008</v>
      </c>
      <c r="G442" s="196"/>
      <c r="H442" s="196" t="s">
        <v>261</v>
      </c>
      <c r="I442" s="196"/>
      <c r="J442" s="450">
        <v>6.49</v>
      </c>
      <c r="K442" s="450">
        <v>0.72899999999999998</v>
      </c>
      <c r="L442" s="450">
        <v>3.4000000000000002E-2</v>
      </c>
      <c r="M442" s="451">
        <v>18.07</v>
      </c>
      <c r="N442" s="451">
        <v>3.71</v>
      </c>
      <c r="O442" s="451">
        <v>6.75</v>
      </c>
      <c r="P442" s="450">
        <v>0.22600000000000001</v>
      </c>
    </row>
    <row r="443" spans="4:16" s="293" customFormat="1" x14ac:dyDescent="0.25">
      <c r="D443" s="98"/>
      <c r="E443" s="98"/>
      <c r="F443" s="99" t="s">
        <v>1009</v>
      </c>
      <c r="G443" s="196"/>
      <c r="H443" s="196" t="s">
        <v>261</v>
      </c>
      <c r="I443" s="196"/>
      <c r="J443" s="450">
        <v>6.49</v>
      </c>
      <c r="K443" s="450">
        <v>0.72899999999999998</v>
      </c>
      <c r="L443" s="450">
        <v>3.4000000000000002E-2</v>
      </c>
      <c r="M443" s="451">
        <v>195.51</v>
      </c>
      <c r="N443" s="451">
        <v>3.71</v>
      </c>
      <c r="O443" s="451">
        <v>6.75</v>
      </c>
      <c r="P443" s="450">
        <v>0.22600000000000001</v>
      </c>
    </row>
    <row r="444" spans="4:16" x14ac:dyDescent="0.25">
      <c r="F444" s="99" t="s">
        <v>1010</v>
      </c>
      <c r="G444" s="196"/>
      <c r="H444" s="196" t="s">
        <v>261</v>
      </c>
      <c r="I444" s="196"/>
      <c r="J444" s="450">
        <v>6.49</v>
      </c>
      <c r="K444" s="450">
        <v>0.72899999999999998</v>
      </c>
      <c r="L444" s="450">
        <v>3.4000000000000002E-2</v>
      </c>
      <c r="M444" s="451">
        <v>348.7</v>
      </c>
      <c r="N444" s="451">
        <v>3.71</v>
      </c>
      <c r="O444" s="451">
        <v>6.75</v>
      </c>
      <c r="P444" s="450">
        <v>0.22600000000000001</v>
      </c>
    </row>
    <row r="445" spans="4:16" x14ac:dyDescent="0.25">
      <c r="F445" s="99" t="s">
        <v>1011</v>
      </c>
      <c r="G445" s="196"/>
      <c r="H445" s="196" t="s">
        <v>261</v>
      </c>
      <c r="I445" s="196"/>
      <c r="J445" s="450">
        <v>6.49</v>
      </c>
      <c r="K445" s="450">
        <v>0.72899999999999998</v>
      </c>
      <c r="L445" s="450">
        <v>3.4000000000000002E-2</v>
      </c>
      <c r="M445" s="451">
        <v>530.23</v>
      </c>
      <c r="N445" s="451">
        <v>3.71</v>
      </c>
      <c r="O445" s="451">
        <v>6.75</v>
      </c>
      <c r="P445" s="450">
        <v>0.22600000000000001</v>
      </c>
    </row>
    <row r="446" spans="4:16" x14ac:dyDescent="0.25">
      <c r="F446" s="99" t="s">
        <v>1012</v>
      </c>
      <c r="G446" s="196"/>
      <c r="H446" s="196" t="s">
        <v>261</v>
      </c>
      <c r="I446" s="196"/>
      <c r="J446" s="450">
        <v>6.49</v>
      </c>
      <c r="K446" s="450">
        <v>0.72899999999999998</v>
      </c>
      <c r="L446" s="450">
        <v>3.4000000000000002E-2</v>
      </c>
      <c r="M446" s="451">
        <v>1341.79</v>
      </c>
      <c r="N446" s="451">
        <v>3.71</v>
      </c>
      <c r="O446" s="451">
        <v>6.75</v>
      </c>
      <c r="P446" s="450">
        <v>0.22600000000000001</v>
      </c>
    </row>
    <row r="447" spans="4:16" x14ac:dyDescent="0.25">
      <c r="F447" s="99" t="s">
        <v>1013</v>
      </c>
      <c r="G447" s="196"/>
      <c r="H447" s="196" t="s">
        <v>261</v>
      </c>
      <c r="I447" s="196"/>
      <c r="J447" s="450">
        <v>3.7879999999999998</v>
      </c>
      <c r="K447" s="450">
        <v>0.29099999999999998</v>
      </c>
      <c r="L447" s="450">
        <v>1.2E-2</v>
      </c>
      <c r="M447" s="451">
        <v>42.36</v>
      </c>
      <c r="N447" s="451">
        <v>5.0599999999999996</v>
      </c>
      <c r="O447" s="451">
        <v>6.57</v>
      </c>
      <c r="P447" s="450">
        <v>0.126</v>
      </c>
    </row>
    <row r="448" spans="4:16" s="293" customFormat="1" x14ac:dyDescent="0.25">
      <c r="D448" s="98"/>
      <c r="E448" s="98"/>
      <c r="F448" s="99" t="s">
        <v>1014</v>
      </c>
      <c r="G448" s="196"/>
      <c r="H448" s="196" t="s">
        <v>261</v>
      </c>
      <c r="I448" s="196"/>
      <c r="J448" s="450">
        <v>3.7879999999999998</v>
      </c>
      <c r="K448" s="450">
        <v>0.29099999999999998</v>
      </c>
      <c r="L448" s="450">
        <v>1.2E-2</v>
      </c>
      <c r="M448" s="451">
        <v>219.8</v>
      </c>
      <c r="N448" s="451">
        <v>5.0599999999999996</v>
      </c>
      <c r="O448" s="451">
        <v>6.57</v>
      </c>
      <c r="P448" s="450">
        <v>0.126</v>
      </c>
    </row>
    <row r="449" spans="4:16" s="293" customFormat="1" x14ac:dyDescent="0.25">
      <c r="D449" s="98"/>
      <c r="E449" s="98"/>
      <c r="F449" s="99" t="s">
        <v>1015</v>
      </c>
      <c r="G449" s="196"/>
      <c r="H449" s="196" t="s">
        <v>261</v>
      </c>
      <c r="I449" s="196"/>
      <c r="J449" s="450">
        <v>3.7879999999999998</v>
      </c>
      <c r="K449" s="450">
        <v>0.29099999999999998</v>
      </c>
      <c r="L449" s="450">
        <v>1.2E-2</v>
      </c>
      <c r="M449" s="451">
        <v>373</v>
      </c>
      <c r="N449" s="451">
        <v>5.0599999999999996</v>
      </c>
      <c r="O449" s="451">
        <v>6.57</v>
      </c>
      <c r="P449" s="450">
        <v>0.126</v>
      </c>
    </row>
    <row r="450" spans="4:16" s="293" customFormat="1" x14ac:dyDescent="0.25">
      <c r="D450" s="98"/>
      <c r="E450" s="98"/>
      <c r="F450" s="99" t="s">
        <v>1016</v>
      </c>
      <c r="G450" s="196"/>
      <c r="H450" s="196" t="s">
        <v>261</v>
      </c>
      <c r="I450" s="196"/>
      <c r="J450" s="450">
        <v>3.7879999999999998</v>
      </c>
      <c r="K450" s="450">
        <v>0.29099999999999998</v>
      </c>
      <c r="L450" s="450">
        <v>1.2E-2</v>
      </c>
      <c r="M450" s="451">
        <v>554.53</v>
      </c>
      <c r="N450" s="451">
        <v>5.0599999999999996</v>
      </c>
      <c r="O450" s="451">
        <v>6.57</v>
      </c>
      <c r="P450" s="450">
        <v>0.126</v>
      </c>
    </row>
    <row r="451" spans="4:16" s="293" customFormat="1" x14ac:dyDescent="0.25">
      <c r="D451" s="98"/>
      <c r="E451" s="98"/>
      <c r="F451" s="99" t="s">
        <v>1017</v>
      </c>
      <c r="G451" s="196"/>
      <c r="H451" s="196" t="s">
        <v>261</v>
      </c>
      <c r="I451" s="196"/>
      <c r="J451" s="450">
        <v>3.7879999999999998</v>
      </c>
      <c r="K451" s="450">
        <v>0.29099999999999998</v>
      </c>
      <c r="L451" s="450">
        <v>1.2E-2</v>
      </c>
      <c r="M451" s="451">
        <v>1366.09</v>
      </c>
      <c r="N451" s="451">
        <v>5.0599999999999996</v>
      </c>
      <c r="O451" s="451">
        <v>6.57</v>
      </c>
      <c r="P451" s="450">
        <v>0.126</v>
      </c>
    </row>
    <row r="452" spans="4:16" s="293" customFormat="1" x14ac:dyDescent="0.25">
      <c r="D452" s="98"/>
      <c r="E452" s="98"/>
      <c r="F452" s="99" t="s">
        <v>1018</v>
      </c>
      <c r="G452" s="196"/>
      <c r="H452" s="196" t="s">
        <v>261</v>
      </c>
      <c r="I452" s="196"/>
      <c r="J452" s="450">
        <v>3.242</v>
      </c>
      <c r="K452" s="450">
        <v>0.22</v>
      </c>
      <c r="L452" s="450">
        <v>8.9999999999999993E-3</v>
      </c>
      <c r="M452" s="451">
        <v>184</v>
      </c>
      <c r="N452" s="451">
        <v>6.03</v>
      </c>
      <c r="O452" s="451">
        <v>7.25</v>
      </c>
      <c r="P452" s="450">
        <v>9.6000000000000002E-2</v>
      </c>
    </row>
    <row r="453" spans="4:16" s="293" customFormat="1" x14ac:dyDescent="0.25">
      <c r="D453" s="98"/>
      <c r="E453" s="98"/>
      <c r="F453" s="99" t="s">
        <v>1019</v>
      </c>
      <c r="G453" s="196"/>
      <c r="H453" s="196" t="s">
        <v>261</v>
      </c>
      <c r="I453" s="196"/>
      <c r="J453" s="450">
        <v>3.242</v>
      </c>
      <c r="K453" s="450">
        <v>0.22</v>
      </c>
      <c r="L453" s="450">
        <v>8.9999999999999993E-3</v>
      </c>
      <c r="M453" s="451">
        <v>1463.46</v>
      </c>
      <c r="N453" s="451">
        <v>6.03</v>
      </c>
      <c r="O453" s="451">
        <v>7.25</v>
      </c>
      <c r="P453" s="450">
        <v>9.6000000000000002E-2</v>
      </c>
    </row>
    <row r="454" spans="4:16" s="293" customFormat="1" x14ac:dyDescent="0.25">
      <c r="D454" s="98"/>
      <c r="E454" s="98"/>
      <c r="F454" s="99" t="s">
        <v>1020</v>
      </c>
      <c r="G454" s="196"/>
      <c r="H454" s="196" t="s">
        <v>261</v>
      </c>
      <c r="I454" s="196"/>
      <c r="J454" s="450">
        <v>3.242</v>
      </c>
      <c r="K454" s="450">
        <v>0.22</v>
      </c>
      <c r="L454" s="450">
        <v>8.9999999999999993E-3</v>
      </c>
      <c r="M454" s="451">
        <v>3916.98</v>
      </c>
      <c r="N454" s="451">
        <v>6.03</v>
      </c>
      <c r="O454" s="451">
        <v>7.25</v>
      </c>
      <c r="P454" s="450">
        <v>9.6000000000000002E-2</v>
      </c>
    </row>
    <row r="455" spans="4:16" s="293" customFormat="1" x14ac:dyDescent="0.25">
      <c r="D455" s="98"/>
      <c r="E455" s="98"/>
      <c r="F455" s="99" t="s">
        <v>1021</v>
      </c>
      <c r="G455" s="196"/>
      <c r="H455" s="196" t="s">
        <v>261</v>
      </c>
      <c r="I455" s="196"/>
      <c r="J455" s="450">
        <v>3.242</v>
      </c>
      <c r="K455" s="450">
        <v>0.22</v>
      </c>
      <c r="L455" s="450">
        <v>8.9999999999999993E-3</v>
      </c>
      <c r="M455" s="451">
        <v>7035.78</v>
      </c>
      <c r="N455" s="451">
        <v>6.03</v>
      </c>
      <c r="O455" s="451">
        <v>7.25</v>
      </c>
      <c r="P455" s="450">
        <v>9.6000000000000002E-2</v>
      </c>
    </row>
    <row r="456" spans="4:16" s="293" customFormat="1" x14ac:dyDescent="0.25">
      <c r="D456" s="98"/>
      <c r="E456" s="98"/>
      <c r="F456" s="99" t="s">
        <v>1022</v>
      </c>
      <c r="G456" s="196"/>
      <c r="H456" s="196" t="s">
        <v>261</v>
      </c>
      <c r="I456" s="196"/>
      <c r="J456" s="450">
        <v>3.242</v>
      </c>
      <c r="K456" s="450">
        <v>0.22</v>
      </c>
      <c r="L456" s="450">
        <v>8.9999999999999993E-3</v>
      </c>
      <c r="M456" s="451">
        <v>18184.48</v>
      </c>
      <c r="N456" s="451">
        <v>6.03</v>
      </c>
      <c r="O456" s="451">
        <v>7.25</v>
      </c>
      <c r="P456" s="450">
        <v>9.6000000000000002E-2</v>
      </c>
    </row>
    <row r="457" spans="4:16" s="293" customFormat="1" x14ac:dyDescent="0.25">
      <c r="D457" s="98"/>
      <c r="E457" s="98"/>
      <c r="F457" s="99" t="s">
        <v>933</v>
      </c>
      <c r="G457" s="196"/>
      <c r="H457" s="196" t="s">
        <v>261</v>
      </c>
      <c r="I457" s="196"/>
      <c r="J457" s="450">
        <v>20.844999999999999</v>
      </c>
      <c r="K457" s="450">
        <v>4.12</v>
      </c>
      <c r="L457" s="450">
        <v>3.262</v>
      </c>
      <c r="M457" s="451">
        <v>0</v>
      </c>
      <c r="N457" s="451">
        <v>0</v>
      </c>
      <c r="O457" s="451">
        <v>0</v>
      </c>
      <c r="P457" s="450">
        <v>0</v>
      </c>
    </row>
    <row r="458" spans="4:16" s="293" customFormat="1" x14ac:dyDescent="0.25">
      <c r="D458" s="98"/>
      <c r="E458" s="98"/>
      <c r="F458" s="99" t="s">
        <v>934</v>
      </c>
      <c r="G458" s="196"/>
      <c r="H458" s="196" t="s">
        <v>261</v>
      </c>
      <c r="I458" s="196"/>
      <c r="J458" s="450">
        <v>-5.9569999999999999</v>
      </c>
      <c r="K458" s="450">
        <v>-0.77700000000000002</v>
      </c>
      <c r="L458" s="450">
        <v>-3.7999999999999999E-2</v>
      </c>
      <c r="M458" s="451">
        <v>0</v>
      </c>
      <c r="N458" s="451">
        <v>0</v>
      </c>
      <c r="O458" s="451">
        <v>0</v>
      </c>
      <c r="P458" s="450">
        <v>0</v>
      </c>
    </row>
    <row r="459" spans="4:16" s="293" customFormat="1" x14ac:dyDescent="0.25">
      <c r="D459" s="98"/>
      <c r="E459" s="98"/>
      <c r="F459" s="99" t="s">
        <v>935</v>
      </c>
      <c r="G459" s="196"/>
      <c r="H459" s="196" t="s">
        <v>261</v>
      </c>
      <c r="I459" s="196"/>
      <c r="J459" s="450">
        <v>-5.3209999999999997</v>
      </c>
      <c r="K459" s="450">
        <v>-0.63500000000000001</v>
      </c>
      <c r="L459" s="450">
        <v>-0.03</v>
      </c>
      <c r="M459" s="451">
        <v>0</v>
      </c>
      <c r="N459" s="451">
        <v>0</v>
      </c>
      <c r="O459" s="451">
        <v>0</v>
      </c>
      <c r="P459" s="450">
        <v>0</v>
      </c>
    </row>
    <row r="460" spans="4:16" s="293" customFormat="1" x14ac:dyDescent="0.25">
      <c r="D460" s="98"/>
      <c r="E460" s="98"/>
      <c r="F460" s="99" t="s">
        <v>936</v>
      </c>
      <c r="G460" s="196"/>
      <c r="H460" s="196" t="s">
        <v>261</v>
      </c>
      <c r="I460" s="196"/>
      <c r="J460" s="450">
        <v>-5.9569999999999999</v>
      </c>
      <c r="K460" s="450">
        <v>-0.77700000000000002</v>
      </c>
      <c r="L460" s="450">
        <v>-3.7999999999999999E-2</v>
      </c>
      <c r="M460" s="451">
        <v>0</v>
      </c>
      <c r="N460" s="451">
        <v>0</v>
      </c>
      <c r="O460" s="451">
        <v>0</v>
      </c>
      <c r="P460" s="450">
        <v>0.23499999999999999</v>
      </c>
    </row>
    <row r="461" spans="4:16" x14ac:dyDescent="0.25">
      <c r="F461" s="99" t="s">
        <v>937</v>
      </c>
      <c r="G461" s="196"/>
      <c r="H461" s="196" t="s">
        <v>261</v>
      </c>
      <c r="I461" s="196"/>
      <c r="J461" s="450">
        <v>-5.9569999999999999</v>
      </c>
      <c r="K461" s="450">
        <v>-0.77700000000000002</v>
      </c>
      <c r="L461" s="450">
        <v>-3.7999999999999999E-2</v>
      </c>
      <c r="M461" s="451">
        <v>0</v>
      </c>
      <c r="N461" s="451">
        <v>0</v>
      </c>
      <c r="O461" s="451">
        <v>0</v>
      </c>
      <c r="P461" s="450">
        <v>0</v>
      </c>
    </row>
    <row r="462" spans="4:16" x14ac:dyDescent="0.25">
      <c r="F462" s="99" t="s">
        <v>938</v>
      </c>
      <c r="G462" s="196"/>
      <c r="H462" s="196" t="s">
        <v>261</v>
      </c>
      <c r="I462" s="196"/>
      <c r="J462" s="450">
        <v>-5.3209999999999997</v>
      </c>
      <c r="K462" s="450">
        <v>-0.63500000000000001</v>
      </c>
      <c r="L462" s="450">
        <v>-0.03</v>
      </c>
      <c r="M462" s="451">
        <v>0</v>
      </c>
      <c r="N462" s="451">
        <v>0</v>
      </c>
      <c r="O462" s="451">
        <v>0</v>
      </c>
      <c r="P462" s="450">
        <v>0.19600000000000001</v>
      </c>
    </row>
    <row r="463" spans="4:16" x14ac:dyDescent="0.25">
      <c r="F463" s="99" t="s">
        <v>939</v>
      </c>
      <c r="G463" s="196"/>
      <c r="H463" s="196" t="s">
        <v>261</v>
      </c>
      <c r="I463" s="196"/>
      <c r="J463" s="450">
        <v>-5.3209999999999997</v>
      </c>
      <c r="K463" s="450">
        <v>-0.63500000000000001</v>
      </c>
      <c r="L463" s="450">
        <v>-0.03</v>
      </c>
      <c r="M463" s="451">
        <v>0</v>
      </c>
      <c r="N463" s="451">
        <v>0</v>
      </c>
      <c r="O463" s="451">
        <v>0</v>
      </c>
      <c r="P463" s="450">
        <v>0</v>
      </c>
    </row>
    <row r="464" spans="4:16" x14ac:dyDescent="0.25">
      <c r="F464" s="99" t="s">
        <v>940</v>
      </c>
      <c r="G464" s="196"/>
      <c r="H464" s="196" t="s">
        <v>261</v>
      </c>
      <c r="I464" s="196"/>
      <c r="J464" s="450">
        <v>-4.109</v>
      </c>
      <c r="K464" s="450">
        <v>-0.314</v>
      </c>
      <c r="L464" s="450">
        <v>-1.2999999999999999E-2</v>
      </c>
      <c r="M464" s="451">
        <v>368.2</v>
      </c>
      <c r="N464" s="451">
        <v>0</v>
      </c>
      <c r="O464" s="451">
        <v>0</v>
      </c>
      <c r="P464" s="450">
        <v>0.17</v>
      </c>
    </row>
    <row r="465" spans="4:16" x14ac:dyDescent="0.25">
      <c r="F465" s="100" t="s">
        <v>941</v>
      </c>
      <c r="G465" s="93"/>
      <c r="H465" s="93" t="s">
        <v>261</v>
      </c>
      <c r="I465" s="93"/>
      <c r="J465" s="436">
        <v>-4.109</v>
      </c>
      <c r="K465" s="436">
        <v>-0.314</v>
      </c>
      <c r="L465" s="436">
        <v>-1.2999999999999999E-2</v>
      </c>
      <c r="M465" s="342">
        <v>368.2</v>
      </c>
      <c r="N465" s="342">
        <v>0</v>
      </c>
      <c r="O465" s="342">
        <v>0</v>
      </c>
      <c r="P465" s="436">
        <v>0</v>
      </c>
    </row>
    <row r="466" spans="4:16" x14ac:dyDescent="0.25">
      <c r="F466" s="98"/>
      <c r="G466" s="293"/>
      <c r="H466" s="293"/>
      <c r="I466" s="293"/>
      <c r="J466" s="343"/>
      <c r="K466" s="343"/>
      <c r="L466" s="343"/>
      <c r="M466" s="343"/>
      <c r="N466" s="343"/>
      <c r="O466" s="343"/>
      <c r="P466" s="437"/>
    </row>
    <row r="467" spans="4:16" x14ac:dyDescent="0.25">
      <c r="D467" s="96"/>
      <c r="E467" s="96" t="str">
        <f>"LDNO LV tariff forecast "&amp; 'ARP_User control'!G34</f>
        <v>LDNO LV tariff forecast 2026/27</v>
      </c>
      <c r="F467" s="98"/>
      <c r="G467" s="293"/>
      <c r="H467" s="293"/>
      <c r="I467" s="293"/>
      <c r="J467" s="343"/>
      <c r="K467" s="343"/>
      <c r="L467" s="343"/>
      <c r="M467" s="343"/>
      <c r="N467" s="343"/>
      <c r="O467" s="343"/>
      <c r="P467" s="437"/>
    </row>
    <row r="468" spans="4:16" x14ac:dyDescent="0.25">
      <c r="F468" s="103" t="s">
        <v>1002</v>
      </c>
      <c r="G468" s="91"/>
      <c r="H468" s="91" t="s">
        <v>146</v>
      </c>
      <c r="I468" s="91"/>
      <c r="J468" s="435">
        <v>5.6719999999999997</v>
      </c>
      <c r="K468" s="435">
        <v>0.74</v>
      </c>
      <c r="L468" s="435">
        <v>3.5999999999999997E-2</v>
      </c>
      <c r="M468" s="340">
        <v>9.15</v>
      </c>
      <c r="N468" s="340">
        <v>0</v>
      </c>
      <c r="O468" s="340">
        <v>0</v>
      </c>
      <c r="P468" s="435">
        <v>0</v>
      </c>
    </row>
    <row r="469" spans="4:16" x14ac:dyDescent="0.25">
      <c r="F469" s="99" t="s">
        <v>927</v>
      </c>
      <c r="G469" s="196"/>
      <c r="H469" s="196" t="s">
        <v>146</v>
      </c>
      <c r="I469" s="196"/>
      <c r="J469" s="450">
        <v>5.6719999999999997</v>
      </c>
      <c r="K469" s="450">
        <v>0.74</v>
      </c>
      <c r="L469" s="450">
        <v>3.5999999999999997E-2</v>
      </c>
      <c r="M469" s="451">
        <v>0</v>
      </c>
      <c r="N469" s="451">
        <v>0</v>
      </c>
      <c r="O469" s="451">
        <v>0</v>
      </c>
      <c r="P469" s="450">
        <v>0</v>
      </c>
    </row>
    <row r="470" spans="4:16" x14ac:dyDescent="0.25">
      <c r="F470" s="99" t="s">
        <v>1003</v>
      </c>
      <c r="G470" s="196"/>
      <c r="H470" s="196" t="s">
        <v>146</v>
      </c>
      <c r="I470" s="196"/>
      <c r="J470" s="450">
        <v>4.9770000000000003</v>
      </c>
      <c r="K470" s="450">
        <v>0.64900000000000002</v>
      </c>
      <c r="L470" s="450">
        <v>3.1E-2</v>
      </c>
      <c r="M470" s="451">
        <v>5.26</v>
      </c>
      <c r="N470" s="451">
        <v>0</v>
      </c>
      <c r="O470" s="451">
        <v>0</v>
      </c>
      <c r="P470" s="450">
        <v>0</v>
      </c>
    </row>
    <row r="471" spans="4:16" x14ac:dyDescent="0.25">
      <c r="F471" s="99" t="s">
        <v>1004</v>
      </c>
      <c r="G471" s="196"/>
      <c r="H471" s="196" t="s">
        <v>146</v>
      </c>
      <c r="I471" s="196"/>
      <c r="J471" s="450">
        <v>4.9770000000000003</v>
      </c>
      <c r="K471" s="450">
        <v>0.64900000000000002</v>
      </c>
      <c r="L471" s="450">
        <v>3.1E-2</v>
      </c>
      <c r="M471" s="451">
        <v>8.68</v>
      </c>
      <c r="N471" s="451">
        <v>0</v>
      </c>
      <c r="O471" s="451">
        <v>0</v>
      </c>
      <c r="P471" s="450">
        <v>0</v>
      </c>
    </row>
    <row r="472" spans="4:16" x14ac:dyDescent="0.25">
      <c r="F472" s="99" t="s">
        <v>1005</v>
      </c>
      <c r="G472" s="196"/>
      <c r="H472" s="196" t="s">
        <v>146</v>
      </c>
      <c r="I472" s="196"/>
      <c r="J472" s="450">
        <v>4.9770000000000003</v>
      </c>
      <c r="K472" s="450">
        <v>0.64900000000000002</v>
      </c>
      <c r="L472" s="450">
        <v>3.1E-2</v>
      </c>
      <c r="M472" s="451">
        <v>16.48</v>
      </c>
      <c r="N472" s="451">
        <v>0</v>
      </c>
      <c r="O472" s="451">
        <v>0</v>
      </c>
      <c r="P472" s="450">
        <v>0</v>
      </c>
    </row>
    <row r="473" spans="4:16" x14ac:dyDescent="0.25">
      <c r="F473" s="99" t="s">
        <v>1006</v>
      </c>
      <c r="G473" s="196"/>
      <c r="H473" s="196" t="s">
        <v>146</v>
      </c>
      <c r="I473" s="196"/>
      <c r="J473" s="450">
        <v>4.9770000000000003</v>
      </c>
      <c r="K473" s="450">
        <v>0.64900000000000002</v>
      </c>
      <c r="L473" s="450">
        <v>3.1E-2</v>
      </c>
      <c r="M473" s="451">
        <v>30.7</v>
      </c>
      <c r="N473" s="451">
        <v>0</v>
      </c>
      <c r="O473" s="451">
        <v>0</v>
      </c>
      <c r="P473" s="450">
        <v>0</v>
      </c>
    </row>
    <row r="474" spans="4:16" x14ac:dyDescent="0.25">
      <c r="F474" s="99" t="s">
        <v>1007</v>
      </c>
      <c r="G474" s="196"/>
      <c r="H474" s="196" t="s">
        <v>146</v>
      </c>
      <c r="I474" s="196"/>
      <c r="J474" s="450">
        <v>4.9770000000000003</v>
      </c>
      <c r="K474" s="450">
        <v>0.64900000000000002</v>
      </c>
      <c r="L474" s="450">
        <v>3.1E-2</v>
      </c>
      <c r="M474" s="451">
        <v>74.459999999999994</v>
      </c>
      <c r="N474" s="451">
        <v>0</v>
      </c>
      <c r="O474" s="451">
        <v>0</v>
      </c>
      <c r="P474" s="450">
        <v>0</v>
      </c>
    </row>
    <row r="475" spans="4:16" s="293" customFormat="1" x14ac:dyDescent="0.25">
      <c r="D475" s="98"/>
      <c r="E475" s="98"/>
      <c r="F475" s="99" t="s">
        <v>929</v>
      </c>
      <c r="G475" s="196"/>
      <c r="H475" s="196" t="s">
        <v>146</v>
      </c>
      <c r="I475" s="196"/>
      <c r="J475" s="450">
        <v>4.9770000000000003</v>
      </c>
      <c r="K475" s="450">
        <v>0.64900000000000002</v>
      </c>
      <c r="L475" s="450">
        <v>3.1E-2</v>
      </c>
      <c r="M475" s="451">
        <v>0</v>
      </c>
      <c r="N475" s="451">
        <v>0</v>
      </c>
      <c r="O475" s="451">
        <v>0</v>
      </c>
      <c r="P475" s="450">
        <v>0</v>
      </c>
    </row>
    <row r="476" spans="4:16" s="293" customFormat="1" x14ac:dyDescent="0.25">
      <c r="D476" s="98"/>
      <c r="E476" s="98"/>
      <c r="F476" s="99" t="s">
        <v>1008</v>
      </c>
      <c r="G476" s="196"/>
      <c r="H476" s="196" t="s">
        <v>146</v>
      </c>
      <c r="I476" s="196"/>
      <c r="J476" s="450">
        <v>4.2030000000000003</v>
      </c>
      <c r="K476" s="450">
        <v>0.47199999999999998</v>
      </c>
      <c r="L476" s="450">
        <v>2.1999999999999999E-2</v>
      </c>
      <c r="M476" s="451">
        <v>11.7</v>
      </c>
      <c r="N476" s="451">
        <v>2.4</v>
      </c>
      <c r="O476" s="451">
        <v>4.37</v>
      </c>
      <c r="P476" s="450">
        <v>0.14699999999999999</v>
      </c>
    </row>
    <row r="477" spans="4:16" s="293" customFormat="1" x14ac:dyDescent="0.25">
      <c r="D477" s="98"/>
      <c r="E477" s="98"/>
      <c r="F477" s="99" t="s">
        <v>1009</v>
      </c>
      <c r="G477" s="196"/>
      <c r="H477" s="196" t="s">
        <v>146</v>
      </c>
      <c r="I477" s="196"/>
      <c r="J477" s="450">
        <v>4.2030000000000003</v>
      </c>
      <c r="K477" s="450">
        <v>0.47199999999999998</v>
      </c>
      <c r="L477" s="450">
        <v>2.1999999999999999E-2</v>
      </c>
      <c r="M477" s="451">
        <v>126.61</v>
      </c>
      <c r="N477" s="451">
        <v>2.4</v>
      </c>
      <c r="O477" s="451">
        <v>4.37</v>
      </c>
      <c r="P477" s="450">
        <v>0.14699999999999999</v>
      </c>
    </row>
    <row r="478" spans="4:16" x14ac:dyDescent="0.25">
      <c r="F478" s="99" t="s">
        <v>1010</v>
      </c>
      <c r="G478" s="196"/>
      <c r="H478" s="196" t="s">
        <v>146</v>
      </c>
      <c r="I478" s="196"/>
      <c r="J478" s="450">
        <v>4.2030000000000003</v>
      </c>
      <c r="K478" s="450">
        <v>0.47199999999999998</v>
      </c>
      <c r="L478" s="450">
        <v>2.1999999999999999E-2</v>
      </c>
      <c r="M478" s="451">
        <v>225.82</v>
      </c>
      <c r="N478" s="451">
        <v>2.4</v>
      </c>
      <c r="O478" s="451">
        <v>4.37</v>
      </c>
      <c r="P478" s="450">
        <v>0.14699999999999999</v>
      </c>
    </row>
    <row r="479" spans="4:16" x14ac:dyDescent="0.25">
      <c r="F479" s="99" t="s">
        <v>1011</v>
      </c>
      <c r="G479" s="196"/>
      <c r="H479" s="196" t="s">
        <v>146</v>
      </c>
      <c r="I479" s="196"/>
      <c r="J479" s="450">
        <v>4.2030000000000003</v>
      </c>
      <c r="K479" s="450">
        <v>0.47199999999999998</v>
      </c>
      <c r="L479" s="450">
        <v>2.1999999999999999E-2</v>
      </c>
      <c r="M479" s="451">
        <v>343.37</v>
      </c>
      <c r="N479" s="451">
        <v>2.4</v>
      </c>
      <c r="O479" s="451">
        <v>4.37</v>
      </c>
      <c r="P479" s="450">
        <v>0.14699999999999999</v>
      </c>
    </row>
    <row r="480" spans="4:16" x14ac:dyDescent="0.25">
      <c r="F480" s="99" t="s">
        <v>1012</v>
      </c>
      <c r="G480" s="196"/>
      <c r="H480" s="196" t="s">
        <v>146</v>
      </c>
      <c r="I480" s="196"/>
      <c r="J480" s="450">
        <v>4.2030000000000003</v>
      </c>
      <c r="K480" s="450">
        <v>0.47199999999999998</v>
      </c>
      <c r="L480" s="450">
        <v>2.1999999999999999E-2</v>
      </c>
      <c r="M480" s="451">
        <v>868.93</v>
      </c>
      <c r="N480" s="451">
        <v>2.4</v>
      </c>
      <c r="O480" s="451">
        <v>4.37</v>
      </c>
      <c r="P480" s="450">
        <v>0.14699999999999999</v>
      </c>
    </row>
    <row r="481" spans="4:16" x14ac:dyDescent="0.25">
      <c r="F481" s="99" t="s">
        <v>1013</v>
      </c>
      <c r="G481" s="196"/>
      <c r="H481" s="196" t="s">
        <v>146</v>
      </c>
      <c r="I481" s="196"/>
      <c r="J481" s="452">
        <v>0</v>
      </c>
      <c r="K481" s="452">
        <v>0</v>
      </c>
      <c r="L481" s="452">
        <v>0</v>
      </c>
      <c r="M481" s="453">
        <v>0</v>
      </c>
      <c r="N481" s="453">
        <v>0</v>
      </c>
      <c r="O481" s="453">
        <v>0</v>
      </c>
      <c r="P481" s="452">
        <v>0</v>
      </c>
    </row>
    <row r="482" spans="4:16" s="293" customFormat="1" x14ac:dyDescent="0.25">
      <c r="D482" s="98"/>
      <c r="E482" s="98"/>
      <c r="F482" s="99" t="s">
        <v>1014</v>
      </c>
      <c r="G482" s="196"/>
      <c r="H482" s="196" t="s">
        <v>146</v>
      </c>
      <c r="I482" s="196"/>
      <c r="J482" s="452">
        <v>0</v>
      </c>
      <c r="K482" s="452">
        <v>0</v>
      </c>
      <c r="L482" s="452">
        <v>0</v>
      </c>
      <c r="M482" s="453">
        <v>0</v>
      </c>
      <c r="N482" s="453">
        <v>0</v>
      </c>
      <c r="O482" s="453">
        <v>0</v>
      </c>
      <c r="P482" s="452">
        <v>0</v>
      </c>
    </row>
    <row r="483" spans="4:16" s="293" customFormat="1" x14ac:dyDescent="0.25">
      <c r="D483" s="98"/>
      <c r="E483" s="98"/>
      <c r="F483" s="99" t="s">
        <v>1015</v>
      </c>
      <c r="G483" s="196"/>
      <c r="H483" s="196" t="s">
        <v>146</v>
      </c>
      <c r="I483" s="196"/>
      <c r="J483" s="452">
        <v>0</v>
      </c>
      <c r="K483" s="452">
        <v>0</v>
      </c>
      <c r="L483" s="452">
        <v>0</v>
      </c>
      <c r="M483" s="453">
        <v>0</v>
      </c>
      <c r="N483" s="453">
        <v>0</v>
      </c>
      <c r="O483" s="453">
        <v>0</v>
      </c>
      <c r="P483" s="452">
        <v>0</v>
      </c>
    </row>
    <row r="484" spans="4:16" s="293" customFormat="1" x14ac:dyDescent="0.25">
      <c r="D484" s="98"/>
      <c r="E484" s="98"/>
      <c r="F484" s="99" t="s">
        <v>1016</v>
      </c>
      <c r="G484" s="196"/>
      <c r="H484" s="196" t="s">
        <v>146</v>
      </c>
      <c r="I484" s="196"/>
      <c r="J484" s="452">
        <v>0</v>
      </c>
      <c r="K484" s="452">
        <v>0</v>
      </c>
      <c r="L484" s="452">
        <v>0</v>
      </c>
      <c r="M484" s="453">
        <v>0</v>
      </c>
      <c r="N484" s="453">
        <v>0</v>
      </c>
      <c r="O484" s="453">
        <v>0</v>
      </c>
      <c r="P484" s="452">
        <v>0</v>
      </c>
    </row>
    <row r="485" spans="4:16" s="293" customFormat="1" x14ac:dyDescent="0.25">
      <c r="D485" s="98"/>
      <c r="E485" s="98"/>
      <c r="F485" s="99" t="s">
        <v>1017</v>
      </c>
      <c r="G485" s="196"/>
      <c r="H485" s="196" t="s">
        <v>146</v>
      </c>
      <c r="I485" s="196"/>
      <c r="J485" s="452">
        <v>0</v>
      </c>
      <c r="K485" s="452">
        <v>0</v>
      </c>
      <c r="L485" s="452">
        <v>0</v>
      </c>
      <c r="M485" s="453">
        <v>0</v>
      </c>
      <c r="N485" s="453">
        <v>0</v>
      </c>
      <c r="O485" s="453">
        <v>0</v>
      </c>
      <c r="P485" s="452">
        <v>0</v>
      </c>
    </row>
    <row r="486" spans="4:16" s="293" customFormat="1" x14ac:dyDescent="0.25">
      <c r="D486" s="98"/>
      <c r="E486" s="98"/>
      <c r="F486" s="99" t="s">
        <v>1018</v>
      </c>
      <c r="G486" s="196"/>
      <c r="H486" s="196" t="s">
        <v>146</v>
      </c>
      <c r="I486" s="196"/>
      <c r="J486" s="452">
        <v>0</v>
      </c>
      <c r="K486" s="452">
        <v>0</v>
      </c>
      <c r="L486" s="452">
        <v>0</v>
      </c>
      <c r="M486" s="453">
        <v>0</v>
      </c>
      <c r="N486" s="453">
        <v>0</v>
      </c>
      <c r="O486" s="453">
        <v>0</v>
      </c>
      <c r="P486" s="452">
        <v>0</v>
      </c>
    </row>
    <row r="487" spans="4:16" s="293" customFormat="1" x14ac:dyDescent="0.25">
      <c r="D487" s="98"/>
      <c r="E487" s="98"/>
      <c r="F487" s="99" t="s">
        <v>1019</v>
      </c>
      <c r="G487" s="196"/>
      <c r="H487" s="196" t="s">
        <v>146</v>
      </c>
      <c r="I487" s="196"/>
      <c r="J487" s="452">
        <v>0</v>
      </c>
      <c r="K487" s="452">
        <v>0</v>
      </c>
      <c r="L487" s="452">
        <v>0</v>
      </c>
      <c r="M487" s="453">
        <v>0</v>
      </c>
      <c r="N487" s="453">
        <v>0</v>
      </c>
      <c r="O487" s="453">
        <v>0</v>
      </c>
      <c r="P487" s="452">
        <v>0</v>
      </c>
    </row>
    <row r="488" spans="4:16" s="293" customFormat="1" x14ac:dyDescent="0.25">
      <c r="D488" s="98"/>
      <c r="E488" s="98"/>
      <c r="F488" s="99" t="s">
        <v>1020</v>
      </c>
      <c r="G488" s="196"/>
      <c r="H488" s="196" t="s">
        <v>146</v>
      </c>
      <c r="I488" s="196"/>
      <c r="J488" s="452">
        <v>0</v>
      </c>
      <c r="K488" s="452">
        <v>0</v>
      </c>
      <c r="L488" s="452">
        <v>0</v>
      </c>
      <c r="M488" s="453">
        <v>0</v>
      </c>
      <c r="N488" s="453">
        <v>0</v>
      </c>
      <c r="O488" s="453">
        <v>0</v>
      </c>
      <c r="P488" s="452">
        <v>0</v>
      </c>
    </row>
    <row r="489" spans="4:16" s="293" customFormat="1" x14ac:dyDescent="0.25">
      <c r="D489" s="98"/>
      <c r="E489" s="98"/>
      <c r="F489" s="99" t="s">
        <v>1021</v>
      </c>
      <c r="G489" s="196"/>
      <c r="H489" s="196" t="s">
        <v>146</v>
      </c>
      <c r="I489" s="196"/>
      <c r="J489" s="452">
        <v>0</v>
      </c>
      <c r="K489" s="452">
        <v>0</v>
      </c>
      <c r="L489" s="452">
        <v>0</v>
      </c>
      <c r="M489" s="453">
        <v>0</v>
      </c>
      <c r="N489" s="453">
        <v>0</v>
      </c>
      <c r="O489" s="453">
        <v>0</v>
      </c>
      <c r="P489" s="452">
        <v>0</v>
      </c>
    </row>
    <row r="490" spans="4:16" s="293" customFormat="1" x14ac:dyDescent="0.25">
      <c r="D490" s="98"/>
      <c r="E490" s="98"/>
      <c r="F490" s="99" t="s">
        <v>1022</v>
      </c>
      <c r="G490" s="196"/>
      <c r="H490" s="196" t="s">
        <v>146</v>
      </c>
      <c r="I490" s="196"/>
      <c r="J490" s="452">
        <v>0</v>
      </c>
      <c r="K490" s="452">
        <v>0</v>
      </c>
      <c r="L490" s="452">
        <v>0</v>
      </c>
      <c r="M490" s="453">
        <v>0</v>
      </c>
      <c r="N490" s="453">
        <v>0</v>
      </c>
      <c r="O490" s="453">
        <v>0</v>
      </c>
      <c r="P490" s="452">
        <v>0</v>
      </c>
    </row>
    <row r="491" spans="4:16" s="293" customFormat="1" x14ac:dyDescent="0.25">
      <c r="D491" s="98"/>
      <c r="E491" s="98"/>
      <c r="F491" s="99" t="s">
        <v>933</v>
      </c>
      <c r="G491" s="196"/>
      <c r="H491" s="196" t="s">
        <v>146</v>
      </c>
      <c r="I491" s="196"/>
      <c r="J491" s="450">
        <v>13.499000000000001</v>
      </c>
      <c r="K491" s="450">
        <v>2.6680000000000001</v>
      </c>
      <c r="L491" s="450">
        <v>2.113</v>
      </c>
      <c r="M491" s="451">
        <v>0</v>
      </c>
      <c r="N491" s="451">
        <v>0</v>
      </c>
      <c r="O491" s="451">
        <v>0</v>
      </c>
      <c r="P491" s="450">
        <v>0</v>
      </c>
    </row>
    <row r="492" spans="4:16" s="293" customFormat="1" x14ac:dyDescent="0.25">
      <c r="D492" s="98"/>
      <c r="E492" s="98"/>
      <c r="F492" s="99" t="s">
        <v>934</v>
      </c>
      <c r="G492" s="196"/>
      <c r="H492" s="196" t="s">
        <v>146</v>
      </c>
      <c r="I492" s="196"/>
      <c r="J492" s="450">
        <v>-5.9569999999999999</v>
      </c>
      <c r="K492" s="450">
        <v>-0.77700000000000002</v>
      </c>
      <c r="L492" s="450">
        <v>-3.7999999999999999E-2</v>
      </c>
      <c r="M492" s="451">
        <v>0</v>
      </c>
      <c r="N492" s="451">
        <v>0</v>
      </c>
      <c r="O492" s="451">
        <v>0</v>
      </c>
      <c r="P492" s="450">
        <v>0</v>
      </c>
    </row>
    <row r="493" spans="4:16" s="293" customFormat="1" x14ac:dyDescent="0.25">
      <c r="D493" s="98"/>
      <c r="E493" s="98"/>
      <c r="F493" s="99" t="s">
        <v>935</v>
      </c>
      <c r="G493" s="196"/>
      <c r="H493" s="196" t="s">
        <v>146</v>
      </c>
      <c r="I493" s="196"/>
      <c r="J493" s="452">
        <v>0</v>
      </c>
      <c r="K493" s="452">
        <v>0</v>
      </c>
      <c r="L493" s="452">
        <v>0</v>
      </c>
      <c r="M493" s="453">
        <v>0</v>
      </c>
      <c r="N493" s="453">
        <v>0</v>
      </c>
      <c r="O493" s="453">
        <v>0</v>
      </c>
      <c r="P493" s="452">
        <v>0</v>
      </c>
    </row>
    <row r="494" spans="4:16" s="293" customFormat="1" x14ac:dyDescent="0.25">
      <c r="D494" s="98"/>
      <c r="E494" s="98"/>
      <c r="F494" s="99" t="s">
        <v>936</v>
      </c>
      <c r="G494" s="196"/>
      <c r="H494" s="196" t="s">
        <v>146</v>
      </c>
      <c r="I494" s="196"/>
      <c r="J494" s="450">
        <v>-5.9569999999999999</v>
      </c>
      <c r="K494" s="450">
        <v>-0.77700000000000002</v>
      </c>
      <c r="L494" s="450">
        <v>-3.7999999999999999E-2</v>
      </c>
      <c r="M494" s="451">
        <v>0</v>
      </c>
      <c r="N494" s="451">
        <v>0</v>
      </c>
      <c r="O494" s="451">
        <v>0</v>
      </c>
      <c r="P494" s="450">
        <v>0.23499999999999999</v>
      </c>
    </row>
    <row r="495" spans="4:16" x14ac:dyDescent="0.25">
      <c r="F495" s="99" t="s">
        <v>937</v>
      </c>
      <c r="G495" s="196"/>
      <c r="H495" s="196" t="s">
        <v>146</v>
      </c>
      <c r="I495" s="196"/>
      <c r="J495" s="452">
        <v>0</v>
      </c>
      <c r="K495" s="452">
        <v>0</v>
      </c>
      <c r="L495" s="452">
        <v>0</v>
      </c>
      <c r="M495" s="453">
        <v>0</v>
      </c>
      <c r="N495" s="453">
        <v>0</v>
      </c>
      <c r="O495" s="453">
        <v>0</v>
      </c>
      <c r="P495" s="452">
        <v>0</v>
      </c>
    </row>
    <row r="496" spans="4:16" x14ac:dyDescent="0.25">
      <c r="F496" s="99" t="s">
        <v>938</v>
      </c>
      <c r="G496" s="196"/>
      <c r="H496" s="196" t="s">
        <v>146</v>
      </c>
      <c r="I496" s="196"/>
      <c r="J496" s="452">
        <v>0</v>
      </c>
      <c r="K496" s="452">
        <v>0</v>
      </c>
      <c r="L496" s="452">
        <v>0</v>
      </c>
      <c r="M496" s="453">
        <v>0</v>
      </c>
      <c r="N496" s="453">
        <v>0</v>
      </c>
      <c r="O496" s="453">
        <v>0</v>
      </c>
      <c r="P496" s="452">
        <v>0</v>
      </c>
    </row>
    <row r="497" spans="4:19" x14ac:dyDescent="0.25">
      <c r="F497" s="99" t="s">
        <v>939</v>
      </c>
      <c r="G497" s="196"/>
      <c r="H497" s="196" t="s">
        <v>146</v>
      </c>
      <c r="I497" s="196"/>
      <c r="J497" s="452">
        <v>0</v>
      </c>
      <c r="K497" s="452">
        <v>0</v>
      </c>
      <c r="L497" s="452">
        <v>0</v>
      </c>
      <c r="M497" s="453">
        <v>0</v>
      </c>
      <c r="N497" s="453">
        <v>0</v>
      </c>
      <c r="O497" s="453">
        <v>0</v>
      </c>
      <c r="P497" s="452">
        <v>0</v>
      </c>
    </row>
    <row r="498" spans="4:19" x14ac:dyDescent="0.25">
      <c r="F498" s="99" t="s">
        <v>940</v>
      </c>
      <c r="G498" s="196"/>
      <c r="H498" s="196" t="s">
        <v>146</v>
      </c>
      <c r="I498" s="196"/>
      <c r="J498" s="452">
        <v>0</v>
      </c>
      <c r="K498" s="452">
        <v>0</v>
      </c>
      <c r="L498" s="452">
        <v>0</v>
      </c>
      <c r="M498" s="453">
        <v>0</v>
      </c>
      <c r="N498" s="453">
        <v>0</v>
      </c>
      <c r="O498" s="453">
        <v>0</v>
      </c>
      <c r="P498" s="452">
        <v>0</v>
      </c>
    </row>
    <row r="499" spans="4:19" x14ac:dyDescent="0.25">
      <c r="F499" s="100" t="s">
        <v>941</v>
      </c>
      <c r="G499" s="93"/>
      <c r="H499" s="93" t="s">
        <v>146</v>
      </c>
      <c r="I499" s="93"/>
      <c r="J499" s="438">
        <v>0</v>
      </c>
      <c r="K499" s="438">
        <v>0</v>
      </c>
      <c r="L499" s="438">
        <v>0</v>
      </c>
      <c r="M499" s="344">
        <v>0</v>
      </c>
      <c r="N499" s="344">
        <v>0</v>
      </c>
      <c r="O499" s="344">
        <v>0</v>
      </c>
      <c r="P499" s="438">
        <v>0</v>
      </c>
    </row>
    <row r="500" spans="4:19" x14ac:dyDescent="0.25">
      <c r="D500" s="96"/>
      <c r="E500" s="96"/>
      <c r="F500" s="293"/>
      <c r="G500" s="293"/>
      <c r="H500" s="293"/>
      <c r="I500" s="293"/>
      <c r="J500" s="437"/>
      <c r="K500" s="437"/>
      <c r="L500" s="437"/>
      <c r="M500" s="343"/>
      <c r="N500" s="343"/>
      <c r="O500" s="343"/>
      <c r="P500" s="437"/>
      <c r="Q500" s="96"/>
      <c r="R500" s="96"/>
      <c r="S500" s="96"/>
    </row>
    <row r="501" spans="4:19" x14ac:dyDescent="0.25">
      <c r="D501" s="96"/>
      <c r="E501" s="96" t="str">
        <f>"LDNO HV tariff forecast "&amp; 'ARP_User control'!G34</f>
        <v>LDNO HV tariff forecast 2026/27</v>
      </c>
      <c r="F501" s="293"/>
      <c r="G501" s="293"/>
      <c r="H501" s="293"/>
      <c r="I501" s="293"/>
      <c r="J501" s="437"/>
      <c r="K501" s="437"/>
      <c r="L501" s="437"/>
      <c r="M501" s="343"/>
      <c r="N501" s="343"/>
      <c r="O501" s="343"/>
      <c r="P501" s="437"/>
      <c r="Q501" s="96"/>
      <c r="R501" s="96"/>
      <c r="S501" s="96"/>
    </row>
    <row r="502" spans="4:19" x14ac:dyDescent="0.25">
      <c r="F502" s="103" t="s">
        <v>1002</v>
      </c>
      <c r="G502" s="91"/>
      <c r="H502" s="91" t="s">
        <v>147</v>
      </c>
      <c r="I502" s="91"/>
      <c r="J502" s="435">
        <v>4.069</v>
      </c>
      <c r="K502" s="435">
        <v>0.53100000000000003</v>
      </c>
      <c r="L502" s="435">
        <v>2.5999999999999999E-2</v>
      </c>
      <c r="M502" s="340">
        <v>6.56</v>
      </c>
      <c r="N502" s="340">
        <v>0</v>
      </c>
      <c r="O502" s="340">
        <v>0</v>
      </c>
      <c r="P502" s="435">
        <v>0</v>
      </c>
    </row>
    <row r="503" spans="4:19" x14ac:dyDescent="0.25">
      <c r="F503" s="99" t="s">
        <v>927</v>
      </c>
      <c r="G503" s="196"/>
      <c r="H503" s="196" t="s">
        <v>147</v>
      </c>
      <c r="I503" s="196"/>
      <c r="J503" s="450">
        <v>4.069</v>
      </c>
      <c r="K503" s="450">
        <v>0.53100000000000003</v>
      </c>
      <c r="L503" s="450">
        <v>2.5999999999999999E-2</v>
      </c>
      <c r="M503" s="451">
        <v>0</v>
      </c>
      <c r="N503" s="451">
        <v>0</v>
      </c>
      <c r="O503" s="451">
        <v>0</v>
      </c>
      <c r="P503" s="450">
        <v>0</v>
      </c>
    </row>
    <row r="504" spans="4:19" x14ac:dyDescent="0.25">
      <c r="F504" s="99" t="s">
        <v>1003</v>
      </c>
      <c r="G504" s="196"/>
      <c r="H504" s="196" t="s">
        <v>147</v>
      </c>
      <c r="I504" s="196"/>
      <c r="J504" s="450">
        <v>3.57</v>
      </c>
      <c r="K504" s="450">
        <v>0.46600000000000003</v>
      </c>
      <c r="L504" s="450">
        <v>2.3E-2</v>
      </c>
      <c r="M504" s="451">
        <v>3.77</v>
      </c>
      <c r="N504" s="451">
        <v>0</v>
      </c>
      <c r="O504" s="451">
        <v>0</v>
      </c>
      <c r="P504" s="450">
        <v>0</v>
      </c>
    </row>
    <row r="505" spans="4:19" x14ac:dyDescent="0.25">
      <c r="F505" s="99" t="s">
        <v>1004</v>
      </c>
      <c r="G505" s="196"/>
      <c r="H505" s="196" t="s">
        <v>147</v>
      </c>
      <c r="I505" s="196"/>
      <c r="J505" s="450">
        <v>3.57</v>
      </c>
      <c r="K505" s="450">
        <v>0.46600000000000003</v>
      </c>
      <c r="L505" s="450">
        <v>2.3E-2</v>
      </c>
      <c r="M505" s="451">
        <v>6.22</v>
      </c>
      <c r="N505" s="451">
        <v>0</v>
      </c>
      <c r="O505" s="451">
        <v>0</v>
      </c>
      <c r="P505" s="450">
        <v>0</v>
      </c>
    </row>
    <row r="506" spans="4:19" x14ac:dyDescent="0.25">
      <c r="F506" s="99" t="s">
        <v>1005</v>
      </c>
      <c r="G506" s="196"/>
      <c r="H506" s="196" t="s">
        <v>147</v>
      </c>
      <c r="I506" s="196"/>
      <c r="J506" s="450">
        <v>3.57</v>
      </c>
      <c r="K506" s="450">
        <v>0.46600000000000003</v>
      </c>
      <c r="L506" s="450">
        <v>2.3E-2</v>
      </c>
      <c r="M506" s="451">
        <v>11.82</v>
      </c>
      <c r="N506" s="451">
        <v>0</v>
      </c>
      <c r="O506" s="451">
        <v>0</v>
      </c>
      <c r="P506" s="450">
        <v>0</v>
      </c>
    </row>
    <row r="507" spans="4:19" x14ac:dyDescent="0.25">
      <c r="F507" s="99" t="s">
        <v>1006</v>
      </c>
      <c r="G507" s="196"/>
      <c r="H507" s="196" t="s">
        <v>147</v>
      </c>
      <c r="I507" s="196"/>
      <c r="J507" s="450">
        <v>3.57</v>
      </c>
      <c r="K507" s="450">
        <v>0.46600000000000003</v>
      </c>
      <c r="L507" s="450">
        <v>2.3E-2</v>
      </c>
      <c r="M507" s="451">
        <v>22.02</v>
      </c>
      <c r="N507" s="451">
        <v>0</v>
      </c>
      <c r="O507" s="451">
        <v>0</v>
      </c>
      <c r="P507" s="450">
        <v>0</v>
      </c>
    </row>
    <row r="508" spans="4:19" x14ac:dyDescent="0.25">
      <c r="F508" s="99" t="s">
        <v>1007</v>
      </c>
      <c r="G508" s="196"/>
      <c r="H508" s="196" t="s">
        <v>147</v>
      </c>
      <c r="I508" s="196"/>
      <c r="J508" s="450">
        <v>3.57</v>
      </c>
      <c r="K508" s="450">
        <v>0.46600000000000003</v>
      </c>
      <c r="L508" s="450">
        <v>2.3E-2</v>
      </c>
      <c r="M508" s="451">
        <v>53.41</v>
      </c>
      <c r="N508" s="451">
        <v>0</v>
      </c>
      <c r="O508" s="451">
        <v>0</v>
      </c>
      <c r="P508" s="450">
        <v>0</v>
      </c>
    </row>
    <row r="509" spans="4:19" s="293" customFormat="1" x14ac:dyDescent="0.25">
      <c r="D509" s="98"/>
      <c r="E509" s="98"/>
      <c r="F509" s="99" t="s">
        <v>929</v>
      </c>
      <c r="G509" s="196"/>
      <c r="H509" s="196" t="s">
        <v>147</v>
      </c>
      <c r="I509" s="196"/>
      <c r="J509" s="450">
        <v>3.57</v>
      </c>
      <c r="K509" s="450">
        <v>0.46600000000000003</v>
      </c>
      <c r="L509" s="450">
        <v>2.3E-2</v>
      </c>
      <c r="M509" s="451">
        <v>0</v>
      </c>
      <c r="N509" s="451">
        <v>0</v>
      </c>
      <c r="O509" s="451">
        <v>0</v>
      </c>
      <c r="P509" s="450">
        <v>0</v>
      </c>
    </row>
    <row r="510" spans="4:19" s="293" customFormat="1" x14ac:dyDescent="0.25">
      <c r="D510" s="98"/>
      <c r="E510" s="98"/>
      <c r="F510" s="99" t="s">
        <v>1008</v>
      </c>
      <c r="G510" s="196"/>
      <c r="H510" s="196" t="s">
        <v>147</v>
      </c>
      <c r="I510" s="196"/>
      <c r="J510" s="450">
        <v>3.0150000000000001</v>
      </c>
      <c r="K510" s="450">
        <v>0.33900000000000002</v>
      </c>
      <c r="L510" s="450">
        <v>1.6E-2</v>
      </c>
      <c r="M510" s="451">
        <v>8.39</v>
      </c>
      <c r="N510" s="451">
        <v>1.72</v>
      </c>
      <c r="O510" s="451">
        <v>3.14</v>
      </c>
      <c r="P510" s="450">
        <v>0.105</v>
      </c>
    </row>
    <row r="511" spans="4:19" s="293" customFormat="1" x14ac:dyDescent="0.25">
      <c r="D511" s="98"/>
      <c r="E511" s="98"/>
      <c r="F511" s="99" t="s">
        <v>1009</v>
      </c>
      <c r="G511" s="196"/>
      <c r="H511" s="196" t="s">
        <v>147</v>
      </c>
      <c r="I511" s="196"/>
      <c r="J511" s="450">
        <v>3.0150000000000001</v>
      </c>
      <c r="K511" s="450">
        <v>0.33900000000000002</v>
      </c>
      <c r="L511" s="450">
        <v>1.6E-2</v>
      </c>
      <c r="M511" s="451">
        <v>90.82</v>
      </c>
      <c r="N511" s="451">
        <v>1.72</v>
      </c>
      <c r="O511" s="451">
        <v>3.14</v>
      </c>
      <c r="P511" s="450">
        <v>0.105</v>
      </c>
    </row>
    <row r="512" spans="4:19" x14ac:dyDescent="0.25">
      <c r="F512" s="99" t="s">
        <v>1010</v>
      </c>
      <c r="G512" s="196"/>
      <c r="H512" s="196" t="s">
        <v>147</v>
      </c>
      <c r="I512" s="196"/>
      <c r="J512" s="450">
        <v>3.0150000000000001</v>
      </c>
      <c r="K512" s="450">
        <v>0.33900000000000002</v>
      </c>
      <c r="L512" s="450">
        <v>1.6E-2</v>
      </c>
      <c r="M512" s="451">
        <v>161.97999999999999</v>
      </c>
      <c r="N512" s="451">
        <v>1.72</v>
      </c>
      <c r="O512" s="451">
        <v>3.14</v>
      </c>
      <c r="P512" s="450">
        <v>0.105</v>
      </c>
    </row>
    <row r="513" spans="4:16" x14ac:dyDescent="0.25">
      <c r="F513" s="99" t="s">
        <v>1011</v>
      </c>
      <c r="G513" s="196"/>
      <c r="H513" s="196" t="s">
        <v>147</v>
      </c>
      <c r="I513" s="196"/>
      <c r="J513" s="450">
        <v>3.0150000000000001</v>
      </c>
      <c r="K513" s="450">
        <v>0.33900000000000002</v>
      </c>
      <c r="L513" s="450">
        <v>1.6E-2</v>
      </c>
      <c r="M513" s="451">
        <v>246.31</v>
      </c>
      <c r="N513" s="451">
        <v>1.72</v>
      </c>
      <c r="O513" s="451">
        <v>3.14</v>
      </c>
      <c r="P513" s="450">
        <v>0.105</v>
      </c>
    </row>
    <row r="514" spans="4:16" x14ac:dyDescent="0.25">
      <c r="F514" s="99" t="s">
        <v>1012</v>
      </c>
      <c r="G514" s="196"/>
      <c r="H514" s="196" t="s">
        <v>147</v>
      </c>
      <c r="I514" s="196"/>
      <c r="J514" s="450">
        <v>3.0150000000000001</v>
      </c>
      <c r="K514" s="450">
        <v>0.33900000000000002</v>
      </c>
      <c r="L514" s="450">
        <v>1.6E-2</v>
      </c>
      <c r="M514" s="451">
        <v>623.29999999999995</v>
      </c>
      <c r="N514" s="451">
        <v>1.72</v>
      </c>
      <c r="O514" s="451">
        <v>3.14</v>
      </c>
      <c r="P514" s="450">
        <v>0.105</v>
      </c>
    </row>
    <row r="515" spans="4:16" x14ac:dyDescent="0.25">
      <c r="F515" s="99" t="s">
        <v>1013</v>
      </c>
      <c r="G515" s="196"/>
      <c r="H515" s="196" t="s">
        <v>147</v>
      </c>
      <c r="I515" s="196"/>
      <c r="J515" s="450">
        <v>2.8109999999999999</v>
      </c>
      <c r="K515" s="450">
        <v>0.216</v>
      </c>
      <c r="L515" s="450">
        <v>8.9999999999999993E-3</v>
      </c>
      <c r="M515" s="451">
        <v>31.44</v>
      </c>
      <c r="N515" s="451">
        <v>3.75</v>
      </c>
      <c r="O515" s="451">
        <v>4.87</v>
      </c>
      <c r="P515" s="450">
        <v>9.2999999999999999E-2</v>
      </c>
    </row>
    <row r="516" spans="4:16" s="293" customFormat="1" x14ac:dyDescent="0.25">
      <c r="D516" s="98"/>
      <c r="E516" s="98"/>
      <c r="F516" s="99" t="s">
        <v>1014</v>
      </c>
      <c r="G516" s="196"/>
      <c r="H516" s="196" t="s">
        <v>147</v>
      </c>
      <c r="I516" s="196"/>
      <c r="J516" s="450">
        <v>2.8109999999999999</v>
      </c>
      <c r="K516" s="450">
        <v>0.216</v>
      </c>
      <c r="L516" s="450">
        <v>8.9999999999999993E-3</v>
      </c>
      <c r="M516" s="451">
        <v>163.13</v>
      </c>
      <c r="N516" s="451">
        <v>3.75</v>
      </c>
      <c r="O516" s="451">
        <v>4.87</v>
      </c>
      <c r="P516" s="450">
        <v>9.2999999999999999E-2</v>
      </c>
    </row>
    <row r="517" spans="4:16" s="293" customFormat="1" x14ac:dyDescent="0.25">
      <c r="D517" s="98"/>
      <c r="E517" s="98"/>
      <c r="F517" s="99" t="s">
        <v>1015</v>
      </c>
      <c r="G517" s="196"/>
      <c r="H517" s="196" t="s">
        <v>147</v>
      </c>
      <c r="I517" s="196"/>
      <c r="J517" s="450">
        <v>2.8109999999999999</v>
      </c>
      <c r="K517" s="450">
        <v>0.216</v>
      </c>
      <c r="L517" s="450">
        <v>8.9999999999999993E-3</v>
      </c>
      <c r="M517" s="451">
        <v>276.82</v>
      </c>
      <c r="N517" s="451">
        <v>3.75</v>
      </c>
      <c r="O517" s="451">
        <v>4.87</v>
      </c>
      <c r="P517" s="450">
        <v>9.2999999999999999E-2</v>
      </c>
    </row>
    <row r="518" spans="4:16" s="293" customFormat="1" x14ac:dyDescent="0.25">
      <c r="D518" s="98"/>
      <c r="E518" s="98"/>
      <c r="F518" s="99" t="s">
        <v>1016</v>
      </c>
      <c r="G518" s="196"/>
      <c r="H518" s="196" t="s">
        <v>147</v>
      </c>
      <c r="I518" s="196"/>
      <c r="J518" s="450">
        <v>2.8109999999999999</v>
      </c>
      <c r="K518" s="450">
        <v>0.216</v>
      </c>
      <c r="L518" s="450">
        <v>8.9999999999999993E-3</v>
      </c>
      <c r="M518" s="451">
        <v>411.54</v>
      </c>
      <c r="N518" s="451">
        <v>3.75</v>
      </c>
      <c r="O518" s="451">
        <v>4.87</v>
      </c>
      <c r="P518" s="450">
        <v>9.2999999999999999E-2</v>
      </c>
    </row>
    <row r="519" spans="4:16" s="293" customFormat="1" x14ac:dyDescent="0.25">
      <c r="D519" s="98"/>
      <c r="E519" s="98"/>
      <c r="F519" s="99" t="s">
        <v>1017</v>
      </c>
      <c r="G519" s="196"/>
      <c r="H519" s="196" t="s">
        <v>147</v>
      </c>
      <c r="I519" s="196"/>
      <c r="J519" s="450">
        <v>2.8109999999999999</v>
      </c>
      <c r="K519" s="450">
        <v>0.216</v>
      </c>
      <c r="L519" s="450">
        <v>8.9999999999999993E-3</v>
      </c>
      <c r="M519" s="451">
        <v>1013.84</v>
      </c>
      <c r="N519" s="451">
        <v>3.75</v>
      </c>
      <c r="O519" s="451">
        <v>4.87</v>
      </c>
      <c r="P519" s="450">
        <v>9.2999999999999999E-2</v>
      </c>
    </row>
    <row r="520" spans="4:16" s="293" customFormat="1" x14ac:dyDescent="0.25">
      <c r="D520" s="98"/>
      <c r="E520" s="98"/>
      <c r="F520" s="99" t="s">
        <v>1018</v>
      </c>
      <c r="G520" s="196"/>
      <c r="H520" s="196" t="s">
        <v>147</v>
      </c>
      <c r="I520" s="196"/>
      <c r="J520" s="450">
        <v>2.7559999999999998</v>
      </c>
      <c r="K520" s="450">
        <v>0.187</v>
      </c>
      <c r="L520" s="450">
        <v>8.0000000000000002E-3</v>
      </c>
      <c r="M520" s="451">
        <v>156.46</v>
      </c>
      <c r="N520" s="451">
        <v>5.12</v>
      </c>
      <c r="O520" s="451">
        <v>6.17</v>
      </c>
      <c r="P520" s="450">
        <v>8.1000000000000003E-2</v>
      </c>
    </row>
    <row r="521" spans="4:16" s="293" customFormat="1" x14ac:dyDescent="0.25">
      <c r="D521" s="98"/>
      <c r="E521" s="98"/>
      <c r="F521" s="99" t="s">
        <v>1019</v>
      </c>
      <c r="G521" s="196"/>
      <c r="H521" s="196" t="s">
        <v>147</v>
      </c>
      <c r="I521" s="196"/>
      <c r="J521" s="450">
        <v>2.7559999999999998</v>
      </c>
      <c r="K521" s="450">
        <v>0.187</v>
      </c>
      <c r="L521" s="450">
        <v>8.0000000000000002E-3</v>
      </c>
      <c r="M521" s="451">
        <v>1244.3699999999999</v>
      </c>
      <c r="N521" s="451">
        <v>5.12</v>
      </c>
      <c r="O521" s="451">
        <v>6.17</v>
      </c>
      <c r="P521" s="450">
        <v>8.1000000000000003E-2</v>
      </c>
    </row>
    <row r="522" spans="4:16" s="293" customFormat="1" x14ac:dyDescent="0.25">
      <c r="D522" s="98"/>
      <c r="E522" s="98"/>
      <c r="F522" s="99" t="s">
        <v>1020</v>
      </c>
      <c r="G522" s="196"/>
      <c r="H522" s="196" t="s">
        <v>147</v>
      </c>
      <c r="I522" s="196"/>
      <c r="J522" s="450">
        <v>2.7559999999999998</v>
      </c>
      <c r="K522" s="450">
        <v>0.187</v>
      </c>
      <c r="L522" s="450">
        <v>8.0000000000000002E-3</v>
      </c>
      <c r="M522" s="451">
        <v>3330.59</v>
      </c>
      <c r="N522" s="451">
        <v>5.12</v>
      </c>
      <c r="O522" s="451">
        <v>6.17</v>
      </c>
      <c r="P522" s="450">
        <v>8.1000000000000003E-2</v>
      </c>
    </row>
    <row r="523" spans="4:16" s="293" customFormat="1" x14ac:dyDescent="0.25">
      <c r="D523" s="98"/>
      <c r="E523" s="98"/>
      <c r="F523" s="99" t="s">
        <v>1021</v>
      </c>
      <c r="G523" s="196"/>
      <c r="H523" s="196" t="s">
        <v>147</v>
      </c>
      <c r="I523" s="196"/>
      <c r="J523" s="450">
        <v>2.7559999999999998</v>
      </c>
      <c r="K523" s="450">
        <v>0.187</v>
      </c>
      <c r="L523" s="450">
        <v>8.0000000000000002E-3</v>
      </c>
      <c r="M523" s="451">
        <v>5982.48</v>
      </c>
      <c r="N523" s="451">
        <v>5.12</v>
      </c>
      <c r="O523" s="451">
        <v>6.17</v>
      </c>
      <c r="P523" s="450">
        <v>8.1000000000000003E-2</v>
      </c>
    </row>
    <row r="524" spans="4:16" s="293" customFormat="1" x14ac:dyDescent="0.25">
      <c r="D524" s="98"/>
      <c r="E524" s="98"/>
      <c r="F524" s="99" t="s">
        <v>1022</v>
      </c>
      <c r="G524" s="196"/>
      <c r="H524" s="196" t="s">
        <v>147</v>
      </c>
      <c r="I524" s="196"/>
      <c r="J524" s="450">
        <v>2.7559999999999998</v>
      </c>
      <c r="K524" s="450">
        <v>0.187</v>
      </c>
      <c r="L524" s="450">
        <v>8.0000000000000002E-3</v>
      </c>
      <c r="M524" s="451">
        <v>15462.15</v>
      </c>
      <c r="N524" s="451">
        <v>5.12</v>
      </c>
      <c r="O524" s="451">
        <v>6.17</v>
      </c>
      <c r="P524" s="450">
        <v>8.1000000000000003E-2</v>
      </c>
    </row>
    <row r="525" spans="4:16" s="293" customFormat="1" x14ac:dyDescent="0.25">
      <c r="D525" s="98"/>
      <c r="E525" s="98"/>
      <c r="F525" s="99" t="s">
        <v>933</v>
      </c>
      <c r="G525" s="196"/>
      <c r="H525" s="196" t="s">
        <v>147</v>
      </c>
      <c r="I525" s="196"/>
      <c r="J525" s="450">
        <v>9.6829999999999998</v>
      </c>
      <c r="K525" s="450">
        <v>1.9139999999999999</v>
      </c>
      <c r="L525" s="450">
        <v>1.5149999999999999</v>
      </c>
      <c r="M525" s="451">
        <v>0</v>
      </c>
      <c r="N525" s="451">
        <v>0</v>
      </c>
      <c r="O525" s="451">
        <v>0</v>
      </c>
      <c r="P525" s="450">
        <v>0</v>
      </c>
    </row>
    <row r="526" spans="4:16" s="293" customFormat="1" x14ac:dyDescent="0.25">
      <c r="D526" s="98"/>
      <c r="E526" s="98"/>
      <c r="F526" s="99" t="s">
        <v>934</v>
      </c>
      <c r="G526" s="196"/>
      <c r="H526" s="196" t="s">
        <v>147</v>
      </c>
      <c r="I526" s="196"/>
      <c r="J526" s="450">
        <v>-5.9569999999999999</v>
      </c>
      <c r="K526" s="450">
        <v>-0.77700000000000002</v>
      </c>
      <c r="L526" s="450">
        <v>-3.7999999999999999E-2</v>
      </c>
      <c r="M526" s="451">
        <v>0</v>
      </c>
      <c r="N526" s="451">
        <v>0</v>
      </c>
      <c r="O526" s="451">
        <v>0</v>
      </c>
      <c r="P526" s="450">
        <v>0</v>
      </c>
    </row>
    <row r="527" spans="4:16" s="293" customFormat="1" x14ac:dyDescent="0.25">
      <c r="D527" s="98"/>
      <c r="E527" s="98"/>
      <c r="F527" s="99" t="s">
        <v>935</v>
      </c>
      <c r="G527" s="196"/>
      <c r="H527" s="196" t="s">
        <v>147</v>
      </c>
      <c r="I527" s="196"/>
      <c r="J527" s="450">
        <v>-5.3209999999999997</v>
      </c>
      <c r="K527" s="450">
        <v>-0.63500000000000001</v>
      </c>
      <c r="L527" s="450">
        <v>-0.03</v>
      </c>
      <c r="M527" s="451">
        <v>0</v>
      </c>
      <c r="N527" s="451">
        <v>0</v>
      </c>
      <c r="O527" s="451">
        <v>0</v>
      </c>
      <c r="P527" s="450">
        <v>0</v>
      </c>
    </row>
    <row r="528" spans="4:16" s="293" customFormat="1" x14ac:dyDescent="0.25">
      <c r="D528" s="98"/>
      <c r="E528" s="98"/>
      <c r="F528" s="99" t="s">
        <v>936</v>
      </c>
      <c r="G528" s="196"/>
      <c r="H528" s="196" t="s">
        <v>147</v>
      </c>
      <c r="I528" s="196"/>
      <c r="J528" s="450">
        <v>-5.9569999999999999</v>
      </c>
      <c r="K528" s="450">
        <v>-0.77700000000000002</v>
      </c>
      <c r="L528" s="450">
        <v>-3.7999999999999999E-2</v>
      </c>
      <c r="M528" s="451">
        <v>0</v>
      </c>
      <c r="N528" s="451">
        <v>0</v>
      </c>
      <c r="O528" s="451">
        <v>0</v>
      </c>
      <c r="P528" s="450">
        <v>0.23499999999999999</v>
      </c>
    </row>
    <row r="529" spans="3:19" x14ac:dyDescent="0.25">
      <c r="F529" s="99" t="s">
        <v>937</v>
      </c>
      <c r="G529" s="196"/>
      <c r="H529" s="196" t="s">
        <v>147</v>
      </c>
      <c r="I529" s="196"/>
      <c r="J529" s="452">
        <v>0</v>
      </c>
      <c r="K529" s="452">
        <v>0</v>
      </c>
      <c r="L529" s="452">
        <v>0</v>
      </c>
      <c r="M529" s="453">
        <v>0</v>
      </c>
      <c r="N529" s="453">
        <v>0</v>
      </c>
      <c r="O529" s="453">
        <v>0</v>
      </c>
      <c r="P529" s="452">
        <v>0</v>
      </c>
    </row>
    <row r="530" spans="3:19" x14ac:dyDescent="0.25">
      <c r="F530" s="99" t="s">
        <v>938</v>
      </c>
      <c r="G530" s="196"/>
      <c r="H530" s="196" t="s">
        <v>147</v>
      </c>
      <c r="I530" s="196"/>
      <c r="J530" s="450">
        <v>-5.3209999999999997</v>
      </c>
      <c r="K530" s="450">
        <v>-0.63500000000000001</v>
      </c>
      <c r="L530" s="450">
        <v>-0.03</v>
      </c>
      <c r="M530" s="451">
        <v>0</v>
      </c>
      <c r="N530" s="451">
        <v>0</v>
      </c>
      <c r="O530" s="451">
        <v>0</v>
      </c>
      <c r="P530" s="450">
        <v>0.19600000000000001</v>
      </c>
    </row>
    <row r="531" spans="3:19" x14ac:dyDescent="0.25">
      <c r="F531" s="99" t="s">
        <v>939</v>
      </c>
      <c r="G531" s="196"/>
      <c r="H531" s="196" t="s">
        <v>147</v>
      </c>
      <c r="I531" s="196"/>
      <c r="J531" s="452">
        <v>0</v>
      </c>
      <c r="K531" s="452">
        <v>0</v>
      </c>
      <c r="L531" s="452">
        <v>0</v>
      </c>
      <c r="M531" s="453">
        <v>0</v>
      </c>
      <c r="N531" s="453">
        <v>0</v>
      </c>
      <c r="O531" s="453">
        <v>0</v>
      </c>
      <c r="P531" s="452">
        <v>0</v>
      </c>
    </row>
    <row r="532" spans="3:19" x14ac:dyDescent="0.25">
      <c r="F532" s="99" t="s">
        <v>940</v>
      </c>
      <c r="G532" s="196"/>
      <c r="H532" s="196" t="s">
        <v>147</v>
      </c>
      <c r="I532" s="196"/>
      <c r="J532" s="450">
        <v>-4.109</v>
      </c>
      <c r="K532" s="450">
        <v>-0.314</v>
      </c>
      <c r="L532" s="450">
        <v>-1.2999999999999999E-2</v>
      </c>
      <c r="M532" s="451">
        <v>0</v>
      </c>
      <c r="N532" s="451">
        <v>0</v>
      </c>
      <c r="O532" s="451">
        <v>0</v>
      </c>
      <c r="P532" s="450">
        <v>0.17</v>
      </c>
    </row>
    <row r="533" spans="3:19" x14ac:dyDescent="0.25">
      <c r="F533" s="100" t="s">
        <v>941</v>
      </c>
      <c r="G533" s="93"/>
      <c r="H533" s="93" t="s">
        <v>147</v>
      </c>
      <c r="I533" s="93"/>
      <c r="J533" s="438">
        <v>0</v>
      </c>
      <c r="K533" s="438">
        <v>0</v>
      </c>
      <c r="L533" s="438">
        <v>0</v>
      </c>
      <c r="M533" s="344">
        <v>0</v>
      </c>
      <c r="N533" s="344">
        <v>0</v>
      </c>
      <c r="O533" s="344">
        <v>0</v>
      </c>
      <c r="P533" s="438">
        <v>0</v>
      </c>
    </row>
    <row r="534" spans="3:19" x14ac:dyDescent="0.25">
      <c r="D534" s="96"/>
      <c r="E534" s="96"/>
      <c r="F534" s="96"/>
      <c r="G534" s="96"/>
      <c r="H534" s="96"/>
      <c r="I534" s="96"/>
      <c r="J534" s="439"/>
      <c r="K534" s="439"/>
      <c r="L534" s="439"/>
      <c r="M534" s="215"/>
      <c r="N534" s="215"/>
      <c r="O534" s="215"/>
      <c r="P534" s="439"/>
      <c r="Q534" s="96"/>
      <c r="R534" s="96"/>
      <c r="S534" s="96"/>
    </row>
    <row r="535" spans="3:19" s="195" customFormat="1" x14ac:dyDescent="0.25">
      <c r="C535" s="7" t="str">
        <f ca="1">INDEX('Version control'!$H$35:$H$61,MATCH($A$1,'Version control'!$F$35:$F$61,0),1)&amp;"-F: Tariff results for charging year " &amp; 'ARP_User control'!G35</f>
        <v>Output 501-F: Tariff results for charging year 2027/28</v>
      </c>
      <c r="D535" s="7"/>
      <c r="E535" s="7"/>
      <c r="F535" s="7"/>
      <c r="G535" s="7"/>
      <c r="H535" s="7"/>
      <c r="I535" s="7"/>
      <c r="J535" s="440"/>
      <c r="K535" s="440"/>
      <c r="L535" s="440"/>
      <c r="M535" s="7"/>
      <c r="N535" s="7"/>
      <c r="O535" s="7"/>
      <c r="P535" s="440"/>
      <c r="Q535" s="7"/>
      <c r="R535" s="7"/>
    </row>
    <row r="536" spans="3:19" x14ac:dyDescent="0.25">
      <c r="D536" s="85"/>
      <c r="E536" s="195"/>
      <c r="F536" s="195"/>
      <c r="J536" s="441"/>
      <c r="K536" s="441"/>
      <c r="L536" s="441"/>
      <c r="M536" s="213"/>
      <c r="N536" s="213"/>
      <c r="O536" s="213"/>
      <c r="P536" s="441"/>
    </row>
    <row r="537" spans="3:19" x14ac:dyDescent="0.25">
      <c r="D537" s="96"/>
      <c r="E537" s="96" t="str">
        <f>"All the way tariff forecast "&amp; 'ARP_User control'!G35</f>
        <v>All the way tariff forecast 2027/28</v>
      </c>
      <c r="F537" s="195"/>
      <c r="J537" s="441"/>
      <c r="K537" s="441"/>
      <c r="L537" s="441"/>
      <c r="M537" s="213"/>
      <c r="N537" s="213"/>
      <c r="O537" s="213"/>
      <c r="P537" s="441"/>
    </row>
    <row r="538" spans="3:19" x14ac:dyDescent="0.25">
      <c r="C538" s="86"/>
      <c r="F538" s="103" t="s">
        <v>1002</v>
      </c>
      <c r="G538" s="91"/>
      <c r="H538" s="91" t="s">
        <v>261</v>
      </c>
      <c r="I538" s="91"/>
      <c r="J538" s="435">
        <v>8.7319999999999993</v>
      </c>
      <c r="K538" s="435">
        <v>1.1399999999999999</v>
      </c>
      <c r="L538" s="435">
        <v>5.5E-2</v>
      </c>
      <c r="M538" s="340">
        <v>14.84</v>
      </c>
      <c r="N538" s="340">
        <v>0</v>
      </c>
      <c r="O538" s="340">
        <v>0</v>
      </c>
      <c r="P538" s="435">
        <v>0</v>
      </c>
    </row>
    <row r="539" spans="3:19" x14ac:dyDescent="0.25">
      <c r="C539" s="86"/>
      <c r="F539" s="99" t="s">
        <v>927</v>
      </c>
      <c r="G539" s="196"/>
      <c r="H539" s="196" t="s">
        <v>261</v>
      </c>
      <c r="I539" s="196"/>
      <c r="J539" s="450">
        <v>8.7319999999999993</v>
      </c>
      <c r="K539" s="450">
        <v>1.1399999999999999</v>
      </c>
      <c r="L539" s="450">
        <v>5.5E-2</v>
      </c>
      <c r="M539" s="451">
        <v>0</v>
      </c>
      <c r="N539" s="451">
        <v>0</v>
      </c>
      <c r="O539" s="451">
        <v>0</v>
      </c>
      <c r="P539" s="450">
        <v>0</v>
      </c>
    </row>
    <row r="540" spans="3:19" x14ac:dyDescent="0.25">
      <c r="C540" s="86"/>
      <c r="F540" s="99" t="s">
        <v>1003</v>
      </c>
      <c r="G540" s="196"/>
      <c r="H540" s="196" t="s">
        <v>261</v>
      </c>
      <c r="I540" s="196"/>
      <c r="J540" s="450">
        <v>7.66</v>
      </c>
      <c r="K540" s="450">
        <v>1</v>
      </c>
      <c r="L540" s="450">
        <v>4.8000000000000001E-2</v>
      </c>
      <c r="M540" s="451">
        <v>8.11</v>
      </c>
      <c r="N540" s="451">
        <v>0</v>
      </c>
      <c r="O540" s="451">
        <v>0</v>
      </c>
      <c r="P540" s="450">
        <v>0</v>
      </c>
    </row>
    <row r="541" spans="3:19" x14ac:dyDescent="0.25">
      <c r="C541" s="86"/>
      <c r="F541" s="99" t="s">
        <v>1004</v>
      </c>
      <c r="G541" s="196"/>
      <c r="H541" s="196" t="s">
        <v>261</v>
      </c>
      <c r="I541" s="196"/>
      <c r="J541" s="450">
        <v>7.66</v>
      </c>
      <c r="K541" s="450">
        <v>1</v>
      </c>
      <c r="L541" s="450">
        <v>4.8000000000000001E-2</v>
      </c>
      <c r="M541" s="451">
        <v>13.61</v>
      </c>
      <c r="N541" s="451">
        <v>0</v>
      </c>
      <c r="O541" s="451">
        <v>0</v>
      </c>
      <c r="P541" s="450">
        <v>0</v>
      </c>
    </row>
    <row r="542" spans="3:19" x14ac:dyDescent="0.25">
      <c r="C542" s="86"/>
      <c r="F542" s="99" t="s">
        <v>1005</v>
      </c>
      <c r="G542" s="196"/>
      <c r="H542" s="196" t="s">
        <v>261</v>
      </c>
      <c r="I542" s="196"/>
      <c r="J542" s="450">
        <v>7.66</v>
      </c>
      <c r="K542" s="450">
        <v>1</v>
      </c>
      <c r="L542" s="450">
        <v>4.8000000000000001E-2</v>
      </c>
      <c r="M542" s="451">
        <v>26.18</v>
      </c>
      <c r="N542" s="451">
        <v>0</v>
      </c>
      <c r="O542" s="451">
        <v>0</v>
      </c>
      <c r="P542" s="450">
        <v>0</v>
      </c>
    </row>
    <row r="543" spans="3:19" x14ac:dyDescent="0.25">
      <c r="C543" s="86"/>
      <c r="F543" s="99" t="s">
        <v>1006</v>
      </c>
      <c r="G543" s="196"/>
      <c r="H543" s="196" t="s">
        <v>261</v>
      </c>
      <c r="I543" s="196"/>
      <c r="J543" s="450">
        <v>7.66</v>
      </c>
      <c r="K543" s="450">
        <v>1</v>
      </c>
      <c r="L543" s="450">
        <v>4.8000000000000001E-2</v>
      </c>
      <c r="M543" s="451">
        <v>49.08</v>
      </c>
      <c r="N543" s="451">
        <v>0</v>
      </c>
      <c r="O543" s="451">
        <v>0</v>
      </c>
      <c r="P543" s="450">
        <v>0</v>
      </c>
    </row>
    <row r="544" spans="3:19" x14ac:dyDescent="0.25">
      <c r="C544" s="86"/>
      <c r="F544" s="99" t="s">
        <v>1007</v>
      </c>
      <c r="G544" s="196"/>
      <c r="H544" s="196" t="s">
        <v>261</v>
      </c>
      <c r="I544" s="196"/>
      <c r="J544" s="450">
        <v>7.66</v>
      </c>
      <c r="K544" s="450">
        <v>1</v>
      </c>
      <c r="L544" s="450">
        <v>4.8000000000000001E-2</v>
      </c>
      <c r="M544" s="451">
        <v>119.58</v>
      </c>
      <c r="N544" s="451">
        <v>0</v>
      </c>
      <c r="O544" s="451">
        <v>0</v>
      </c>
      <c r="P544" s="450">
        <v>0</v>
      </c>
    </row>
    <row r="545" spans="3:16" s="293" customFormat="1" x14ac:dyDescent="0.25">
      <c r="C545" s="86"/>
      <c r="D545" s="98"/>
      <c r="E545" s="98"/>
      <c r="F545" s="99" t="s">
        <v>929</v>
      </c>
      <c r="G545" s="196"/>
      <c r="H545" s="196" t="s">
        <v>261</v>
      </c>
      <c r="I545" s="196"/>
      <c r="J545" s="450">
        <v>7.66</v>
      </c>
      <c r="K545" s="450">
        <v>1</v>
      </c>
      <c r="L545" s="450">
        <v>4.8000000000000001E-2</v>
      </c>
      <c r="M545" s="451">
        <v>0</v>
      </c>
      <c r="N545" s="451">
        <v>0</v>
      </c>
      <c r="O545" s="451">
        <v>0</v>
      </c>
      <c r="P545" s="450">
        <v>0</v>
      </c>
    </row>
    <row r="546" spans="3:16" s="293" customFormat="1" x14ac:dyDescent="0.25">
      <c r="C546" s="86"/>
      <c r="D546" s="98"/>
      <c r="E546" s="98"/>
      <c r="F546" s="99" t="s">
        <v>1008</v>
      </c>
      <c r="G546" s="196"/>
      <c r="H546" s="196" t="s">
        <v>261</v>
      </c>
      <c r="I546" s="196"/>
      <c r="J546" s="450">
        <v>6.7309999999999999</v>
      </c>
      <c r="K546" s="450">
        <v>0.75700000000000001</v>
      </c>
      <c r="L546" s="450">
        <v>3.5999999999999997E-2</v>
      </c>
      <c r="M546" s="451">
        <v>18.16</v>
      </c>
      <c r="N546" s="451">
        <v>3.7</v>
      </c>
      <c r="O546" s="451">
        <v>6.7</v>
      </c>
      <c r="P546" s="450">
        <v>0.22600000000000001</v>
      </c>
    </row>
    <row r="547" spans="3:16" s="293" customFormat="1" x14ac:dyDescent="0.25">
      <c r="C547" s="86"/>
      <c r="D547" s="98"/>
      <c r="E547" s="98"/>
      <c r="F547" s="99" t="s">
        <v>1009</v>
      </c>
      <c r="G547" s="196"/>
      <c r="H547" s="196" t="s">
        <v>261</v>
      </c>
      <c r="I547" s="196"/>
      <c r="J547" s="450">
        <v>6.7309999999999999</v>
      </c>
      <c r="K547" s="450">
        <v>0.75700000000000001</v>
      </c>
      <c r="L547" s="450">
        <v>3.5999999999999997E-2</v>
      </c>
      <c r="M547" s="451">
        <v>201.92</v>
      </c>
      <c r="N547" s="451">
        <v>3.7</v>
      </c>
      <c r="O547" s="451">
        <v>6.7</v>
      </c>
      <c r="P547" s="450">
        <v>0.22600000000000001</v>
      </c>
    </row>
    <row r="548" spans="3:16" x14ac:dyDescent="0.25">
      <c r="C548" s="86"/>
      <c r="F548" s="99" t="s">
        <v>1010</v>
      </c>
      <c r="G548" s="196"/>
      <c r="H548" s="196" t="s">
        <v>261</v>
      </c>
      <c r="I548" s="196"/>
      <c r="J548" s="450">
        <v>6.7309999999999999</v>
      </c>
      <c r="K548" s="450">
        <v>0.75700000000000001</v>
      </c>
      <c r="L548" s="450">
        <v>3.5999999999999997E-2</v>
      </c>
      <c r="M548" s="451">
        <v>360.87</v>
      </c>
      <c r="N548" s="451">
        <v>3.7</v>
      </c>
      <c r="O548" s="451">
        <v>6.7</v>
      </c>
      <c r="P548" s="450">
        <v>0.22600000000000001</v>
      </c>
    </row>
    <row r="549" spans="3:16" x14ac:dyDescent="0.25">
      <c r="C549" s="86"/>
      <c r="F549" s="99" t="s">
        <v>1011</v>
      </c>
      <c r="G549" s="196"/>
      <c r="H549" s="196" t="s">
        <v>261</v>
      </c>
      <c r="I549" s="196"/>
      <c r="J549" s="450">
        <v>6.7309999999999999</v>
      </c>
      <c r="K549" s="450">
        <v>0.75700000000000001</v>
      </c>
      <c r="L549" s="450">
        <v>3.5999999999999997E-2</v>
      </c>
      <c r="M549" s="451">
        <v>549.22</v>
      </c>
      <c r="N549" s="451">
        <v>3.7</v>
      </c>
      <c r="O549" s="451">
        <v>6.7</v>
      </c>
      <c r="P549" s="450">
        <v>0.22600000000000001</v>
      </c>
    </row>
    <row r="550" spans="3:16" x14ac:dyDescent="0.25">
      <c r="C550" s="86"/>
      <c r="F550" s="99" t="s">
        <v>1012</v>
      </c>
      <c r="G550" s="196"/>
      <c r="H550" s="196" t="s">
        <v>261</v>
      </c>
      <c r="I550" s="196"/>
      <c r="J550" s="450">
        <v>6.7309999999999999</v>
      </c>
      <c r="K550" s="450">
        <v>0.75700000000000001</v>
      </c>
      <c r="L550" s="450">
        <v>3.5999999999999997E-2</v>
      </c>
      <c r="M550" s="451">
        <v>1395.97</v>
      </c>
      <c r="N550" s="451">
        <v>3.7</v>
      </c>
      <c r="O550" s="451">
        <v>6.7</v>
      </c>
      <c r="P550" s="450">
        <v>0.22600000000000001</v>
      </c>
    </row>
    <row r="551" spans="3:16" x14ac:dyDescent="0.25">
      <c r="C551" s="86"/>
      <c r="F551" s="99" t="s">
        <v>1013</v>
      </c>
      <c r="G551" s="196"/>
      <c r="H551" s="196" t="s">
        <v>261</v>
      </c>
      <c r="I551" s="196"/>
      <c r="J551" s="450">
        <v>3.7290000000000001</v>
      </c>
      <c r="K551" s="450">
        <v>0.28599999999999998</v>
      </c>
      <c r="L551" s="450">
        <v>1.2E-2</v>
      </c>
      <c r="M551" s="451">
        <v>42.58</v>
      </c>
      <c r="N551" s="451">
        <v>5.0599999999999996</v>
      </c>
      <c r="O551" s="451">
        <v>6.57</v>
      </c>
      <c r="P551" s="450">
        <v>0.126</v>
      </c>
    </row>
    <row r="552" spans="3:16" s="293" customFormat="1" x14ac:dyDescent="0.25">
      <c r="C552" s="86"/>
      <c r="D552" s="98"/>
      <c r="E552" s="98"/>
      <c r="F552" s="99" t="s">
        <v>1014</v>
      </c>
      <c r="G552" s="196"/>
      <c r="H552" s="196" t="s">
        <v>261</v>
      </c>
      <c r="I552" s="196"/>
      <c r="J552" s="450">
        <v>3.7290000000000001</v>
      </c>
      <c r="K552" s="450">
        <v>0.28599999999999998</v>
      </c>
      <c r="L552" s="450">
        <v>1.2E-2</v>
      </c>
      <c r="M552" s="451">
        <v>226.34</v>
      </c>
      <c r="N552" s="451">
        <v>5.0599999999999996</v>
      </c>
      <c r="O552" s="451">
        <v>6.57</v>
      </c>
      <c r="P552" s="450">
        <v>0.126</v>
      </c>
    </row>
    <row r="553" spans="3:16" s="293" customFormat="1" x14ac:dyDescent="0.25">
      <c r="C553" s="86"/>
      <c r="D553" s="98"/>
      <c r="E553" s="98"/>
      <c r="F553" s="99" t="s">
        <v>1015</v>
      </c>
      <c r="G553" s="196"/>
      <c r="H553" s="196" t="s">
        <v>261</v>
      </c>
      <c r="I553" s="196"/>
      <c r="J553" s="450">
        <v>3.7290000000000001</v>
      </c>
      <c r="K553" s="450">
        <v>0.28599999999999998</v>
      </c>
      <c r="L553" s="450">
        <v>1.2E-2</v>
      </c>
      <c r="M553" s="451">
        <v>385.29</v>
      </c>
      <c r="N553" s="451">
        <v>5.0599999999999996</v>
      </c>
      <c r="O553" s="451">
        <v>6.57</v>
      </c>
      <c r="P553" s="450">
        <v>0.126</v>
      </c>
    </row>
    <row r="554" spans="3:16" s="293" customFormat="1" x14ac:dyDescent="0.25">
      <c r="C554" s="86"/>
      <c r="D554" s="98"/>
      <c r="E554" s="98"/>
      <c r="F554" s="99" t="s">
        <v>1016</v>
      </c>
      <c r="G554" s="196"/>
      <c r="H554" s="196" t="s">
        <v>261</v>
      </c>
      <c r="I554" s="196"/>
      <c r="J554" s="450">
        <v>3.7290000000000001</v>
      </c>
      <c r="K554" s="450">
        <v>0.28599999999999998</v>
      </c>
      <c r="L554" s="450">
        <v>1.2E-2</v>
      </c>
      <c r="M554" s="451">
        <v>573.64</v>
      </c>
      <c r="N554" s="451">
        <v>5.0599999999999996</v>
      </c>
      <c r="O554" s="451">
        <v>6.57</v>
      </c>
      <c r="P554" s="450">
        <v>0.126</v>
      </c>
    </row>
    <row r="555" spans="3:16" s="293" customFormat="1" x14ac:dyDescent="0.25">
      <c r="C555" s="86"/>
      <c r="D555" s="98"/>
      <c r="E555" s="98"/>
      <c r="F555" s="99" t="s">
        <v>1017</v>
      </c>
      <c r="G555" s="196"/>
      <c r="H555" s="196" t="s">
        <v>261</v>
      </c>
      <c r="I555" s="196"/>
      <c r="J555" s="450">
        <v>3.7290000000000001</v>
      </c>
      <c r="K555" s="450">
        <v>0.28599999999999998</v>
      </c>
      <c r="L555" s="450">
        <v>1.2E-2</v>
      </c>
      <c r="M555" s="451">
        <v>1420.39</v>
      </c>
      <c r="N555" s="451">
        <v>5.0599999999999996</v>
      </c>
      <c r="O555" s="451">
        <v>6.57</v>
      </c>
      <c r="P555" s="450">
        <v>0.126</v>
      </c>
    </row>
    <row r="556" spans="3:16" s="293" customFormat="1" x14ac:dyDescent="0.25">
      <c r="C556" s="86"/>
      <c r="D556" s="98"/>
      <c r="E556" s="98"/>
      <c r="F556" s="99" t="s">
        <v>1018</v>
      </c>
      <c r="G556" s="196"/>
      <c r="H556" s="196" t="s">
        <v>261</v>
      </c>
      <c r="I556" s="196"/>
      <c r="J556" s="450">
        <v>3.2410000000000001</v>
      </c>
      <c r="K556" s="450">
        <v>0.221</v>
      </c>
      <c r="L556" s="450">
        <v>8.9999999999999993E-3</v>
      </c>
      <c r="M556" s="451">
        <v>184.94</v>
      </c>
      <c r="N556" s="451">
        <v>6.03</v>
      </c>
      <c r="O556" s="451">
        <v>7.25</v>
      </c>
      <c r="P556" s="450">
        <v>9.6000000000000002E-2</v>
      </c>
    </row>
    <row r="557" spans="3:16" s="293" customFormat="1" x14ac:dyDescent="0.25">
      <c r="C557" s="86"/>
      <c r="D557" s="98"/>
      <c r="E557" s="98"/>
      <c r="F557" s="99" t="s">
        <v>1019</v>
      </c>
      <c r="G557" s="196"/>
      <c r="H557" s="196" t="s">
        <v>261</v>
      </c>
      <c r="I557" s="196"/>
      <c r="J557" s="450">
        <v>3.2410000000000001</v>
      </c>
      <c r="K557" s="450">
        <v>0.221</v>
      </c>
      <c r="L557" s="450">
        <v>8.9999999999999993E-3</v>
      </c>
      <c r="M557" s="451">
        <v>1553.53</v>
      </c>
      <c r="N557" s="451">
        <v>6.03</v>
      </c>
      <c r="O557" s="451">
        <v>7.25</v>
      </c>
      <c r="P557" s="450">
        <v>9.6000000000000002E-2</v>
      </c>
    </row>
    <row r="558" spans="3:16" s="293" customFormat="1" x14ac:dyDescent="0.25">
      <c r="C558" s="86"/>
      <c r="D558" s="98"/>
      <c r="E558" s="98"/>
      <c r="F558" s="99" t="s">
        <v>1020</v>
      </c>
      <c r="G558" s="196"/>
      <c r="H558" s="196" t="s">
        <v>261</v>
      </c>
      <c r="I558" s="196"/>
      <c r="J558" s="450">
        <v>3.2410000000000001</v>
      </c>
      <c r="K558" s="450">
        <v>0.221</v>
      </c>
      <c r="L558" s="450">
        <v>8.9999999999999993E-3</v>
      </c>
      <c r="M558" s="451">
        <v>4177.9799999999996</v>
      </c>
      <c r="N558" s="451">
        <v>6.03</v>
      </c>
      <c r="O558" s="451">
        <v>7.25</v>
      </c>
      <c r="P558" s="450">
        <v>9.6000000000000002E-2</v>
      </c>
    </row>
    <row r="559" spans="3:16" s="293" customFormat="1" x14ac:dyDescent="0.25">
      <c r="C559" s="86"/>
      <c r="D559" s="98"/>
      <c r="E559" s="98"/>
      <c r="F559" s="99" t="s">
        <v>1021</v>
      </c>
      <c r="G559" s="196"/>
      <c r="H559" s="196" t="s">
        <v>261</v>
      </c>
      <c r="I559" s="196"/>
      <c r="J559" s="450">
        <v>3.2410000000000001</v>
      </c>
      <c r="K559" s="450">
        <v>0.221</v>
      </c>
      <c r="L559" s="450">
        <v>8.9999999999999993E-3</v>
      </c>
      <c r="M559" s="451">
        <v>7514.05</v>
      </c>
      <c r="N559" s="451">
        <v>6.03</v>
      </c>
      <c r="O559" s="451">
        <v>7.25</v>
      </c>
      <c r="P559" s="450">
        <v>9.6000000000000002E-2</v>
      </c>
    </row>
    <row r="560" spans="3:16" s="293" customFormat="1" x14ac:dyDescent="0.25">
      <c r="C560" s="86"/>
      <c r="D560" s="98"/>
      <c r="E560" s="98"/>
      <c r="F560" s="99" t="s">
        <v>1022</v>
      </c>
      <c r="G560" s="196"/>
      <c r="H560" s="196" t="s">
        <v>261</v>
      </c>
      <c r="I560" s="196"/>
      <c r="J560" s="450">
        <v>3.2410000000000001</v>
      </c>
      <c r="K560" s="450">
        <v>0.221</v>
      </c>
      <c r="L560" s="450">
        <v>8.9999999999999993E-3</v>
      </c>
      <c r="M560" s="451">
        <v>19439.43</v>
      </c>
      <c r="N560" s="451">
        <v>6.03</v>
      </c>
      <c r="O560" s="451">
        <v>7.25</v>
      </c>
      <c r="P560" s="450">
        <v>9.6000000000000002E-2</v>
      </c>
    </row>
    <row r="561" spans="3:16" s="293" customFormat="1" x14ac:dyDescent="0.25">
      <c r="C561" s="86"/>
      <c r="D561" s="98"/>
      <c r="E561" s="98"/>
      <c r="F561" s="99" t="s">
        <v>933</v>
      </c>
      <c r="G561" s="196"/>
      <c r="H561" s="196" t="s">
        <v>261</v>
      </c>
      <c r="I561" s="196"/>
      <c r="J561" s="450">
        <v>21.111000000000001</v>
      </c>
      <c r="K561" s="450">
        <v>4.2510000000000003</v>
      </c>
      <c r="L561" s="450">
        <v>3.3660000000000001</v>
      </c>
      <c r="M561" s="451">
        <v>0</v>
      </c>
      <c r="N561" s="451">
        <v>0</v>
      </c>
      <c r="O561" s="451">
        <v>0</v>
      </c>
      <c r="P561" s="450">
        <v>0</v>
      </c>
    </row>
    <row r="562" spans="3:16" s="293" customFormat="1" x14ac:dyDescent="0.25">
      <c r="C562" s="86"/>
      <c r="D562" s="98"/>
      <c r="E562" s="98"/>
      <c r="F562" s="99" t="s">
        <v>934</v>
      </c>
      <c r="G562" s="196"/>
      <c r="H562" s="196" t="s">
        <v>261</v>
      </c>
      <c r="I562" s="196"/>
      <c r="J562" s="450">
        <v>-5.9580000000000002</v>
      </c>
      <c r="K562" s="450">
        <v>-0.77800000000000002</v>
      </c>
      <c r="L562" s="450">
        <v>-3.7999999999999999E-2</v>
      </c>
      <c r="M562" s="451">
        <v>0</v>
      </c>
      <c r="N562" s="451">
        <v>0</v>
      </c>
      <c r="O562" s="451">
        <v>0</v>
      </c>
      <c r="P562" s="450">
        <v>0</v>
      </c>
    </row>
    <row r="563" spans="3:16" s="293" customFormat="1" x14ac:dyDescent="0.25">
      <c r="C563" s="86"/>
      <c r="D563" s="98"/>
      <c r="E563" s="98"/>
      <c r="F563" s="99" t="s">
        <v>935</v>
      </c>
      <c r="G563" s="196"/>
      <c r="H563" s="196" t="s">
        <v>261</v>
      </c>
      <c r="I563" s="196"/>
      <c r="J563" s="450">
        <v>-5.3220000000000001</v>
      </c>
      <c r="K563" s="450">
        <v>-0.63600000000000001</v>
      </c>
      <c r="L563" s="450">
        <v>-0.03</v>
      </c>
      <c r="M563" s="451">
        <v>0</v>
      </c>
      <c r="N563" s="451">
        <v>0</v>
      </c>
      <c r="O563" s="451">
        <v>0</v>
      </c>
      <c r="P563" s="450">
        <v>0</v>
      </c>
    </row>
    <row r="564" spans="3:16" s="293" customFormat="1" x14ac:dyDescent="0.25">
      <c r="C564" s="86"/>
      <c r="D564" s="98"/>
      <c r="E564" s="98"/>
      <c r="F564" s="99" t="s">
        <v>936</v>
      </c>
      <c r="G564" s="196"/>
      <c r="H564" s="196" t="s">
        <v>261</v>
      </c>
      <c r="I564" s="196"/>
      <c r="J564" s="450">
        <v>-5.9580000000000002</v>
      </c>
      <c r="K564" s="450">
        <v>-0.77800000000000002</v>
      </c>
      <c r="L564" s="450">
        <v>-3.7999999999999999E-2</v>
      </c>
      <c r="M564" s="451">
        <v>0</v>
      </c>
      <c r="N564" s="451">
        <v>0</v>
      </c>
      <c r="O564" s="451">
        <v>0</v>
      </c>
      <c r="P564" s="450">
        <v>0.23499999999999999</v>
      </c>
    </row>
    <row r="565" spans="3:16" x14ac:dyDescent="0.25">
      <c r="C565" s="86"/>
      <c r="F565" s="99" t="s">
        <v>937</v>
      </c>
      <c r="G565" s="196"/>
      <c r="H565" s="196" t="s">
        <v>261</v>
      </c>
      <c r="I565" s="196"/>
      <c r="J565" s="450">
        <v>-5.9580000000000002</v>
      </c>
      <c r="K565" s="450">
        <v>-0.77800000000000002</v>
      </c>
      <c r="L565" s="450">
        <v>-3.7999999999999999E-2</v>
      </c>
      <c r="M565" s="451">
        <v>0</v>
      </c>
      <c r="N565" s="451">
        <v>0</v>
      </c>
      <c r="O565" s="451">
        <v>0</v>
      </c>
      <c r="P565" s="450">
        <v>0</v>
      </c>
    </row>
    <row r="566" spans="3:16" x14ac:dyDescent="0.25">
      <c r="C566" s="86"/>
      <c r="F566" s="99" t="s">
        <v>938</v>
      </c>
      <c r="G566" s="196"/>
      <c r="H566" s="196" t="s">
        <v>261</v>
      </c>
      <c r="I566" s="196"/>
      <c r="J566" s="450">
        <v>-5.3220000000000001</v>
      </c>
      <c r="K566" s="450">
        <v>-0.63600000000000001</v>
      </c>
      <c r="L566" s="450">
        <v>-0.03</v>
      </c>
      <c r="M566" s="451">
        <v>0</v>
      </c>
      <c r="N566" s="451">
        <v>0</v>
      </c>
      <c r="O566" s="451">
        <v>0</v>
      </c>
      <c r="P566" s="450">
        <v>0.19600000000000001</v>
      </c>
    </row>
    <row r="567" spans="3:16" x14ac:dyDescent="0.25">
      <c r="C567" s="86"/>
      <c r="F567" s="99" t="s">
        <v>939</v>
      </c>
      <c r="G567" s="196"/>
      <c r="H567" s="196" t="s">
        <v>261</v>
      </c>
      <c r="I567" s="196"/>
      <c r="J567" s="450">
        <v>-5.3220000000000001</v>
      </c>
      <c r="K567" s="450">
        <v>-0.63600000000000001</v>
      </c>
      <c r="L567" s="450">
        <v>-0.03</v>
      </c>
      <c r="M567" s="451">
        <v>0</v>
      </c>
      <c r="N567" s="451">
        <v>0</v>
      </c>
      <c r="O567" s="451">
        <v>0</v>
      </c>
      <c r="P567" s="450">
        <v>0</v>
      </c>
    </row>
    <row r="568" spans="3:16" x14ac:dyDescent="0.25">
      <c r="C568" s="86"/>
      <c r="F568" s="99" t="s">
        <v>940</v>
      </c>
      <c r="G568" s="196"/>
      <c r="H568" s="196" t="s">
        <v>261</v>
      </c>
      <c r="I568" s="196"/>
      <c r="J568" s="450">
        <v>-4.1100000000000003</v>
      </c>
      <c r="K568" s="450">
        <v>-0.314</v>
      </c>
      <c r="L568" s="450">
        <v>-1.2999999999999999E-2</v>
      </c>
      <c r="M568" s="451">
        <v>370.08</v>
      </c>
      <c r="N568" s="451">
        <v>0</v>
      </c>
      <c r="O568" s="451">
        <v>0</v>
      </c>
      <c r="P568" s="450">
        <v>0.17100000000000001</v>
      </c>
    </row>
    <row r="569" spans="3:16" x14ac:dyDescent="0.25">
      <c r="C569" s="86"/>
      <c r="F569" s="100" t="s">
        <v>941</v>
      </c>
      <c r="G569" s="93"/>
      <c r="H569" s="93" t="s">
        <v>261</v>
      </c>
      <c r="I569" s="93"/>
      <c r="J569" s="436">
        <v>-4.1100000000000003</v>
      </c>
      <c r="K569" s="436">
        <v>-0.314</v>
      </c>
      <c r="L569" s="436">
        <v>-1.2999999999999999E-2</v>
      </c>
      <c r="M569" s="342">
        <v>370.08</v>
      </c>
      <c r="N569" s="342">
        <v>0</v>
      </c>
      <c r="O569" s="342">
        <v>0</v>
      </c>
      <c r="P569" s="436">
        <v>0</v>
      </c>
    </row>
    <row r="570" spans="3:16" x14ac:dyDescent="0.25">
      <c r="F570" s="98"/>
      <c r="G570" s="293"/>
      <c r="H570" s="293"/>
      <c r="I570" s="293"/>
      <c r="J570" s="343"/>
      <c r="K570" s="343"/>
      <c r="L570" s="343"/>
      <c r="M570" s="343"/>
      <c r="N570" s="343"/>
      <c r="O570" s="343"/>
      <c r="P570" s="437"/>
    </row>
    <row r="571" spans="3:16" x14ac:dyDescent="0.25">
      <c r="D571" s="96"/>
      <c r="E571" s="96" t="str">
        <f>"LDNO LV tariff forecast "&amp; 'ARP_User control'!G35</f>
        <v>LDNO LV tariff forecast 2027/28</v>
      </c>
      <c r="F571" s="98"/>
      <c r="G571" s="293"/>
      <c r="H571" s="293"/>
      <c r="I571" s="293"/>
      <c r="J571" s="343"/>
      <c r="K571" s="343"/>
      <c r="L571" s="343"/>
      <c r="M571" s="343"/>
      <c r="N571" s="343"/>
      <c r="O571" s="343"/>
      <c r="P571" s="437"/>
    </row>
    <row r="572" spans="3:16" x14ac:dyDescent="0.25">
      <c r="C572" s="86"/>
      <c r="F572" s="103" t="s">
        <v>1002</v>
      </c>
      <c r="G572" s="91"/>
      <c r="H572" s="91" t="s">
        <v>146</v>
      </c>
      <c r="I572" s="91"/>
      <c r="J572" s="435">
        <v>5.6550000000000002</v>
      </c>
      <c r="K572" s="435">
        <v>0.73799999999999999</v>
      </c>
      <c r="L572" s="435">
        <v>3.5999999999999997E-2</v>
      </c>
      <c r="M572" s="340">
        <v>9.61</v>
      </c>
      <c r="N572" s="340">
        <v>0</v>
      </c>
      <c r="O572" s="340">
        <v>0</v>
      </c>
      <c r="P572" s="435">
        <v>0</v>
      </c>
    </row>
    <row r="573" spans="3:16" x14ac:dyDescent="0.25">
      <c r="C573" s="86"/>
      <c r="F573" s="99" t="s">
        <v>927</v>
      </c>
      <c r="G573" s="196"/>
      <c r="H573" s="196" t="s">
        <v>146</v>
      </c>
      <c r="I573" s="196"/>
      <c r="J573" s="450">
        <v>5.6550000000000002</v>
      </c>
      <c r="K573" s="450">
        <v>0.73799999999999999</v>
      </c>
      <c r="L573" s="450">
        <v>3.5999999999999997E-2</v>
      </c>
      <c r="M573" s="451">
        <v>0</v>
      </c>
      <c r="N573" s="451">
        <v>0</v>
      </c>
      <c r="O573" s="451">
        <v>0</v>
      </c>
      <c r="P573" s="450">
        <v>0</v>
      </c>
    </row>
    <row r="574" spans="3:16" x14ac:dyDescent="0.25">
      <c r="C574" s="86"/>
      <c r="F574" s="99" t="s">
        <v>1003</v>
      </c>
      <c r="G574" s="196"/>
      <c r="H574" s="196" t="s">
        <v>146</v>
      </c>
      <c r="I574" s="196"/>
      <c r="J574" s="450">
        <v>4.9610000000000003</v>
      </c>
      <c r="K574" s="450">
        <v>0.64700000000000002</v>
      </c>
      <c r="L574" s="450">
        <v>3.1E-2</v>
      </c>
      <c r="M574" s="451">
        <v>5.25</v>
      </c>
      <c r="N574" s="451">
        <v>0</v>
      </c>
      <c r="O574" s="451">
        <v>0</v>
      </c>
      <c r="P574" s="450">
        <v>0</v>
      </c>
    </row>
    <row r="575" spans="3:16" x14ac:dyDescent="0.25">
      <c r="C575" s="86"/>
      <c r="F575" s="99" t="s">
        <v>1004</v>
      </c>
      <c r="G575" s="196"/>
      <c r="H575" s="196" t="s">
        <v>146</v>
      </c>
      <c r="I575" s="196"/>
      <c r="J575" s="450">
        <v>4.9610000000000003</v>
      </c>
      <c r="K575" s="450">
        <v>0.64700000000000002</v>
      </c>
      <c r="L575" s="450">
        <v>3.1E-2</v>
      </c>
      <c r="M575" s="451">
        <v>8.81</v>
      </c>
      <c r="N575" s="451">
        <v>0</v>
      </c>
      <c r="O575" s="451">
        <v>0</v>
      </c>
      <c r="P575" s="450">
        <v>0</v>
      </c>
    </row>
    <row r="576" spans="3:16" x14ac:dyDescent="0.25">
      <c r="C576" s="86"/>
      <c r="F576" s="99" t="s">
        <v>1005</v>
      </c>
      <c r="G576" s="196"/>
      <c r="H576" s="196" t="s">
        <v>146</v>
      </c>
      <c r="I576" s="196"/>
      <c r="J576" s="450">
        <v>4.9610000000000003</v>
      </c>
      <c r="K576" s="450">
        <v>0.64700000000000002</v>
      </c>
      <c r="L576" s="450">
        <v>3.1E-2</v>
      </c>
      <c r="M576" s="451">
        <v>16.96</v>
      </c>
      <c r="N576" s="451">
        <v>0</v>
      </c>
      <c r="O576" s="451">
        <v>0</v>
      </c>
      <c r="P576" s="450">
        <v>0</v>
      </c>
    </row>
    <row r="577" spans="3:16" x14ac:dyDescent="0.25">
      <c r="C577" s="86"/>
      <c r="F577" s="99" t="s">
        <v>1006</v>
      </c>
      <c r="G577" s="196"/>
      <c r="H577" s="196" t="s">
        <v>146</v>
      </c>
      <c r="I577" s="196"/>
      <c r="J577" s="450">
        <v>4.9610000000000003</v>
      </c>
      <c r="K577" s="450">
        <v>0.64700000000000002</v>
      </c>
      <c r="L577" s="450">
        <v>3.1E-2</v>
      </c>
      <c r="M577" s="451">
        <v>31.78</v>
      </c>
      <c r="N577" s="451">
        <v>0</v>
      </c>
      <c r="O577" s="451">
        <v>0</v>
      </c>
      <c r="P577" s="450">
        <v>0</v>
      </c>
    </row>
    <row r="578" spans="3:16" x14ac:dyDescent="0.25">
      <c r="C578" s="86"/>
      <c r="F578" s="99" t="s">
        <v>1007</v>
      </c>
      <c r="G578" s="196"/>
      <c r="H578" s="196" t="s">
        <v>146</v>
      </c>
      <c r="I578" s="196"/>
      <c r="J578" s="450">
        <v>4.9610000000000003</v>
      </c>
      <c r="K578" s="450">
        <v>0.64700000000000002</v>
      </c>
      <c r="L578" s="450">
        <v>3.1E-2</v>
      </c>
      <c r="M578" s="451">
        <v>77.44</v>
      </c>
      <c r="N578" s="451">
        <v>0</v>
      </c>
      <c r="O578" s="451">
        <v>0</v>
      </c>
      <c r="P578" s="450">
        <v>0</v>
      </c>
    </row>
    <row r="579" spans="3:16" s="293" customFormat="1" x14ac:dyDescent="0.25">
      <c r="C579" s="86"/>
      <c r="D579" s="98"/>
      <c r="E579" s="98"/>
      <c r="F579" s="99" t="s">
        <v>929</v>
      </c>
      <c r="G579" s="196"/>
      <c r="H579" s="196" t="s">
        <v>146</v>
      </c>
      <c r="I579" s="196"/>
      <c r="J579" s="450">
        <v>4.9610000000000003</v>
      </c>
      <c r="K579" s="450">
        <v>0.64700000000000002</v>
      </c>
      <c r="L579" s="450">
        <v>3.1E-2</v>
      </c>
      <c r="M579" s="451">
        <v>0</v>
      </c>
      <c r="N579" s="451">
        <v>0</v>
      </c>
      <c r="O579" s="451">
        <v>0</v>
      </c>
      <c r="P579" s="450">
        <v>0</v>
      </c>
    </row>
    <row r="580" spans="3:16" s="293" customFormat="1" x14ac:dyDescent="0.25">
      <c r="C580" s="86"/>
      <c r="D580" s="98"/>
      <c r="E580" s="98"/>
      <c r="F580" s="99" t="s">
        <v>1008</v>
      </c>
      <c r="G580" s="196"/>
      <c r="H580" s="196" t="s">
        <v>146</v>
      </c>
      <c r="I580" s="196"/>
      <c r="J580" s="450">
        <v>4.359</v>
      </c>
      <c r="K580" s="450">
        <v>0.49</v>
      </c>
      <c r="L580" s="450">
        <v>2.3E-2</v>
      </c>
      <c r="M580" s="451">
        <v>11.76</v>
      </c>
      <c r="N580" s="451">
        <v>2.39</v>
      </c>
      <c r="O580" s="451">
        <v>4.34</v>
      </c>
      <c r="P580" s="450">
        <v>0.14699999999999999</v>
      </c>
    </row>
    <row r="581" spans="3:16" s="293" customFormat="1" x14ac:dyDescent="0.25">
      <c r="C581" s="86"/>
      <c r="D581" s="98"/>
      <c r="E581" s="98"/>
      <c r="F581" s="99" t="s">
        <v>1009</v>
      </c>
      <c r="G581" s="196"/>
      <c r="H581" s="196" t="s">
        <v>146</v>
      </c>
      <c r="I581" s="196"/>
      <c r="J581" s="450">
        <v>4.359</v>
      </c>
      <c r="K581" s="450">
        <v>0.49</v>
      </c>
      <c r="L581" s="450">
        <v>2.3E-2</v>
      </c>
      <c r="M581" s="451">
        <v>130.76</v>
      </c>
      <c r="N581" s="451">
        <v>2.39</v>
      </c>
      <c r="O581" s="451">
        <v>4.34</v>
      </c>
      <c r="P581" s="450">
        <v>0.14699999999999999</v>
      </c>
    </row>
    <row r="582" spans="3:16" x14ac:dyDescent="0.25">
      <c r="C582" s="86"/>
      <c r="F582" s="99" t="s">
        <v>1010</v>
      </c>
      <c r="G582" s="196"/>
      <c r="H582" s="196" t="s">
        <v>146</v>
      </c>
      <c r="I582" s="196"/>
      <c r="J582" s="450">
        <v>4.359</v>
      </c>
      <c r="K582" s="450">
        <v>0.49</v>
      </c>
      <c r="L582" s="450">
        <v>2.3E-2</v>
      </c>
      <c r="M582" s="451">
        <v>233.69</v>
      </c>
      <c r="N582" s="451">
        <v>2.39</v>
      </c>
      <c r="O582" s="451">
        <v>4.34</v>
      </c>
      <c r="P582" s="450">
        <v>0.14699999999999999</v>
      </c>
    </row>
    <row r="583" spans="3:16" x14ac:dyDescent="0.25">
      <c r="C583" s="86"/>
      <c r="F583" s="99" t="s">
        <v>1011</v>
      </c>
      <c r="G583" s="196"/>
      <c r="H583" s="196" t="s">
        <v>146</v>
      </c>
      <c r="I583" s="196"/>
      <c r="J583" s="450">
        <v>4.359</v>
      </c>
      <c r="K583" s="450">
        <v>0.49</v>
      </c>
      <c r="L583" s="450">
        <v>2.3E-2</v>
      </c>
      <c r="M583" s="451">
        <v>355.67</v>
      </c>
      <c r="N583" s="451">
        <v>2.39</v>
      </c>
      <c r="O583" s="451">
        <v>4.34</v>
      </c>
      <c r="P583" s="450">
        <v>0.14699999999999999</v>
      </c>
    </row>
    <row r="584" spans="3:16" x14ac:dyDescent="0.25">
      <c r="C584" s="86"/>
      <c r="F584" s="99" t="s">
        <v>1012</v>
      </c>
      <c r="G584" s="196"/>
      <c r="H584" s="196" t="s">
        <v>146</v>
      </c>
      <c r="I584" s="196"/>
      <c r="J584" s="450">
        <v>4.359</v>
      </c>
      <c r="K584" s="450">
        <v>0.49</v>
      </c>
      <c r="L584" s="450">
        <v>2.3E-2</v>
      </c>
      <c r="M584" s="451">
        <v>904.02</v>
      </c>
      <c r="N584" s="451">
        <v>2.39</v>
      </c>
      <c r="O584" s="451">
        <v>4.34</v>
      </c>
      <c r="P584" s="450">
        <v>0.14699999999999999</v>
      </c>
    </row>
    <row r="585" spans="3:16" x14ac:dyDescent="0.25">
      <c r="C585" s="86"/>
      <c r="F585" s="99" t="s">
        <v>1013</v>
      </c>
      <c r="G585" s="196"/>
      <c r="H585" s="196" t="s">
        <v>146</v>
      </c>
      <c r="I585" s="196"/>
      <c r="J585" s="452">
        <v>0</v>
      </c>
      <c r="K585" s="452">
        <v>0</v>
      </c>
      <c r="L585" s="452">
        <v>0</v>
      </c>
      <c r="M585" s="453">
        <v>0</v>
      </c>
      <c r="N585" s="453">
        <v>0</v>
      </c>
      <c r="O585" s="453">
        <v>0</v>
      </c>
      <c r="P585" s="452">
        <v>0</v>
      </c>
    </row>
    <row r="586" spans="3:16" s="293" customFormat="1" x14ac:dyDescent="0.25">
      <c r="C586" s="86"/>
      <c r="D586" s="98"/>
      <c r="E586" s="98"/>
      <c r="F586" s="99" t="s">
        <v>1014</v>
      </c>
      <c r="G586" s="196"/>
      <c r="H586" s="196" t="s">
        <v>146</v>
      </c>
      <c r="I586" s="196"/>
      <c r="J586" s="452">
        <v>0</v>
      </c>
      <c r="K586" s="452">
        <v>0</v>
      </c>
      <c r="L586" s="452">
        <v>0</v>
      </c>
      <c r="M586" s="453">
        <v>0</v>
      </c>
      <c r="N586" s="453">
        <v>0</v>
      </c>
      <c r="O586" s="453">
        <v>0</v>
      </c>
      <c r="P586" s="452">
        <v>0</v>
      </c>
    </row>
    <row r="587" spans="3:16" s="293" customFormat="1" x14ac:dyDescent="0.25">
      <c r="C587" s="86"/>
      <c r="D587" s="98"/>
      <c r="E587" s="98"/>
      <c r="F587" s="99" t="s">
        <v>1015</v>
      </c>
      <c r="G587" s="196"/>
      <c r="H587" s="196" t="s">
        <v>146</v>
      </c>
      <c r="I587" s="196"/>
      <c r="J587" s="452">
        <v>0</v>
      </c>
      <c r="K587" s="452">
        <v>0</v>
      </c>
      <c r="L587" s="452">
        <v>0</v>
      </c>
      <c r="M587" s="453">
        <v>0</v>
      </c>
      <c r="N587" s="453">
        <v>0</v>
      </c>
      <c r="O587" s="453">
        <v>0</v>
      </c>
      <c r="P587" s="452">
        <v>0</v>
      </c>
    </row>
    <row r="588" spans="3:16" s="293" customFormat="1" x14ac:dyDescent="0.25">
      <c r="C588" s="86"/>
      <c r="D588" s="98"/>
      <c r="E588" s="98"/>
      <c r="F588" s="99" t="s">
        <v>1016</v>
      </c>
      <c r="G588" s="196"/>
      <c r="H588" s="196" t="s">
        <v>146</v>
      </c>
      <c r="I588" s="196"/>
      <c r="J588" s="452">
        <v>0</v>
      </c>
      <c r="K588" s="452">
        <v>0</v>
      </c>
      <c r="L588" s="452">
        <v>0</v>
      </c>
      <c r="M588" s="453">
        <v>0</v>
      </c>
      <c r="N588" s="453">
        <v>0</v>
      </c>
      <c r="O588" s="453">
        <v>0</v>
      </c>
      <c r="P588" s="452">
        <v>0</v>
      </c>
    </row>
    <row r="589" spans="3:16" s="293" customFormat="1" x14ac:dyDescent="0.25">
      <c r="C589" s="86"/>
      <c r="D589" s="98"/>
      <c r="E589" s="98"/>
      <c r="F589" s="99" t="s">
        <v>1017</v>
      </c>
      <c r="G589" s="196"/>
      <c r="H589" s="196" t="s">
        <v>146</v>
      </c>
      <c r="I589" s="196"/>
      <c r="J589" s="452">
        <v>0</v>
      </c>
      <c r="K589" s="452">
        <v>0</v>
      </c>
      <c r="L589" s="452">
        <v>0</v>
      </c>
      <c r="M589" s="453">
        <v>0</v>
      </c>
      <c r="N589" s="453">
        <v>0</v>
      </c>
      <c r="O589" s="453">
        <v>0</v>
      </c>
      <c r="P589" s="452">
        <v>0</v>
      </c>
    </row>
    <row r="590" spans="3:16" s="293" customFormat="1" x14ac:dyDescent="0.25">
      <c r="C590" s="86"/>
      <c r="D590" s="98"/>
      <c r="E590" s="98"/>
      <c r="F590" s="99" t="s">
        <v>1018</v>
      </c>
      <c r="G590" s="196"/>
      <c r="H590" s="196" t="s">
        <v>146</v>
      </c>
      <c r="I590" s="196"/>
      <c r="J590" s="452">
        <v>0</v>
      </c>
      <c r="K590" s="452">
        <v>0</v>
      </c>
      <c r="L590" s="452">
        <v>0</v>
      </c>
      <c r="M590" s="453">
        <v>0</v>
      </c>
      <c r="N590" s="453">
        <v>0</v>
      </c>
      <c r="O590" s="453">
        <v>0</v>
      </c>
      <c r="P590" s="452">
        <v>0</v>
      </c>
    </row>
    <row r="591" spans="3:16" s="293" customFormat="1" x14ac:dyDescent="0.25">
      <c r="C591" s="86"/>
      <c r="D591" s="98"/>
      <c r="E591" s="98"/>
      <c r="F591" s="99" t="s">
        <v>1019</v>
      </c>
      <c r="G591" s="196"/>
      <c r="H591" s="196" t="s">
        <v>146</v>
      </c>
      <c r="I591" s="196"/>
      <c r="J591" s="452">
        <v>0</v>
      </c>
      <c r="K591" s="452">
        <v>0</v>
      </c>
      <c r="L591" s="452">
        <v>0</v>
      </c>
      <c r="M591" s="453">
        <v>0</v>
      </c>
      <c r="N591" s="453">
        <v>0</v>
      </c>
      <c r="O591" s="453">
        <v>0</v>
      </c>
      <c r="P591" s="452">
        <v>0</v>
      </c>
    </row>
    <row r="592" spans="3:16" s="293" customFormat="1" x14ac:dyDescent="0.25">
      <c r="C592" s="86"/>
      <c r="D592" s="98"/>
      <c r="E592" s="98"/>
      <c r="F592" s="99" t="s">
        <v>1020</v>
      </c>
      <c r="G592" s="196"/>
      <c r="H592" s="196" t="s">
        <v>146</v>
      </c>
      <c r="I592" s="196"/>
      <c r="J592" s="452">
        <v>0</v>
      </c>
      <c r="K592" s="452">
        <v>0</v>
      </c>
      <c r="L592" s="452">
        <v>0</v>
      </c>
      <c r="M592" s="453">
        <v>0</v>
      </c>
      <c r="N592" s="453">
        <v>0</v>
      </c>
      <c r="O592" s="453">
        <v>0</v>
      </c>
      <c r="P592" s="452">
        <v>0</v>
      </c>
    </row>
    <row r="593" spans="3:19" s="293" customFormat="1" x14ac:dyDescent="0.25">
      <c r="C593" s="86"/>
      <c r="D593" s="98"/>
      <c r="E593" s="98"/>
      <c r="F593" s="99" t="s">
        <v>1021</v>
      </c>
      <c r="G593" s="196"/>
      <c r="H593" s="196" t="s">
        <v>146</v>
      </c>
      <c r="I593" s="196"/>
      <c r="J593" s="452">
        <v>0</v>
      </c>
      <c r="K593" s="452">
        <v>0</v>
      </c>
      <c r="L593" s="452">
        <v>0</v>
      </c>
      <c r="M593" s="453">
        <v>0</v>
      </c>
      <c r="N593" s="453">
        <v>0</v>
      </c>
      <c r="O593" s="453">
        <v>0</v>
      </c>
      <c r="P593" s="452">
        <v>0</v>
      </c>
    </row>
    <row r="594" spans="3:19" s="293" customFormat="1" x14ac:dyDescent="0.25">
      <c r="C594" s="86"/>
      <c r="D594" s="98"/>
      <c r="E594" s="98"/>
      <c r="F594" s="99" t="s">
        <v>1022</v>
      </c>
      <c r="G594" s="196"/>
      <c r="H594" s="196" t="s">
        <v>146</v>
      </c>
      <c r="I594" s="196"/>
      <c r="J594" s="452">
        <v>0</v>
      </c>
      <c r="K594" s="452">
        <v>0</v>
      </c>
      <c r="L594" s="452">
        <v>0</v>
      </c>
      <c r="M594" s="453">
        <v>0</v>
      </c>
      <c r="N594" s="453">
        <v>0</v>
      </c>
      <c r="O594" s="453">
        <v>0</v>
      </c>
      <c r="P594" s="452">
        <v>0</v>
      </c>
    </row>
    <row r="595" spans="3:19" s="293" customFormat="1" x14ac:dyDescent="0.25">
      <c r="C595" s="86"/>
      <c r="D595" s="98"/>
      <c r="E595" s="98"/>
      <c r="F595" s="99" t="s">
        <v>933</v>
      </c>
      <c r="G595" s="196"/>
      <c r="H595" s="196" t="s">
        <v>146</v>
      </c>
      <c r="I595" s="196"/>
      <c r="J595" s="450">
        <v>13.672000000000001</v>
      </c>
      <c r="K595" s="450">
        <v>2.7530000000000001</v>
      </c>
      <c r="L595" s="450">
        <v>2.1800000000000002</v>
      </c>
      <c r="M595" s="451">
        <v>0</v>
      </c>
      <c r="N595" s="451">
        <v>0</v>
      </c>
      <c r="O595" s="451">
        <v>0</v>
      </c>
      <c r="P595" s="450">
        <v>0</v>
      </c>
    </row>
    <row r="596" spans="3:19" s="293" customFormat="1" x14ac:dyDescent="0.25">
      <c r="C596" s="86"/>
      <c r="D596" s="98"/>
      <c r="E596" s="98"/>
      <c r="F596" s="99" t="s">
        <v>934</v>
      </c>
      <c r="G596" s="196"/>
      <c r="H596" s="196" t="s">
        <v>146</v>
      </c>
      <c r="I596" s="196"/>
      <c r="J596" s="450">
        <v>-5.9580000000000002</v>
      </c>
      <c r="K596" s="450">
        <v>-0.77800000000000002</v>
      </c>
      <c r="L596" s="450">
        <v>-3.7999999999999999E-2</v>
      </c>
      <c r="M596" s="451">
        <v>0</v>
      </c>
      <c r="N596" s="451">
        <v>0</v>
      </c>
      <c r="O596" s="451">
        <v>0</v>
      </c>
      <c r="P596" s="450">
        <v>0</v>
      </c>
    </row>
    <row r="597" spans="3:19" s="293" customFormat="1" x14ac:dyDescent="0.25">
      <c r="C597" s="86"/>
      <c r="D597" s="98"/>
      <c r="E597" s="98"/>
      <c r="F597" s="99" t="s">
        <v>935</v>
      </c>
      <c r="G597" s="196"/>
      <c r="H597" s="196" t="s">
        <v>146</v>
      </c>
      <c r="I597" s="196"/>
      <c r="J597" s="452">
        <v>0</v>
      </c>
      <c r="K597" s="452">
        <v>0</v>
      </c>
      <c r="L597" s="452">
        <v>0</v>
      </c>
      <c r="M597" s="453">
        <v>0</v>
      </c>
      <c r="N597" s="453">
        <v>0</v>
      </c>
      <c r="O597" s="453">
        <v>0</v>
      </c>
      <c r="P597" s="452">
        <v>0</v>
      </c>
    </row>
    <row r="598" spans="3:19" s="293" customFormat="1" x14ac:dyDescent="0.25">
      <c r="C598" s="86"/>
      <c r="D598" s="98"/>
      <c r="E598" s="98"/>
      <c r="F598" s="99" t="s">
        <v>936</v>
      </c>
      <c r="G598" s="196"/>
      <c r="H598" s="196" t="s">
        <v>146</v>
      </c>
      <c r="I598" s="196"/>
      <c r="J598" s="450">
        <v>-5.9580000000000002</v>
      </c>
      <c r="K598" s="450">
        <v>-0.77800000000000002</v>
      </c>
      <c r="L598" s="450">
        <v>-3.7999999999999999E-2</v>
      </c>
      <c r="M598" s="451">
        <v>0</v>
      </c>
      <c r="N598" s="451">
        <v>0</v>
      </c>
      <c r="O598" s="451">
        <v>0</v>
      </c>
      <c r="P598" s="450">
        <v>0.23499999999999999</v>
      </c>
    </row>
    <row r="599" spans="3:19" x14ac:dyDescent="0.25">
      <c r="C599" s="86"/>
      <c r="F599" s="99" t="s">
        <v>937</v>
      </c>
      <c r="G599" s="196"/>
      <c r="H599" s="196" t="s">
        <v>146</v>
      </c>
      <c r="I599" s="196"/>
      <c r="J599" s="452">
        <v>0</v>
      </c>
      <c r="K599" s="452">
        <v>0</v>
      </c>
      <c r="L599" s="452">
        <v>0</v>
      </c>
      <c r="M599" s="453">
        <v>0</v>
      </c>
      <c r="N599" s="453">
        <v>0</v>
      </c>
      <c r="O599" s="453">
        <v>0</v>
      </c>
      <c r="P599" s="452">
        <v>0</v>
      </c>
    </row>
    <row r="600" spans="3:19" x14ac:dyDescent="0.25">
      <c r="C600" s="86"/>
      <c r="F600" s="99" t="s">
        <v>938</v>
      </c>
      <c r="G600" s="196"/>
      <c r="H600" s="196" t="s">
        <v>146</v>
      </c>
      <c r="I600" s="196"/>
      <c r="J600" s="452">
        <v>0</v>
      </c>
      <c r="K600" s="452">
        <v>0</v>
      </c>
      <c r="L600" s="452">
        <v>0</v>
      </c>
      <c r="M600" s="453">
        <v>0</v>
      </c>
      <c r="N600" s="453">
        <v>0</v>
      </c>
      <c r="O600" s="453">
        <v>0</v>
      </c>
      <c r="P600" s="452">
        <v>0</v>
      </c>
    </row>
    <row r="601" spans="3:19" x14ac:dyDescent="0.25">
      <c r="C601" s="86"/>
      <c r="F601" s="99" t="s">
        <v>939</v>
      </c>
      <c r="G601" s="196"/>
      <c r="H601" s="196" t="s">
        <v>146</v>
      </c>
      <c r="I601" s="196"/>
      <c r="J601" s="452">
        <v>0</v>
      </c>
      <c r="K601" s="452">
        <v>0</v>
      </c>
      <c r="L601" s="452">
        <v>0</v>
      </c>
      <c r="M601" s="453">
        <v>0</v>
      </c>
      <c r="N601" s="453">
        <v>0</v>
      </c>
      <c r="O601" s="453">
        <v>0</v>
      </c>
      <c r="P601" s="452">
        <v>0</v>
      </c>
    </row>
    <row r="602" spans="3:19" x14ac:dyDescent="0.25">
      <c r="C602" s="86"/>
      <c r="F602" s="99" t="s">
        <v>940</v>
      </c>
      <c r="G602" s="196"/>
      <c r="H602" s="196" t="s">
        <v>146</v>
      </c>
      <c r="I602" s="196"/>
      <c r="J602" s="452">
        <v>0</v>
      </c>
      <c r="K602" s="452">
        <v>0</v>
      </c>
      <c r="L602" s="452">
        <v>0</v>
      </c>
      <c r="M602" s="453">
        <v>0</v>
      </c>
      <c r="N602" s="453">
        <v>0</v>
      </c>
      <c r="O602" s="453">
        <v>0</v>
      </c>
      <c r="P602" s="452">
        <v>0</v>
      </c>
    </row>
    <row r="603" spans="3:19" x14ac:dyDescent="0.25">
      <c r="C603" s="86"/>
      <c r="F603" s="100" t="s">
        <v>941</v>
      </c>
      <c r="G603" s="93"/>
      <c r="H603" s="93" t="s">
        <v>146</v>
      </c>
      <c r="I603" s="93"/>
      <c r="J603" s="438">
        <v>0</v>
      </c>
      <c r="K603" s="438">
        <v>0</v>
      </c>
      <c r="L603" s="438">
        <v>0</v>
      </c>
      <c r="M603" s="344">
        <v>0</v>
      </c>
      <c r="N603" s="344">
        <v>0</v>
      </c>
      <c r="O603" s="344">
        <v>0</v>
      </c>
      <c r="P603" s="438">
        <v>0</v>
      </c>
    </row>
    <row r="604" spans="3:19" x14ac:dyDescent="0.25">
      <c r="C604" s="96"/>
      <c r="D604" s="96"/>
      <c r="E604" s="96"/>
      <c r="F604" s="293"/>
      <c r="G604" s="293"/>
      <c r="H604" s="293"/>
      <c r="I604" s="293"/>
      <c r="J604" s="437"/>
      <c r="K604" s="437"/>
      <c r="L604" s="437"/>
      <c r="M604" s="343"/>
      <c r="N604" s="343"/>
      <c r="O604" s="343"/>
      <c r="P604" s="437"/>
      <c r="Q604" s="96"/>
      <c r="R604" s="96"/>
      <c r="S604" s="96"/>
    </row>
    <row r="605" spans="3:19" x14ac:dyDescent="0.25">
      <c r="C605" s="96"/>
      <c r="D605" s="96"/>
      <c r="E605" s="96" t="str">
        <f>"LDNO HV tariff forecast "&amp; 'ARP_User control'!G35</f>
        <v>LDNO HV tariff forecast 2027/28</v>
      </c>
      <c r="F605" s="293"/>
      <c r="G605" s="293"/>
      <c r="H605" s="293"/>
      <c r="I605" s="293"/>
      <c r="J605" s="437"/>
      <c r="K605" s="437"/>
      <c r="L605" s="437"/>
      <c r="M605" s="343"/>
      <c r="N605" s="343"/>
      <c r="O605" s="343"/>
      <c r="P605" s="437"/>
      <c r="Q605" s="96"/>
      <c r="R605" s="96"/>
      <c r="S605" s="96"/>
    </row>
    <row r="606" spans="3:19" x14ac:dyDescent="0.25">
      <c r="C606" s="86"/>
      <c r="F606" s="103" t="s">
        <v>1002</v>
      </c>
      <c r="G606" s="91"/>
      <c r="H606" s="91" t="s">
        <v>147</v>
      </c>
      <c r="I606" s="91"/>
      <c r="J606" s="435">
        <v>4.056</v>
      </c>
      <c r="K606" s="435">
        <v>0.52900000000000003</v>
      </c>
      <c r="L606" s="435">
        <v>2.5999999999999999E-2</v>
      </c>
      <c r="M606" s="340">
        <v>6.89</v>
      </c>
      <c r="N606" s="340">
        <v>0</v>
      </c>
      <c r="O606" s="340">
        <v>0</v>
      </c>
      <c r="P606" s="435">
        <v>0</v>
      </c>
    </row>
    <row r="607" spans="3:19" x14ac:dyDescent="0.25">
      <c r="C607" s="86"/>
      <c r="F607" s="99" t="s">
        <v>927</v>
      </c>
      <c r="G607" s="196"/>
      <c r="H607" s="196" t="s">
        <v>147</v>
      </c>
      <c r="I607" s="196"/>
      <c r="J607" s="450">
        <v>4.056</v>
      </c>
      <c r="K607" s="450">
        <v>0.52900000000000003</v>
      </c>
      <c r="L607" s="450">
        <v>2.5999999999999999E-2</v>
      </c>
      <c r="M607" s="451">
        <v>0</v>
      </c>
      <c r="N607" s="451">
        <v>0</v>
      </c>
      <c r="O607" s="451">
        <v>0</v>
      </c>
      <c r="P607" s="450">
        <v>0</v>
      </c>
    </row>
    <row r="608" spans="3:19" x14ac:dyDescent="0.25">
      <c r="C608" s="86"/>
      <c r="F608" s="99" t="s">
        <v>1003</v>
      </c>
      <c r="G608" s="196"/>
      <c r="H608" s="196" t="s">
        <v>147</v>
      </c>
      <c r="I608" s="196"/>
      <c r="J608" s="450">
        <v>3.5590000000000002</v>
      </c>
      <c r="K608" s="450">
        <v>0.46400000000000002</v>
      </c>
      <c r="L608" s="450">
        <v>2.3E-2</v>
      </c>
      <c r="M608" s="451">
        <v>3.77</v>
      </c>
      <c r="N608" s="451">
        <v>0</v>
      </c>
      <c r="O608" s="451">
        <v>0</v>
      </c>
      <c r="P608" s="450">
        <v>0</v>
      </c>
    </row>
    <row r="609" spans="3:16" x14ac:dyDescent="0.25">
      <c r="C609" s="86"/>
      <c r="F609" s="99" t="s">
        <v>1004</v>
      </c>
      <c r="G609" s="196"/>
      <c r="H609" s="196" t="s">
        <v>147</v>
      </c>
      <c r="I609" s="196"/>
      <c r="J609" s="450">
        <v>3.5590000000000002</v>
      </c>
      <c r="K609" s="450">
        <v>0.46400000000000002</v>
      </c>
      <c r="L609" s="450">
        <v>2.3E-2</v>
      </c>
      <c r="M609" s="451">
        <v>6.32</v>
      </c>
      <c r="N609" s="451">
        <v>0</v>
      </c>
      <c r="O609" s="451">
        <v>0</v>
      </c>
      <c r="P609" s="450">
        <v>0</v>
      </c>
    </row>
    <row r="610" spans="3:16" x14ac:dyDescent="0.25">
      <c r="C610" s="86"/>
      <c r="F610" s="99" t="s">
        <v>1005</v>
      </c>
      <c r="G610" s="196"/>
      <c r="H610" s="196" t="s">
        <v>147</v>
      </c>
      <c r="I610" s="196"/>
      <c r="J610" s="450">
        <v>3.5590000000000002</v>
      </c>
      <c r="K610" s="450">
        <v>0.46400000000000002</v>
      </c>
      <c r="L610" s="450">
        <v>2.3E-2</v>
      </c>
      <c r="M610" s="451">
        <v>12.16</v>
      </c>
      <c r="N610" s="451">
        <v>0</v>
      </c>
      <c r="O610" s="451">
        <v>0</v>
      </c>
      <c r="P610" s="450">
        <v>0</v>
      </c>
    </row>
    <row r="611" spans="3:16" x14ac:dyDescent="0.25">
      <c r="C611" s="86"/>
      <c r="F611" s="99" t="s">
        <v>1006</v>
      </c>
      <c r="G611" s="196"/>
      <c r="H611" s="196" t="s">
        <v>147</v>
      </c>
      <c r="I611" s="196"/>
      <c r="J611" s="450">
        <v>3.5590000000000002</v>
      </c>
      <c r="K611" s="450">
        <v>0.46400000000000002</v>
      </c>
      <c r="L611" s="450">
        <v>2.3E-2</v>
      </c>
      <c r="M611" s="451">
        <v>22.8</v>
      </c>
      <c r="N611" s="451">
        <v>0</v>
      </c>
      <c r="O611" s="451">
        <v>0</v>
      </c>
      <c r="P611" s="450">
        <v>0</v>
      </c>
    </row>
    <row r="612" spans="3:16" x14ac:dyDescent="0.25">
      <c r="C612" s="86"/>
      <c r="F612" s="99" t="s">
        <v>1007</v>
      </c>
      <c r="G612" s="196"/>
      <c r="H612" s="196" t="s">
        <v>147</v>
      </c>
      <c r="I612" s="196"/>
      <c r="J612" s="450">
        <v>3.5590000000000002</v>
      </c>
      <c r="K612" s="450">
        <v>0.46400000000000002</v>
      </c>
      <c r="L612" s="450">
        <v>2.3E-2</v>
      </c>
      <c r="M612" s="451">
        <v>55.55</v>
      </c>
      <c r="N612" s="451">
        <v>0</v>
      </c>
      <c r="O612" s="451">
        <v>0</v>
      </c>
      <c r="P612" s="450">
        <v>0</v>
      </c>
    </row>
    <row r="613" spans="3:16" s="293" customFormat="1" x14ac:dyDescent="0.25">
      <c r="C613" s="86"/>
      <c r="D613" s="98"/>
      <c r="E613" s="98"/>
      <c r="F613" s="99" t="s">
        <v>929</v>
      </c>
      <c r="G613" s="196"/>
      <c r="H613" s="196" t="s">
        <v>147</v>
      </c>
      <c r="I613" s="196"/>
      <c r="J613" s="450">
        <v>3.5590000000000002</v>
      </c>
      <c r="K613" s="450">
        <v>0.46400000000000002</v>
      </c>
      <c r="L613" s="450">
        <v>2.3E-2</v>
      </c>
      <c r="M613" s="451">
        <v>0</v>
      </c>
      <c r="N613" s="451">
        <v>0</v>
      </c>
      <c r="O613" s="451">
        <v>0</v>
      </c>
      <c r="P613" s="450">
        <v>0</v>
      </c>
    </row>
    <row r="614" spans="3:16" s="293" customFormat="1" x14ac:dyDescent="0.25">
      <c r="C614" s="86"/>
      <c r="D614" s="98"/>
      <c r="E614" s="98"/>
      <c r="F614" s="99" t="s">
        <v>1008</v>
      </c>
      <c r="G614" s="196"/>
      <c r="H614" s="196" t="s">
        <v>147</v>
      </c>
      <c r="I614" s="196"/>
      <c r="J614" s="450">
        <v>3.1269999999999998</v>
      </c>
      <c r="K614" s="450">
        <v>0.35099999999999998</v>
      </c>
      <c r="L614" s="450">
        <v>1.6E-2</v>
      </c>
      <c r="M614" s="451">
        <v>8.43</v>
      </c>
      <c r="N614" s="451">
        <v>1.72</v>
      </c>
      <c r="O614" s="451">
        <v>3.11</v>
      </c>
      <c r="P614" s="450">
        <v>0.105</v>
      </c>
    </row>
    <row r="615" spans="3:16" s="293" customFormat="1" x14ac:dyDescent="0.25">
      <c r="C615" s="86"/>
      <c r="D615" s="98"/>
      <c r="E615" s="98"/>
      <c r="F615" s="99" t="s">
        <v>1009</v>
      </c>
      <c r="G615" s="196"/>
      <c r="H615" s="196" t="s">
        <v>147</v>
      </c>
      <c r="I615" s="196"/>
      <c r="J615" s="450">
        <v>3.1269999999999998</v>
      </c>
      <c r="K615" s="450">
        <v>0.35099999999999998</v>
      </c>
      <c r="L615" s="450">
        <v>1.6E-2</v>
      </c>
      <c r="M615" s="451">
        <v>93.8</v>
      </c>
      <c r="N615" s="451">
        <v>1.72</v>
      </c>
      <c r="O615" s="451">
        <v>3.11</v>
      </c>
      <c r="P615" s="450">
        <v>0.105</v>
      </c>
    </row>
    <row r="616" spans="3:16" x14ac:dyDescent="0.25">
      <c r="C616" s="86"/>
      <c r="F616" s="99" t="s">
        <v>1010</v>
      </c>
      <c r="G616" s="196"/>
      <c r="H616" s="196" t="s">
        <v>147</v>
      </c>
      <c r="I616" s="196"/>
      <c r="J616" s="450">
        <v>3.1269999999999998</v>
      </c>
      <c r="K616" s="450">
        <v>0.35099999999999998</v>
      </c>
      <c r="L616" s="450">
        <v>1.6E-2</v>
      </c>
      <c r="M616" s="451">
        <v>167.63</v>
      </c>
      <c r="N616" s="451">
        <v>1.72</v>
      </c>
      <c r="O616" s="451">
        <v>3.11</v>
      </c>
      <c r="P616" s="450">
        <v>0.105</v>
      </c>
    </row>
    <row r="617" spans="3:16" x14ac:dyDescent="0.25">
      <c r="C617" s="86"/>
      <c r="F617" s="99" t="s">
        <v>1011</v>
      </c>
      <c r="G617" s="196"/>
      <c r="H617" s="196" t="s">
        <v>147</v>
      </c>
      <c r="I617" s="196"/>
      <c r="J617" s="450">
        <v>3.1269999999999998</v>
      </c>
      <c r="K617" s="450">
        <v>0.35099999999999998</v>
      </c>
      <c r="L617" s="450">
        <v>1.6E-2</v>
      </c>
      <c r="M617" s="451">
        <v>255.13</v>
      </c>
      <c r="N617" s="451">
        <v>1.72</v>
      </c>
      <c r="O617" s="451">
        <v>3.11</v>
      </c>
      <c r="P617" s="450">
        <v>0.105</v>
      </c>
    </row>
    <row r="618" spans="3:16" x14ac:dyDescent="0.25">
      <c r="C618" s="86"/>
      <c r="F618" s="99" t="s">
        <v>1012</v>
      </c>
      <c r="G618" s="196"/>
      <c r="H618" s="196" t="s">
        <v>147</v>
      </c>
      <c r="I618" s="196"/>
      <c r="J618" s="450">
        <v>3.1269999999999998</v>
      </c>
      <c r="K618" s="450">
        <v>0.35099999999999998</v>
      </c>
      <c r="L618" s="450">
        <v>1.6E-2</v>
      </c>
      <c r="M618" s="451">
        <v>648.47</v>
      </c>
      <c r="N618" s="451">
        <v>1.72</v>
      </c>
      <c r="O618" s="451">
        <v>3.11</v>
      </c>
      <c r="P618" s="450">
        <v>0.105</v>
      </c>
    </row>
    <row r="619" spans="3:16" x14ac:dyDescent="0.25">
      <c r="C619" s="86"/>
      <c r="F619" s="99" t="s">
        <v>1013</v>
      </c>
      <c r="G619" s="196"/>
      <c r="H619" s="196" t="s">
        <v>147</v>
      </c>
      <c r="I619" s="196"/>
      <c r="J619" s="450">
        <v>2.7679999999999998</v>
      </c>
      <c r="K619" s="450">
        <v>0.21199999999999999</v>
      </c>
      <c r="L619" s="450">
        <v>8.9999999999999993E-3</v>
      </c>
      <c r="M619" s="451">
        <v>31.6</v>
      </c>
      <c r="N619" s="451">
        <v>3.76</v>
      </c>
      <c r="O619" s="451">
        <v>4.87</v>
      </c>
      <c r="P619" s="450">
        <v>9.4E-2</v>
      </c>
    </row>
    <row r="620" spans="3:16" s="293" customFormat="1" x14ac:dyDescent="0.25">
      <c r="C620" s="86"/>
      <c r="D620" s="98"/>
      <c r="E620" s="98"/>
      <c r="F620" s="99" t="s">
        <v>1014</v>
      </c>
      <c r="G620" s="196"/>
      <c r="H620" s="196" t="s">
        <v>147</v>
      </c>
      <c r="I620" s="196"/>
      <c r="J620" s="450">
        <v>2.7679999999999998</v>
      </c>
      <c r="K620" s="450">
        <v>0.21199999999999999</v>
      </c>
      <c r="L620" s="450">
        <v>8.9999999999999993E-3</v>
      </c>
      <c r="M620" s="451">
        <v>167.98</v>
      </c>
      <c r="N620" s="451">
        <v>3.76</v>
      </c>
      <c r="O620" s="451">
        <v>4.87</v>
      </c>
      <c r="P620" s="450">
        <v>9.4E-2</v>
      </c>
    </row>
    <row r="621" spans="3:16" s="293" customFormat="1" x14ac:dyDescent="0.25">
      <c r="C621" s="86"/>
      <c r="D621" s="98"/>
      <c r="E621" s="98"/>
      <c r="F621" s="99" t="s">
        <v>1015</v>
      </c>
      <c r="G621" s="196"/>
      <c r="H621" s="196" t="s">
        <v>147</v>
      </c>
      <c r="I621" s="196"/>
      <c r="J621" s="450">
        <v>2.7679999999999998</v>
      </c>
      <c r="K621" s="450">
        <v>0.21199999999999999</v>
      </c>
      <c r="L621" s="450">
        <v>8.9999999999999993E-3</v>
      </c>
      <c r="M621" s="451">
        <v>285.94</v>
      </c>
      <c r="N621" s="451">
        <v>3.76</v>
      </c>
      <c r="O621" s="451">
        <v>4.87</v>
      </c>
      <c r="P621" s="450">
        <v>9.4E-2</v>
      </c>
    </row>
    <row r="622" spans="3:16" s="293" customFormat="1" x14ac:dyDescent="0.25">
      <c r="C622" s="86"/>
      <c r="D622" s="98"/>
      <c r="E622" s="98"/>
      <c r="F622" s="99" t="s">
        <v>1016</v>
      </c>
      <c r="G622" s="196"/>
      <c r="H622" s="196" t="s">
        <v>147</v>
      </c>
      <c r="I622" s="196"/>
      <c r="J622" s="450">
        <v>2.7679999999999998</v>
      </c>
      <c r="K622" s="450">
        <v>0.21199999999999999</v>
      </c>
      <c r="L622" s="450">
        <v>8.9999999999999993E-3</v>
      </c>
      <c r="M622" s="451">
        <v>425.73</v>
      </c>
      <c r="N622" s="451">
        <v>3.76</v>
      </c>
      <c r="O622" s="451">
        <v>4.87</v>
      </c>
      <c r="P622" s="450">
        <v>9.4E-2</v>
      </c>
    </row>
    <row r="623" spans="3:16" s="293" customFormat="1" x14ac:dyDescent="0.25">
      <c r="C623" s="86"/>
      <c r="D623" s="98"/>
      <c r="E623" s="98"/>
      <c r="F623" s="99" t="s">
        <v>1017</v>
      </c>
      <c r="G623" s="196"/>
      <c r="H623" s="196" t="s">
        <v>147</v>
      </c>
      <c r="I623" s="196"/>
      <c r="J623" s="450">
        <v>2.7679999999999998</v>
      </c>
      <c r="K623" s="450">
        <v>0.21199999999999999</v>
      </c>
      <c r="L623" s="450">
        <v>8.9999999999999993E-3</v>
      </c>
      <c r="M623" s="451">
        <v>1054.1400000000001</v>
      </c>
      <c r="N623" s="451">
        <v>3.76</v>
      </c>
      <c r="O623" s="451">
        <v>4.87</v>
      </c>
      <c r="P623" s="450">
        <v>9.4E-2</v>
      </c>
    </row>
    <row r="624" spans="3:16" s="293" customFormat="1" x14ac:dyDescent="0.25">
      <c r="C624" s="86"/>
      <c r="D624" s="98"/>
      <c r="E624" s="98"/>
      <c r="F624" s="99" t="s">
        <v>1018</v>
      </c>
      <c r="G624" s="196"/>
      <c r="H624" s="196" t="s">
        <v>147</v>
      </c>
      <c r="I624" s="196"/>
      <c r="J624" s="450">
        <v>2.7559999999999998</v>
      </c>
      <c r="K624" s="450">
        <v>0.188</v>
      </c>
      <c r="L624" s="450">
        <v>8.0000000000000002E-3</v>
      </c>
      <c r="M624" s="451">
        <v>157.25</v>
      </c>
      <c r="N624" s="451">
        <v>5.13</v>
      </c>
      <c r="O624" s="451">
        <v>6.17</v>
      </c>
      <c r="P624" s="450">
        <v>8.1000000000000003E-2</v>
      </c>
    </row>
    <row r="625" spans="2:19" s="293" customFormat="1" x14ac:dyDescent="0.25">
      <c r="C625" s="86"/>
      <c r="D625" s="98"/>
      <c r="E625" s="98"/>
      <c r="F625" s="99" t="s">
        <v>1019</v>
      </c>
      <c r="G625" s="196"/>
      <c r="H625" s="196" t="s">
        <v>147</v>
      </c>
      <c r="I625" s="196"/>
      <c r="J625" s="450">
        <v>2.7559999999999998</v>
      </c>
      <c r="K625" s="450">
        <v>0.188</v>
      </c>
      <c r="L625" s="450">
        <v>8.0000000000000002E-3</v>
      </c>
      <c r="M625" s="451">
        <v>1320.96</v>
      </c>
      <c r="N625" s="451">
        <v>5.13</v>
      </c>
      <c r="O625" s="451">
        <v>6.17</v>
      </c>
      <c r="P625" s="450">
        <v>8.1000000000000003E-2</v>
      </c>
    </row>
    <row r="626" spans="2:19" s="293" customFormat="1" x14ac:dyDescent="0.25">
      <c r="C626" s="86"/>
      <c r="D626" s="98"/>
      <c r="E626" s="98"/>
      <c r="F626" s="99" t="s">
        <v>1020</v>
      </c>
      <c r="G626" s="196"/>
      <c r="H626" s="196" t="s">
        <v>147</v>
      </c>
      <c r="I626" s="196"/>
      <c r="J626" s="450">
        <v>2.7559999999999998</v>
      </c>
      <c r="K626" s="450">
        <v>0.188</v>
      </c>
      <c r="L626" s="450">
        <v>8.0000000000000002E-3</v>
      </c>
      <c r="M626" s="451">
        <v>3552.51</v>
      </c>
      <c r="N626" s="451">
        <v>5.13</v>
      </c>
      <c r="O626" s="451">
        <v>6.17</v>
      </c>
      <c r="P626" s="450">
        <v>8.1000000000000003E-2</v>
      </c>
    </row>
    <row r="627" spans="2:19" s="293" customFormat="1" x14ac:dyDescent="0.25">
      <c r="C627" s="86"/>
      <c r="D627" s="98"/>
      <c r="E627" s="98"/>
      <c r="F627" s="99" t="s">
        <v>1021</v>
      </c>
      <c r="G627" s="196"/>
      <c r="H627" s="196" t="s">
        <v>147</v>
      </c>
      <c r="I627" s="196"/>
      <c r="J627" s="450">
        <v>2.7559999999999998</v>
      </c>
      <c r="K627" s="450">
        <v>0.188</v>
      </c>
      <c r="L627" s="450">
        <v>8.0000000000000002E-3</v>
      </c>
      <c r="M627" s="451">
        <v>6389.15</v>
      </c>
      <c r="N627" s="451">
        <v>5.13</v>
      </c>
      <c r="O627" s="451">
        <v>6.17</v>
      </c>
      <c r="P627" s="450">
        <v>8.1000000000000003E-2</v>
      </c>
    </row>
    <row r="628" spans="2:19" s="293" customFormat="1" x14ac:dyDescent="0.25">
      <c r="C628" s="86"/>
      <c r="D628" s="98"/>
      <c r="E628" s="98"/>
      <c r="F628" s="99" t="s">
        <v>1022</v>
      </c>
      <c r="G628" s="196"/>
      <c r="H628" s="196" t="s">
        <v>147</v>
      </c>
      <c r="I628" s="196"/>
      <c r="J628" s="450">
        <v>2.7559999999999998</v>
      </c>
      <c r="K628" s="450">
        <v>0.188</v>
      </c>
      <c r="L628" s="450">
        <v>8.0000000000000002E-3</v>
      </c>
      <c r="M628" s="451">
        <v>16529.23</v>
      </c>
      <c r="N628" s="451">
        <v>5.13</v>
      </c>
      <c r="O628" s="451">
        <v>6.17</v>
      </c>
      <c r="P628" s="450">
        <v>8.1000000000000003E-2</v>
      </c>
    </row>
    <row r="629" spans="2:19" s="293" customFormat="1" x14ac:dyDescent="0.25">
      <c r="C629" s="86"/>
      <c r="D629" s="98"/>
      <c r="E629" s="98"/>
      <c r="F629" s="99" t="s">
        <v>933</v>
      </c>
      <c r="G629" s="196"/>
      <c r="H629" s="196" t="s">
        <v>147</v>
      </c>
      <c r="I629" s="196"/>
      <c r="J629" s="450">
        <v>9.8070000000000004</v>
      </c>
      <c r="K629" s="450">
        <v>1.9750000000000001</v>
      </c>
      <c r="L629" s="450">
        <v>1.5629999999999999</v>
      </c>
      <c r="M629" s="451">
        <v>0</v>
      </c>
      <c r="N629" s="451">
        <v>0</v>
      </c>
      <c r="O629" s="451">
        <v>0</v>
      </c>
      <c r="P629" s="450">
        <v>0</v>
      </c>
    </row>
    <row r="630" spans="2:19" s="293" customFormat="1" x14ac:dyDescent="0.25">
      <c r="C630" s="86"/>
      <c r="D630" s="98"/>
      <c r="E630" s="98"/>
      <c r="F630" s="99" t="s">
        <v>934</v>
      </c>
      <c r="G630" s="196"/>
      <c r="H630" s="196" t="s">
        <v>147</v>
      </c>
      <c r="I630" s="196"/>
      <c r="J630" s="450">
        <v>-5.9580000000000002</v>
      </c>
      <c r="K630" s="450">
        <v>-0.77800000000000002</v>
      </c>
      <c r="L630" s="450">
        <v>-3.7999999999999999E-2</v>
      </c>
      <c r="M630" s="451">
        <v>0</v>
      </c>
      <c r="N630" s="451">
        <v>0</v>
      </c>
      <c r="O630" s="451">
        <v>0</v>
      </c>
      <c r="P630" s="450">
        <v>0</v>
      </c>
    </row>
    <row r="631" spans="2:19" s="293" customFormat="1" x14ac:dyDescent="0.25">
      <c r="C631" s="86"/>
      <c r="D631" s="98"/>
      <c r="E631" s="98"/>
      <c r="F631" s="99" t="s">
        <v>935</v>
      </c>
      <c r="G631" s="196"/>
      <c r="H631" s="196" t="s">
        <v>147</v>
      </c>
      <c r="I631" s="196"/>
      <c r="J631" s="450">
        <v>-5.3220000000000001</v>
      </c>
      <c r="K631" s="450">
        <v>-0.63600000000000001</v>
      </c>
      <c r="L631" s="450">
        <v>-0.03</v>
      </c>
      <c r="M631" s="451">
        <v>0</v>
      </c>
      <c r="N631" s="451">
        <v>0</v>
      </c>
      <c r="O631" s="451">
        <v>0</v>
      </c>
      <c r="P631" s="450">
        <v>0</v>
      </c>
    </row>
    <row r="632" spans="2:19" s="293" customFormat="1" x14ac:dyDescent="0.25">
      <c r="C632" s="86"/>
      <c r="D632" s="98"/>
      <c r="E632" s="98"/>
      <c r="F632" s="99" t="s">
        <v>936</v>
      </c>
      <c r="G632" s="196"/>
      <c r="H632" s="196" t="s">
        <v>147</v>
      </c>
      <c r="I632" s="196"/>
      <c r="J632" s="450">
        <v>-5.9580000000000002</v>
      </c>
      <c r="K632" s="450">
        <v>-0.77800000000000002</v>
      </c>
      <c r="L632" s="450">
        <v>-3.7999999999999999E-2</v>
      </c>
      <c r="M632" s="451">
        <v>0</v>
      </c>
      <c r="N632" s="451">
        <v>0</v>
      </c>
      <c r="O632" s="451">
        <v>0</v>
      </c>
      <c r="P632" s="450">
        <v>0.23499999999999999</v>
      </c>
    </row>
    <row r="633" spans="2:19" x14ac:dyDescent="0.25">
      <c r="C633" s="86"/>
      <c r="F633" s="99" t="s">
        <v>937</v>
      </c>
      <c r="G633" s="196"/>
      <c r="H633" s="196" t="s">
        <v>147</v>
      </c>
      <c r="I633" s="196"/>
      <c r="J633" s="452">
        <v>0</v>
      </c>
      <c r="K633" s="452">
        <v>0</v>
      </c>
      <c r="L633" s="452">
        <v>0</v>
      </c>
      <c r="M633" s="453">
        <v>0</v>
      </c>
      <c r="N633" s="453">
        <v>0</v>
      </c>
      <c r="O633" s="453">
        <v>0</v>
      </c>
      <c r="P633" s="452">
        <v>0</v>
      </c>
    </row>
    <row r="634" spans="2:19" x14ac:dyDescent="0.25">
      <c r="C634" s="86"/>
      <c r="F634" s="99" t="s">
        <v>938</v>
      </c>
      <c r="G634" s="196"/>
      <c r="H634" s="196" t="s">
        <v>147</v>
      </c>
      <c r="I634" s="196"/>
      <c r="J634" s="450">
        <v>-5.3220000000000001</v>
      </c>
      <c r="K634" s="450">
        <v>-0.63600000000000001</v>
      </c>
      <c r="L634" s="450">
        <v>-0.03</v>
      </c>
      <c r="M634" s="451">
        <v>0</v>
      </c>
      <c r="N634" s="451">
        <v>0</v>
      </c>
      <c r="O634" s="451">
        <v>0</v>
      </c>
      <c r="P634" s="450">
        <v>0.19600000000000001</v>
      </c>
    </row>
    <row r="635" spans="2:19" x14ac:dyDescent="0.25">
      <c r="C635" s="86"/>
      <c r="F635" s="99" t="s">
        <v>939</v>
      </c>
      <c r="G635" s="196"/>
      <c r="H635" s="196" t="s">
        <v>147</v>
      </c>
      <c r="I635" s="196"/>
      <c r="J635" s="452">
        <v>0</v>
      </c>
      <c r="K635" s="452">
        <v>0</v>
      </c>
      <c r="L635" s="452">
        <v>0</v>
      </c>
      <c r="M635" s="453">
        <v>0</v>
      </c>
      <c r="N635" s="453">
        <v>0</v>
      </c>
      <c r="O635" s="453">
        <v>0</v>
      </c>
      <c r="P635" s="452">
        <v>0</v>
      </c>
    </row>
    <row r="636" spans="2:19" x14ac:dyDescent="0.25">
      <c r="C636" s="86"/>
      <c r="F636" s="99" t="s">
        <v>940</v>
      </c>
      <c r="G636" s="196"/>
      <c r="H636" s="196" t="s">
        <v>147</v>
      </c>
      <c r="I636" s="196"/>
      <c r="J636" s="450">
        <v>-4.1100000000000003</v>
      </c>
      <c r="K636" s="450">
        <v>-0.314</v>
      </c>
      <c r="L636" s="450">
        <v>-1.2999999999999999E-2</v>
      </c>
      <c r="M636" s="451">
        <v>0</v>
      </c>
      <c r="N636" s="451">
        <v>0</v>
      </c>
      <c r="O636" s="451">
        <v>0</v>
      </c>
      <c r="P636" s="450">
        <v>0.17100000000000001</v>
      </c>
    </row>
    <row r="637" spans="2:19" x14ac:dyDescent="0.25">
      <c r="C637" s="86"/>
      <c r="F637" s="100" t="s">
        <v>941</v>
      </c>
      <c r="G637" s="93"/>
      <c r="H637" s="93" t="s">
        <v>147</v>
      </c>
      <c r="I637" s="93"/>
      <c r="J637" s="438">
        <v>0</v>
      </c>
      <c r="K637" s="438">
        <v>0</v>
      </c>
      <c r="L637" s="438">
        <v>0</v>
      </c>
      <c r="M637" s="344">
        <v>0</v>
      </c>
      <c r="N637" s="344">
        <v>0</v>
      </c>
      <c r="O637" s="344">
        <v>0</v>
      </c>
      <c r="P637" s="438">
        <v>0</v>
      </c>
    </row>
    <row r="638" spans="2:19" x14ac:dyDescent="0.25">
      <c r="C638" s="96"/>
      <c r="D638" s="96"/>
      <c r="E638" s="96"/>
      <c r="F638" s="96"/>
      <c r="G638" s="96"/>
      <c r="H638" s="96"/>
      <c r="I638" s="96"/>
      <c r="J638" s="96"/>
      <c r="K638" s="96"/>
      <c r="L638" s="96"/>
      <c r="M638" s="215"/>
      <c r="N638" s="215"/>
      <c r="O638" s="215"/>
      <c r="P638" s="96"/>
      <c r="Q638" s="96"/>
      <c r="R638" s="96"/>
      <c r="S638" s="96"/>
    </row>
    <row r="639" spans="2:19" x14ac:dyDescent="0.25">
      <c r="B639" s="95" t="s">
        <v>109</v>
      </c>
      <c r="C639" s="95"/>
      <c r="D639" s="95"/>
      <c r="E639" s="95"/>
      <c r="F639" s="95"/>
      <c r="G639" s="95"/>
      <c r="H639" s="95"/>
      <c r="I639" s="95"/>
      <c r="J639" s="95"/>
      <c r="K639" s="95"/>
      <c r="L639" s="71"/>
      <c r="M639" s="216"/>
      <c r="N639" s="216"/>
      <c r="O639" s="216"/>
      <c r="P639" s="71"/>
      <c r="Q639" s="71"/>
      <c r="R639" s="71"/>
    </row>
    <row r="640" spans="2:19" x14ac:dyDescent="0.25">
      <c r="M640" s="214"/>
      <c r="N640" s="214"/>
      <c r="O640" s="214"/>
    </row>
    <row r="641" spans="2:18" x14ac:dyDescent="0.25">
      <c r="D641" s="85"/>
      <c r="E641" s="85" t="s">
        <v>415</v>
      </c>
      <c r="G641" s="60" t="s">
        <v>588</v>
      </c>
      <c r="H641" s="310">
        <f t="array" ref="H641">SUM(IF(ISERROR(J18:P117), 1))</f>
        <v>0</v>
      </c>
      <c r="M641" s="214"/>
      <c r="N641" s="214"/>
      <c r="O641" s="214"/>
    </row>
    <row r="642" spans="2:18" x14ac:dyDescent="0.25">
      <c r="M642" s="214"/>
      <c r="N642" s="214"/>
      <c r="O642" s="214"/>
    </row>
    <row r="643" spans="2:18" x14ac:dyDescent="0.25">
      <c r="B643" s="95" t="s">
        <v>110</v>
      </c>
      <c r="C643" s="95"/>
      <c r="D643" s="95"/>
      <c r="E643" s="95"/>
      <c r="F643" s="95"/>
      <c r="G643" s="95"/>
      <c r="H643" s="95"/>
      <c r="I643" s="95"/>
      <c r="J643" s="95"/>
      <c r="K643" s="95"/>
      <c r="L643" s="71"/>
      <c r="M643" s="216"/>
      <c r="N643" s="216"/>
      <c r="O643" s="216"/>
      <c r="P643" s="71"/>
      <c r="Q643" s="71"/>
      <c r="R643" s="71"/>
    </row>
  </sheetData>
  <sheetProtection sheet="1" objects="1" formatCells="0" formatColumns="0" formatRows="0" sort="0" autoFilter="0"/>
  <conditionalFormatting sqref="A4:XFD4">
    <cfRule type="expression" dxfId="3" priority="2">
      <formula>LEFT($A$4,1) &lt;&gt; "0"</formula>
    </cfRule>
  </conditionalFormatting>
  <conditionalFormatting sqref="H641">
    <cfRule type="cellIs" dxfId="2" priority="1" operator="greaterThan">
      <formula>0</formula>
    </cfRule>
  </conditionalFormatting>
  <hyperlinks>
    <hyperlink ref="B5:F5" location="'Model map'!A1" display="Click here to return to model map" xr:uid="{00000000-0004-0000-2200-000000000000}"/>
  </hyperlinks>
  <pageMargins left="0.7" right="0.7" top="0.75" bottom="0.75" header="0.3" footer="0.3"/>
  <pageSetup paperSize="9" scale="32" fitToHeight="0" orientation="portrait" r:id="rId1"/>
  <headerFooter>
    <oddHeader>&amp;L&amp;A&amp;C&amp;R&amp;P of &amp;N</oddHeader>
    <oddFooter>&amp;F</oddFoot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42">
    <tabColor theme="9" tint="0.39997558519241921"/>
    <pageSetUpPr fitToPage="1"/>
  </sheetPr>
  <dimension ref="A1:JX123"/>
  <sheetViews>
    <sheetView showGridLines="0" zoomScale="80" zoomScaleNormal="80" workbookViewId="0">
      <pane xSplit="9" ySplit="5" topLeftCell="J12" activePane="bottomRight" state="frozen"/>
      <selection pane="topRight"/>
      <selection pane="bottomLeft"/>
      <selection pane="bottomRight"/>
    </sheetView>
  </sheetViews>
  <sheetFormatPr defaultColWidth="0" defaultRowHeight="15" x14ac:dyDescent="0.25"/>
  <cols>
    <col min="1" max="3" width="2.5703125" style="85" customWidth="1"/>
    <col min="4" max="5" width="2.5703125" style="98" customWidth="1"/>
    <col min="6" max="6" width="59.5703125" style="85" customWidth="1"/>
    <col min="7" max="8" width="20.5703125" style="85" customWidth="1"/>
    <col min="9" max="9" width="2.42578125" style="85" customWidth="1"/>
    <col min="10" max="10" width="17" style="85" customWidth="1"/>
    <col min="11" max="11" width="2.42578125" style="85" customWidth="1"/>
    <col min="12" max="16" width="17" style="85" customWidth="1"/>
    <col min="17" max="17" width="2.42578125" style="85" customWidth="1"/>
    <col min="18" max="18" width="50.5703125" style="85" customWidth="1"/>
    <col min="19" max="19" width="2.42578125" style="85" customWidth="1"/>
    <col min="20" max="27" width="0" style="85" hidden="1" customWidth="1"/>
    <col min="28" max="28" width="24.5703125" style="85" hidden="1" customWidth="1"/>
    <col min="29" max="29" width="3.5703125" style="85" hidden="1" customWidth="1"/>
    <col min="30" max="30" width="15.42578125" style="85" hidden="1" customWidth="1"/>
    <col min="31" max="284" width="24.5703125" style="85" hidden="1" customWidth="1"/>
    <col min="285" max="16384" width="8.5703125" style="85" hidden="1"/>
  </cols>
  <sheetData>
    <row r="1" spans="1:97" s="10" customFormat="1" x14ac:dyDescent="0.25">
      <c r="A1" s="10" t="str">
        <f ca="1">MID(CELL("filename",A1),FIND("]",CELL("filename",A1))+1,255)</f>
        <v>Typical bills</v>
      </c>
    </row>
    <row r="2" spans="1:97" s="10" customFormat="1" x14ac:dyDescent="0.25">
      <c r="A2" s="10" t="str">
        <f>Cover!D21&amp;" - "&amp;Cover!D23</f>
        <v>Southern Electric Power Distribution plc - Final</v>
      </c>
    </row>
    <row r="3" spans="1:97" s="46" customFormat="1" x14ac:dyDescent="0.25">
      <c r="A3" s="46" t="str">
        <f>Cover!D2&amp;" - "&amp;Cover!D8&amp;" v"&amp;Cover!D10&amp;" - "&amp;Cover!D19</f>
        <v>ARP model - Release for charge setting v7 - 2023/24</v>
      </c>
    </row>
    <row r="4" spans="1:97" s="195" customFormat="1" x14ac:dyDescent="0.25">
      <c r="A4" s="228" t="str">
        <f>H121 &amp; IF(H121 = 1, " issue", " issues") &amp;" identified in checks on this sheet"</f>
        <v>0 issues identified in checks on this sheet</v>
      </c>
      <c r="B4" s="229"/>
      <c r="C4" s="229"/>
      <c r="D4" s="229"/>
      <c r="E4" s="229"/>
      <c r="F4" s="229"/>
      <c r="G4" s="229"/>
      <c r="H4" s="230"/>
      <c r="I4" s="230"/>
      <c r="J4" s="229"/>
      <c r="K4" s="221"/>
      <c r="L4" s="221"/>
      <c r="M4" s="221"/>
      <c r="N4" s="221"/>
      <c r="O4" s="221"/>
      <c r="P4" s="221"/>
      <c r="Q4" s="221"/>
      <c r="R4" s="221"/>
      <c r="S4" s="221"/>
      <c r="T4" s="221"/>
      <c r="U4" s="221"/>
      <c r="V4" s="221"/>
      <c r="W4" s="221"/>
      <c r="X4" s="221"/>
      <c r="Y4" s="221"/>
      <c r="Z4" s="221"/>
      <c r="AA4" s="221"/>
      <c r="AB4" s="221"/>
      <c r="AC4" s="221"/>
      <c r="AD4" s="221"/>
      <c r="AE4" s="221"/>
      <c r="AF4" s="221"/>
      <c r="AG4" s="221"/>
      <c r="AH4" s="221"/>
      <c r="AI4" s="221"/>
      <c r="AJ4" s="221"/>
      <c r="AK4" s="221"/>
      <c r="AL4" s="221"/>
      <c r="AM4" s="221"/>
      <c r="AN4" s="221"/>
      <c r="AO4" s="221"/>
      <c r="AP4" s="221"/>
      <c r="AQ4" s="221"/>
      <c r="AR4" s="221"/>
      <c r="AS4" s="221"/>
      <c r="AT4" s="221"/>
      <c r="AU4" s="221"/>
      <c r="AV4" s="221"/>
      <c r="AW4" s="221"/>
      <c r="AX4" s="221"/>
      <c r="AY4" s="221"/>
      <c r="AZ4" s="221"/>
      <c r="BA4" s="221"/>
      <c r="BB4" s="221"/>
      <c r="BC4" s="221"/>
      <c r="BD4" s="221"/>
      <c r="BE4" s="221"/>
      <c r="BF4" s="221"/>
      <c r="BG4" s="221"/>
      <c r="BH4" s="221"/>
      <c r="BI4" s="221"/>
      <c r="BJ4" s="221"/>
      <c r="BK4" s="221"/>
      <c r="BL4" s="221"/>
      <c r="BM4" s="221"/>
      <c r="BN4" s="221"/>
      <c r="BO4" s="221"/>
      <c r="BP4" s="221"/>
      <c r="BQ4" s="221"/>
      <c r="BR4" s="221"/>
      <c r="BS4" s="221"/>
      <c r="BT4" s="221"/>
      <c r="BU4" s="221"/>
      <c r="BV4" s="221"/>
      <c r="BW4" s="221"/>
      <c r="BX4" s="221"/>
      <c r="BY4" s="221"/>
      <c r="BZ4" s="221"/>
      <c r="CA4" s="221"/>
      <c r="CB4" s="221"/>
      <c r="CC4" s="221"/>
      <c r="CD4" s="221"/>
      <c r="CE4" s="221"/>
      <c r="CF4" s="221"/>
      <c r="CG4" s="221"/>
      <c r="CH4" s="221"/>
      <c r="CI4" s="221"/>
      <c r="CJ4" s="221"/>
      <c r="CK4" s="221"/>
      <c r="CL4" s="221"/>
      <c r="CM4" s="221"/>
      <c r="CN4" s="221"/>
      <c r="CO4" s="221"/>
      <c r="CP4" s="221"/>
      <c r="CQ4" s="221"/>
      <c r="CR4" s="221"/>
      <c r="CS4" s="221"/>
    </row>
    <row r="5" spans="1:97" ht="30" x14ac:dyDescent="0.25">
      <c r="B5" s="134" t="s">
        <v>451</v>
      </c>
      <c r="C5" s="9"/>
      <c r="D5" s="9"/>
      <c r="E5" s="9"/>
      <c r="F5" s="9"/>
      <c r="G5" s="1" t="s">
        <v>91</v>
      </c>
      <c r="H5" s="1" t="s">
        <v>534</v>
      </c>
      <c r="J5" s="154" t="str">
        <f>"Live results (" &amp; charging_year_selected &amp; ")"</f>
        <v>Live results (2023/24)</v>
      </c>
      <c r="L5" s="154" t="str">
        <f t="array" ref="L5:P5">TRANSPOSE('ARP_User control'!G31:G35)</f>
        <v>2023/24</v>
      </c>
      <c r="M5" s="154" t="str">
        <v>2024/25</v>
      </c>
      <c r="N5" s="154" t="str">
        <v>2025/26</v>
      </c>
      <c r="O5" s="154" t="str">
        <v>2026/27</v>
      </c>
      <c r="P5" s="154" t="str">
        <v>2027/28</v>
      </c>
      <c r="R5" s="1" t="s">
        <v>93</v>
      </c>
    </row>
    <row r="7" spans="1:97" x14ac:dyDescent="0.25">
      <c r="B7" s="95" t="s">
        <v>90</v>
      </c>
      <c r="C7" s="95"/>
      <c r="D7" s="95"/>
      <c r="E7" s="95"/>
      <c r="F7" s="95"/>
      <c r="G7" s="95"/>
      <c r="H7" s="95"/>
      <c r="I7" s="95"/>
      <c r="J7" s="95"/>
      <c r="K7" s="95"/>
      <c r="L7" s="95"/>
      <c r="M7" s="95"/>
      <c r="N7" s="95"/>
      <c r="O7" s="95"/>
      <c r="P7" s="95"/>
      <c r="Q7" s="95"/>
      <c r="R7" s="95"/>
      <c r="S7" s="95"/>
      <c r="T7" s="95"/>
      <c r="U7" s="95"/>
      <c r="V7" s="95"/>
      <c r="W7" s="95"/>
      <c r="X7" s="95"/>
      <c r="Y7" s="95"/>
      <c r="Z7" s="95"/>
      <c r="AA7" s="95"/>
      <c r="AB7" s="95"/>
      <c r="AC7" s="95"/>
      <c r="AD7" s="95"/>
      <c r="AE7" s="95"/>
      <c r="AF7" s="95"/>
      <c r="AG7" s="95"/>
      <c r="AH7" s="95"/>
      <c r="AI7" s="95"/>
      <c r="AJ7" s="95"/>
      <c r="AK7" s="95"/>
      <c r="AL7" s="95"/>
      <c r="AM7" s="95"/>
      <c r="AN7" s="95"/>
      <c r="AO7" s="95"/>
      <c r="AP7" s="95"/>
      <c r="AQ7" s="95"/>
      <c r="AR7" s="95"/>
    </row>
    <row r="9" spans="1:97" x14ac:dyDescent="0.25">
      <c r="C9" s="82" t="s">
        <v>487</v>
      </c>
    </row>
    <row r="10" spans="1:97" x14ac:dyDescent="0.25">
      <c r="C10" s="82" t="s">
        <v>488</v>
      </c>
    </row>
    <row r="11" spans="1:97" s="75" customFormat="1" x14ac:dyDescent="0.25">
      <c r="C11" s="82" t="s">
        <v>508</v>
      </c>
      <c r="D11" s="98"/>
      <c r="E11" s="98"/>
    </row>
    <row r="13" spans="1:97" s="195" customFormat="1" x14ac:dyDescent="0.25">
      <c r="B13" s="95" t="s">
        <v>483</v>
      </c>
      <c r="C13" s="95"/>
      <c r="D13" s="95"/>
      <c r="E13" s="95"/>
      <c r="F13" s="95"/>
      <c r="G13" s="95"/>
      <c r="H13" s="95"/>
      <c r="I13" s="95"/>
      <c r="J13" s="95"/>
      <c r="K13" s="95"/>
      <c r="L13" s="95"/>
      <c r="M13" s="95"/>
      <c r="N13" s="95"/>
      <c r="O13" s="95"/>
      <c r="P13" s="95"/>
      <c r="Q13" s="95"/>
      <c r="R13" s="95"/>
      <c r="S13" s="95"/>
      <c r="T13" s="95"/>
      <c r="U13" s="95"/>
      <c r="V13" s="95"/>
      <c r="W13" s="95"/>
      <c r="X13" s="95"/>
      <c r="Y13" s="95"/>
      <c r="Z13" s="95"/>
      <c r="AA13" s="95"/>
      <c r="AB13" s="95"/>
      <c r="AC13" s="95"/>
      <c r="AD13" s="95"/>
      <c r="AE13" s="95"/>
      <c r="AF13" s="95"/>
      <c r="AG13" s="95"/>
      <c r="AH13" s="95"/>
      <c r="AI13" s="95"/>
      <c r="AJ13" s="95"/>
      <c r="AK13" s="95"/>
      <c r="AL13" s="95"/>
      <c r="AM13" s="95"/>
      <c r="AN13" s="95"/>
      <c r="AO13" s="95"/>
      <c r="AP13" s="95"/>
      <c r="AQ13" s="95"/>
      <c r="AR13" s="95"/>
    </row>
    <row r="14" spans="1:97" s="195" customFormat="1" x14ac:dyDescent="0.25">
      <c r="D14" s="98"/>
      <c r="E14" s="98"/>
    </row>
    <row r="15" spans="1:97" x14ac:dyDescent="0.25">
      <c r="C15" s="7" t="str">
        <f ca="1">INDEX('Version control'!$H$35:$H$61,MATCH($A$1,'Version control'!$F$35:$F$61,0),1)&amp;"-A: Typical bill results"</f>
        <v>Output 502-A: Typical bill results</v>
      </c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</row>
    <row r="16" spans="1:97" x14ac:dyDescent="0.25">
      <c r="D16" s="85"/>
      <c r="E16" s="85"/>
    </row>
    <row r="17" spans="3:18" x14ac:dyDescent="0.25">
      <c r="E17" s="96" t="s">
        <v>484</v>
      </c>
      <c r="F17" s="96"/>
      <c r="I17" s="85" t="s">
        <v>359</v>
      </c>
      <c r="R17" s="85" t="s">
        <v>755</v>
      </c>
    </row>
    <row r="18" spans="3:18" x14ac:dyDescent="0.25">
      <c r="C18" s="98"/>
      <c r="F18" s="103" t="s">
        <v>1002</v>
      </c>
      <c r="G18" s="91" t="s">
        <v>107</v>
      </c>
      <c r="H18" s="91" t="s">
        <v>261</v>
      </c>
      <c r="I18" s="91"/>
      <c r="J18" s="287">
        <f t="array" ref="J18:J49">TRANSPOSE('Net revenue summary'!J140:AO140)</f>
        <v>110.61941862037723</v>
      </c>
      <c r="K18" s="288"/>
      <c r="L18" s="340">
        <v>110.61941862037723</v>
      </c>
      <c r="M18" s="340">
        <v>113.99136054474421</v>
      </c>
      <c r="N18" s="340">
        <v>116.84330527152235</v>
      </c>
      <c r="O18" s="340">
        <v>119.07693416197569</v>
      </c>
      <c r="P18" s="340">
        <v>121.41120438217797</v>
      </c>
    </row>
    <row r="19" spans="3:18" x14ac:dyDescent="0.25">
      <c r="C19" s="98"/>
      <c r="F19" s="99" t="s">
        <v>927</v>
      </c>
      <c r="G19" s="92" t="s">
        <v>107</v>
      </c>
      <c r="H19" s="92" t="s">
        <v>261</v>
      </c>
      <c r="I19" s="92"/>
      <c r="J19" s="454">
        <v>16.8440571855587</v>
      </c>
      <c r="K19" s="289"/>
      <c r="L19" s="341">
        <v>16.8440571855587</v>
      </c>
      <c r="M19" s="341">
        <v>16.129931595884784</v>
      </c>
      <c r="N19" s="341">
        <v>16.044641664804807</v>
      </c>
      <c r="O19" s="341">
        <v>15.918235707600163</v>
      </c>
      <c r="P19" s="341">
        <v>15.762314702278822</v>
      </c>
    </row>
    <row r="20" spans="3:18" x14ac:dyDescent="0.25">
      <c r="C20" s="98"/>
      <c r="F20" s="99" t="s">
        <v>1003</v>
      </c>
      <c r="G20" s="92" t="s">
        <v>107</v>
      </c>
      <c r="H20" s="92" t="s">
        <v>261</v>
      </c>
      <c r="I20" s="92"/>
      <c r="J20" s="454">
        <v>320.83337524133424</v>
      </c>
      <c r="K20" s="289"/>
      <c r="L20" s="341">
        <v>320.83337524133424</v>
      </c>
      <c r="M20" s="341">
        <v>316.91118139585939</v>
      </c>
      <c r="N20" s="341">
        <v>306.26383506875698</v>
      </c>
      <c r="O20" s="341">
        <v>294.39335714879019</v>
      </c>
      <c r="P20" s="341">
        <v>282.27054125704007</v>
      </c>
    </row>
    <row r="21" spans="3:18" x14ac:dyDescent="0.25">
      <c r="C21" s="98"/>
      <c r="F21" s="99" t="s">
        <v>1004</v>
      </c>
      <c r="G21" s="92" t="s">
        <v>107</v>
      </c>
      <c r="H21" s="92" t="s">
        <v>261</v>
      </c>
      <c r="I21" s="92"/>
      <c r="J21" s="454">
        <v>74.759706920699614</v>
      </c>
      <c r="K21" s="289"/>
      <c r="L21" s="341">
        <v>74.759706920699614</v>
      </c>
      <c r="M21" s="341">
        <v>79.262544599587201</v>
      </c>
      <c r="N21" s="341">
        <v>79.466341464858246</v>
      </c>
      <c r="O21" s="341">
        <v>79.032435339077963</v>
      </c>
      <c r="P21" s="341">
        <v>78.550692440826666</v>
      </c>
    </row>
    <row r="22" spans="3:18" x14ac:dyDescent="0.25">
      <c r="C22" s="98"/>
      <c r="F22" s="99" t="s">
        <v>1005</v>
      </c>
      <c r="G22" s="92" t="s">
        <v>107</v>
      </c>
      <c r="H22" s="92" t="s">
        <v>261</v>
      </c>
      <c r="I22" s="92"/>
      <c r="J22" s="454">
        <v>177.34679151664412</v>
      </c>
      <c r="K22" s="289"/>
      <c r="L22" s="341">
        <v>177.34679151664412</v>
      </c>
      <c r="M22" s="341">
        <v>192.71455674587105</v>
      </c>
      <c r="N22" s="341">
        <v>193.27049285118704</v>
      </c>
      <c r="O22" s="341">
        <v>191.84072634552294</v>
      </c>
      <c r="P22" s="341">
        <v>190.21964254690013</v>
      </c>
    </row>
    <row r="23" spans="3:18" x14ac:dyDescent="0.25">
      <c r="C23" s="98"/>
      <c r="F23" s="99" t="s">
        <v>1006</v>
      </c>
      <c r="G23" s="92" t="s">
        <v>107</v>
      </c>
      <c r="H23" s="92" t="s">
        <v>261</v>
      </c>
      <c r="I23" s="92"/>
      <c r="J23" s="454">
        <v>364.16390437130582</v>
      </c>
      <c r="K23" s="289"/>
      <c r="L23" s="341">
        <v>364.16390437130582</v>
      </c>
      <c r="M23" s="341">
        <v>399.29331841450932</v>
      </c>
      <c r="N23" s="341">
        <v>400.43266201360501</v>
      </c>
      <c r="O23" s="341">
        <v>397.27070531778128</v>
      </c>
      <c r="P23" s="341">
        <v>393.58711039091605</v>
      </c>
    </row>
    <row r="24" spans="3:18" x14ac:dyDescent="0.25">
      <c r="C24" s="98"/>
      <c r="F24" s="99" t="s">
        <v>1007</v>
      </c>
      <c r="G24" s="92" t="s">
        <v>107</v>
      </c>
      <c r="H24" s="92" t="s">
        <v>261</v>
      </c>
      <c r="I24" s="92"/>
      <c r="J24" s="454">
        <v>939.43083262968469</v>
      </c>
      <c r="K24" s="289"/>
      <c r="L24" s="341">
        <v>939.43083262968469</v>
      </c>
      <c r="M24" s="341">
        <v>1035.4842459453048</v>
      </c>
      <c r="N24" s="341">
        <v>1038.4454397429561</v>
      </c>
      <c r="O24" s="341">
        <v>1029.8611897453573</v>
      </c>
      <c r="P24" s="341">
        <v>1019.7698080516149</v>
      </c>
    </row>
    <row r="25" spans="3:18" s="293" customFormat="1" x14ac:dyDescent="0.25">
      <c r="C25" s="98"/>
      <c r="D25" s="98"/>
      <c r="E25" s="98"/>
      <c r="F25" s="99" t="s">
        <v>929</v>
      </c>
      <c r="G25" s="196" t="s">
        <v>107</v>
      </c>
      <c r="H25" s="196" t="s">
        <v>261</v>
      </c>
      <c r="I25" s="196"/>
      <c r="J25" s="454">
        <v>27.568319562761168</v>
      </c>
      <c r="K25" s="289"/>
      <c r="L25" s="341">
        <v>27.568319562761168</v>
      </c>
      <c r="M25" s="341">
        <v>28.111534170482813</v>
      </c>
      <c r="N25" s="341">
        <v>28.074690413123896</v>
      </c>
      <c r="O25" s="341">
        <v>27.978590333921389</v>
      </c>
      <c r="P25" s="341">
        <v>27.809961930128704</v>
      </c>
    </row>
    <row r="26" spans="3:18" s="293" customFormat="1" x14ac:dyDescent="0.25">
      <c r="C26" s="98"/>
      <c r="D26" s="98"/>
      <c r="E26" s="98"/>
      <c r="F26" s="99" t="s">
        <v>1008</v>
      </c>
      <c r="G26" s="196" t="s">
        <v>107</v>
      </c>
      <c r="H26" s="196" t="s">
        <v>261</v>
      </c>
      <c r="I26" s="196"/>
      <c r="J26" s="454">
        <v>1513.2473211087749</v>
      </c>
      <c r="K26" s="289"/>
      <c r="L26" s="341">
        <v>1513.2473211087749</v>
      </c>
      <c r="M26" s="341">
        <v>1461.9877480581783</v>
      </c>
      <c r="N26" s="341">
        <v>1431.65931026422</v>
      </c>
      <c r="O26" s="341">
        <v>1408.5685666669876</v>
      </c>
      <c r="P26" s="341">
        <v>1385.6300649766035</v>
      </c>
    </row>
    <row r="27" spans="3:18" s="293" customFormat="1" x14ac:dyDescent="0.25">
      <c r="C27" s="98"/>
      <c r="D27" s="98"/>
      <c r="E27" s="98"/>
      <c r="F27" s="99" t="s">
        <v>1009</v>
      </c>
      <c r="G27" s="196" t="s">
        <v>107</v>
      </c>
      <c r="H27" s="196" t="s">
        <v>261</v>
      </c>
      <c r="I27" s="196"/>
      <c r="J27" s="454">
        <v>2251.9545397870538</v>
      </c>
      <c r="K27" s="289"/>
      <c r="L27" s="341">
        <v>2251.9545397870538</v>
      </c>
      <c r="M27" s="341">
        <v>2333.2738614117338</v>
      </c>
      <c r="N27" s="341">
        <v>2335.9335391883574</v>
      </c>
      <c r="O27" s="341">
        <v>2334.3222477348727</v>
      </c>
      <c r="P27" s="341">
        <v>2331.432398114905</v>
      </c>
    </row>
    <row r="28" spans="3:18" x14ac:dyDescent="0.25">
      <c r="C28" s="98"/>
      <c r="F28" s="99" t="s">
        <v>1010</v>
      </c>
      <c r="G28" s="92" t="s">
        <v>107</v>
      </c>
      <c r="H28" s="92" t="s">
        <v>261</v>
      </c>
      <c r="I28" s="92"/>
      <c r="J28" s="454">
        <v>4094.5397270806416</v>
      </c>
      <c r="K28" s="289"/>
      <c r="L28" s="341">
        <v>4094.5397270806416</v>
      </c>
      <c r="M28" s="341">
        <v>4246.416158859065</v>
      </c>
      <c r="N28" s="341">
        <v>4252.6420372360899</v>
      </c>
      <c r="O28" s="341">
        <v>4250.9661084599611</v>
      </c>
      <c r="P28" s="341">
        <v>4246.9811520615576</v>
      </c>
    </row>
    <row r="29" spans="3:18" x14ac:dyDescent="0.25">
      <c r="C29" s="98"/>
      <c r="F29" s="99" t="s">
        <v>1011</v>
      </c>
      <c r="G29" s="92" t="s">
        <v>107</v>
      </c>
      <c r="H29" s="92" t="s">
        <v>261</v>
      </c>
      <c r="I29" s="92"/>
      <c r="J29" s="454">
        <v>6299.9741787335979</v>
      </c>
      <c r="K29" s="289"/>
      <c r="L29" s="341">
        <v>6299.9741787335979</v>
      </c>
      <c r="M29" s="341">
        <v>6534.6046570990238</v>
      </c>
      <c r="N29" s="341">
        <v>6544.5799263540921</v>
      </c>
      <c r="O29" s="341">
        <v>6542.4271047289185</v>
      </c>
      <c r="P29" s="341">
        <v>6536.770484736624</v>
      </c>
    </row>
    <row r="30" spans="3:18" x14ac:dyDescent="0.25">
      <c r="C30" s="98"/>
      <c r="F30" s="99" t="s">
        <v>1012</v>
      </c>
      <c r="G30" s="92" t="s">
        <v>107</v>
      </c>
      <c r="H30" s="92" t="s">
        <v>261</v>
      </c>
      <c r="I30" s="92"/>
      <c r="J30" s="454">
        <v>15316.352784576897</v>
      </c>
      <c r="K30" s="289"/>
      <c r="L30" s="341">
        <v>15316.352784576897</v>
      </c>
      <c r="M30" s="341">
        <v>15955.060417218063</v>
      </c>
      <c r="N30" s="341">
        <v>16011.485698764827</v>
      </c>
      <c r="O30" s="341">
        <v>16034.870434668683</v>
      </c>
      <c r="P30" s="341">
        <v>16052.074669270914</v>
      </c>
    </row>
    <row r="31" spans="3:18" x14ac:dyDescent="0.25">
      <c r="C31" s="98"/>
      <c r="F31" s="99" t="s">
        <v>1013</v>
      </c>
      <c r="G31" s="92" t="s">
        <v>107</v>
      </c>
      <c r="H31" s="92" t="s">
        <v>261</v>
      </c>
      <c r="I31" s="92"/>
      <c r="J31" s="454">
        <v>0</v>
      </c>
      <c r="K31" s="289"/>
      <c r="L31" s="341">
        <v>0</v>
      </c>
      <c r="M31" s="341">
        <v>0</v>
      </c>
      <c r="N31" s="341">
        <v>0</v>
      </c>
      <c r="O31" s="341">
        <v>0</v>
      </c>
      <c r="P31" s="341">
        <v>0</v>
      </c>
    </row>
    <row r="32" spans="3:18" x14ac:dyDescent="0.25">
      <c r="C32" s="98"/>
      <c r="F32" s="99" t="s">
        <v>1014</v>
      </c>
      <c r="G32" s="92" t="s">
        <v>107</v>
      </c>
      <c r="H32" s="92" t="s">
        <v>261</v>
      </c>
      <c r="I32" s="92"/>
      <c r="J32" s="454">
        <v>3901.021853104131</v>
      </c>
      <c r="K32" s="289"/>
      <c r="L32" s="341">
        <v>3901.021853104131</v>
      </c>
      <c r="M32" s="341">
        <v>4002.5695685119008</v>
      </c>
      <c r="N32" s="341">
        <v>4037.4878792374266</v>
      </c>
      <c r="O32" s="341">
        <v>4058.2825974566213</v>
      </c>
      <c r="P32" s="341">
        <v>4072.7921067238949</v>
      </c>
    </row>
    <row r="33" spans="3:16" x14ac:dyDescent="0.25">
      <c r="C33" s="98"/>
      <c r="F33" s="99" t="s">
        <v>1015</v>
      </c>
      <c r="G33" s="92" t="s">
        <v>107</v>
      </c>
      <c r="H33" s="92" t="s">
        <v>261</v>
      </c>
      <c r="I33" s="92"/>
      <c r="J33" s="454">
        <v>6494.2043904538659</v>
      </c>
      <c r="K33" s="289"/>
      <c r="L33" s="341">
        <v>6494.2043904538659</v>
      </c>
      <c r="M33" s="341">
        <v>6688.5083696900601</v>
      </c>
      <c r="N33" s="341">
        <v>6754.3714074388427</v>
      </c>
      <c r="O33" s="341">
        <v>6794.5522128075945</v>
      </c>
      <c r="P33" s="341">
        <v>6823.8658931510572</v>
      </c>
    </row>
    <row r="34" spans="3:16" x14ac:dyDescent="0.25">
      <c r="C34" s="98"/>
      <c r="F34" s="99" t="s">
        <v>1016</v>
      </c>
      <c r="G34" s="92" t="s">
        <v>107</v>
      </c>
      <c r="H34" s="92" t="s">
        <v>261</v>
      </c>
      <c r="I34" s="92"/>
      <c r="J34" s="454">
        <v>7173.3575444502894</v>
      </c>
      <c r="K34" s="289"/>
      <c r="L34" s="341">
        <v>7173.3575444502894</v>
      </c>
      <c r="M34" s="341">
        <v>7511.4774193847525</v>
      </c>
      <c r="N34" s="341">
        <v>7618.1454215663944</v>
      </c>
      <c r="O34" s="341">
        <v>7685.9348990451244</v>
      </c>
      <c r="P34" s="341">
        <v>7741.2082048110933</v>
      </c>
    </row>
    <row r="35" spans="3:16" x14ac:dyDescent="0.25">
      <c r="C35" s="98"/>
      <c r="F35" s="99" t="s">
        <v>1017</v>
      </c>
      <c r="G35" s="92" t="s">
        <v>107</v>
      </c>
      <c r="H35" s="92" t="s">
        <v>261</v>
      </c>
      <c r="I35" s="92"/>
      <c r="J35" s="454">
        <v>23437.823038871422</v>
      </c>
      <c r="K35" s="289"/>
      <c r="L35" s="341">
        <v>23437.823038871422</v>
      </c>
      <c r="M35" s="341">
        <v>24235.2329547228</v>
      </c>
      <c r="N35" s="341">
        <v>24513.75474031128</v>
      </c>
      <c r="O35" s="341">
        <v>24693.294401288302</v>
      </c>
      <c r="P35" s="341">
        <v>24835.333472845352</v>
      </c>
    </row>
    <row r="36" spans="3:16" s="293" customFormat="1" x14ac:dyDescent="0.25">
      <c r="C36" s="98"/>
      <c r="D36" s="98"/>
      <c r="E36" s="98"/>
      <c r="F36" s="99" t="s">
        <v>1018</v>
      </c>
      <c r="G36" s="196" t="s">
        <v>107</v>
      </c>
      <c r="H36" s="196" t="s">
        <v>261</v>
      </c>
      <c r="I36" s="196"/>
      <c r="J36" s="454">
        <v>3071.1063380389251</v>
      </c>
      <c r="K36" s="289"/>
      <c r="L36" s="341">
        <v>3071.1063380389251</v>
      </c>
      <c r="M36" s="341">
        <v>1127.6318155122733</v>
      </c>
      <c r="N36" s="341">
        <v>1130.2494524536369</v>
      </c>
      <c r="O36" s="341">
        <v>1133.3387657934322</v>
      </c>
      <c r="P36" s="341">
        <v>1137.1517883960464</v>
      </c>
    </row>
    <row r="37" spans="3:16" s="293" customFormat="1" x14ac:dyDescent="0.25">
      <c r="C37" s="98"/>
      <c r="D37" s="98"/>
      <c r="E37" s="98"/>
      <c r="F37" s="99" t="s">
        <v>1019</v>
      </c>
      <c r="G37" s="196" t="s">
        <v>107</v>
      </c>
      <c r="H37" s="196" t="s">
        <v>261</v>
      </c>
      <c r="I37" s="196"/>
      <c r="J37" s="454">
        <v>11181.173880169694</v>
      </c>
      <c r="K37" s="289"/>
      <c r="L37" s="341">
        <v>11181.173880169694</v>
      </c>
      <c r="M37" s="341">
        <v>12593.26365176611</v>
      </c>
      <c r="N37" s="341">
        <v>12954.56062508676</v>
      </c>
      <c r="O37" s="341">
        <v>13264.721032321188</v>
      </c>
      <c r="P37" s="341">
        <v>13583.832733170486</v>
      </c>
    </row>
    <row r="38" spans="3:16" s="293" customFormat="1" x14ac:dyDescent="0.25">
      <c r="C38" s="98"/>
      <c r="D38" s="98"/>
      <c r="E38" s="98"/>
      <c r="F38" s="99" t="s">
        <v>1020</v>
      </c>
      <c r="G38" s="196" t="s">
        <v>107</v>
      </c>
      <c r="H38" s="196" t="s">
        <v>261</v>
      </c>
      <c r="I38" s="196"/>
      <c r="J38" s="454">
        <v>31398.934828220779</v>
      </c>
      <c r="K38" s="289"/>
      <c r="L38" s="341">
        <v>31398.934828220779</v>
      </c>
      <c r="M38" s="341">
        <v>35473.475047141226</v>
      </c>
      <c r="N38" s="341">
        <v>36517.072035570796</v>
      </c>
      <c r="O38" s="341">
        <v>37413.650286124241</v>
      </c>
      <c r="P38" s="341">
        <v>38334.616720265141</v>
      </c>
    </row>
    <row r="39" spans="3:16" s="293" customFormat="1" x14ac:dyDescent="0.25">
      <c r="C39" s="98"/>
      <c r="D39" s="98"/>
      <c r="E39" s="98"/>
      <c r="F39" s="99" t="s">
        <v>1021</v>
      </c>
      <c r="G39" s="196" t="s">
        <v>107</v>
      </c>
      <c r="H39" s="196" t="s">
        <v>261</v>
      </c>
      <c r="I39" s="196"/>
      <c r="J39" s="454">
        <v>57098.724071025623</v>
      </c>
      <c r="K39" s="289"/>
      <c r="L39" s="341">
        <v>57098.724071025623</v>
      </c>
      <c r="M39" s="341">
        <v>64557.618425952365</v>
      </c>
      <c r="N39" s="341">
        <v>66468.483417577634</v>
      </c>
      <c r="O39" s="341">
        <v>68110.559115107681</v>
      </c>
      <c r="P39" s="341">
        <v>69796.545305258362</v>
      </c>
    </row>
    <row r="40" spans="3:16" s="293" customFormat="1" x14ac:dyDescent="0.25">
      <c r="C40" s="98"/>
      <c r="D40" s="98"/>
      <c r="E40" s="98"/>
      <c r="F40" s="99" t="s">
        <v>1022</v>
      </c>
      <c r="G40" s="196" t="s">
        <v>107</v>
      </c>
      <c r="H40" s="196" t="s">
        <v>261</v>
      </c>
      <c r="I40" s="196"/>
      <c r="J40" s="454">
        <v>148967.22231478975</v>
      </c>
      <c r="K40" s="289"/>
      <c r="L40" s="341">
        <v>148967.22231478975</v>
      </c>
      <c r="M40" s="341">
        <v>168524.19255763321</v>
      </c>
      <c r="N40" s="341">
        <v>173535.31364216129</v>
      </c>
      <c r="O40" s="341">
        <v>177842.17567074101</v>
      </c>
      <c r="P40" s="341">
        <v>182262.896405262</v>
      </c>
    </row>
    <row r="41" spans="3:16" s="293" customFormat="1" x14ac:dyDescent="0.25">
      <c r="C41" s="98"/>
      <c r="D41" s="98"/>
      <c r="E41" s="98"/>
      <c r="F41" s="99" t="s">
        <v>933</v>
      </c>
      <c r="G41" s="196" t="s">
        <v>107</v>
      </c>
      <c r="H41" s="196" t="s">
        <v>261</v>
      </c>
      <c r="I41" s="196"/>
      <c r="J41" s="454">
        <v>1970.5314980753108</v>
      </c>
      <c r="K41" s="289"/>
      <c r="L41" s="341">
        <v>1970.5314980753108</v>
      </c>
      <c r="M41" s="341">
        <v>2024.1647502896033</v>
      </c>
      <c r="N41" s="341">
        <v>1970.5515110148472</v>
      </c>
      <c r="O41" s="341">
        <v>1915.2298820085218</v>
      </c>
      <c r="P41" s="341">
        <v>1864.3670616025129</v>
      </c>
    </row>
    <row r="42" spans="3:16" s="293" customFormat="1" x14ac:dyDescent="0.25">
      <c r="C42" s="98"/>
      <c r="D42" s="98"/>
      <c r="E42" s="98"/>
      <c r="F42" s="99" t="s">
        <v>934</v>
      </c>
      <c r="G42" s="196" t="s">
        <v>107</v>
      </c>
      <c r="H42" s="196" t="s">
        <v>261</v>
      </c>
      <c r="I42" s="196"/>
      <c r="J42" s="454">
        <v>-42.276437020645957</v>
      </c>
      <c r="K42" s="289"/>
      <c r="L42" s="341">
        <v>-42.276437020645957</v>
      </c>
      <c r="M42" s="341">
        <v>-42.985606327548886</v>
      </c>
      <c r="N42" s="341">
        <v>-43.161492183856865</v>
      </c>
      <c r="O42" s="341">
        <v>-43.291110389899693</v>
      </c>
      <c r="P42" s="341">
        <v>-43.32808698514981</v>
      </c>
    </row>
    <row r="43" spans="3:16" s="293" customFormat="1" x14ac:dyDescent="0.25">
      <c r="C43" s="98"/>
      <c r="D43" s="98"/>
      <c r="E43" s="98"/>
      <c r="F43" s="99" t="s">
        <v>935</v>
      </c>
      <c r="G43" s="196" t="s">
        <v>107</v>
      </c>
      <c r="H43" s="196" t="s">
        <v>261</v>
      </c>
      <c r="I43" s="196"/>
      <c r="J43" s="454">
        <v>-66.510019629353721</v>
      </c>
      <c r="K43" s="289"/>
      <c r="L43" s="341">
        <v>-66.510019629353721</v>
      </c>
      <c r="M43" s="341">
        <v>-67.596936489300589</v>
      </c>
      <c r="N43" s="341">
        <v>-67.832009289452643</v>
      </c>
      <c r="O43" s="341">
        <v>-68.047227239792718</v>
      </c>
      <c r="P43" s="341">
        <v>-68.105199090432819</v>
      </c>
    </row>
    <row r="44" spans="3:16" s="293" customFormat="1" x14ac:dyDescent="0.25">
      <c r="C44" s="98"/>
      <c r="D44" s="98"/>
      <c r="E44" s="98"/>
      <c r="F44" s="99" t="s">
        <v>936</v>
      </c>
      <c r="G44" s="196" t="s">
        <v>107</v>
      </c>
      <c r="H44" s="196" t="s">
        <v>261</v>
      </c>
      <c r="I44" s="196"/>
      <c r="J44" s="454">
        <v>-525.40107675617708</v>
      </c>
      <c r="K44" s="289"/>
      <c r="L44" s="341">
        <v>-525.40107675617708</v>
      </c>
      <c r="M44" s="341">
        <v>-535.12114640709069</v>
      </c>
      <c r="N44" s="341">
        <v>-538.67149936068392</v>
      </c>
      <c r="O44" s="341">
        <v>-541.10729648683002</v>
      </c>
      <c r="P44" s="341">
        <v>-542.42336974186344</v>
      </c>
    </row>
    <row r="45" spans="3:16" s="293" customFormat="1" x14ac:dyDescent="0.25">
      <c r="C45" s="98"/>
      <c r="D45" s="98"/>
      <c r="E45" s="98"/>
      <c r="F45" s="99" t="s">
        <v>937</v>
      </c>
      <c r="G45" s="196" t="s">
        <v>107</v>
      </c>
      <c r="H45" s="196" t="s">
        <v>261</v>
      </c>
      <c r="I45" s="196"/>
      <c r="J45" s="454">
        <v>0</v>
      </c>
      <c r="K45" s="289"/>
      <c r="L45" s="341">
        <v>0</v>
      </c>
      <c r="M45" s="341">
        <v>0</v>
      </c>
      <c r="N45" s="341">
        <v>0</v>
      </c>
      <c r="O45" s="341">
        <v>0</v>
      </c>
      <c r="P45" s="341">
        <v>0</v>
      </c>
    </row>
    <row r="46" spans="3:16" s="293" customFormat="1" x14ac:dyDescent="0.25">
      <c r="C46" s="98"/>
      <c r="D46" s="98"/>
      <c r="E46" s="98"/>
      <c r="F46" s="99" t="s">
        <v>938</v>
      </c>
      <c r="G46" s="196" t="s">
        <v>107</v>
      </c>
      <c r="H46" s="196" t="s">
        <v>261</v>
      </c>
      <c r="I46" s="196"/>
      <c r="J46" s="454">
        <v>0</v>
      </c>
      <c r="K46" s="289"/>
      <c r="L46" s="341">
        <v>0</v>
      </c>
      <c r="M46" s="341">
        <v>0</v>
      </c>
      <c r="N46" s="341">
        <v>0</v>
      </c>
      <c r="O46" s="341">
        <v>0</v>
      </c>
      <c r="P46" s="341">
        <v>0</v>
      </c>
    </row>
    <row r="47" spans="3:16" s="293" customFormat="1" x14ac:dyDescent="0.25">
      <c r="C47" s="98"/>
      <c r="D47" s="98"/>
      <c r="E47" s="98"/>
      <c r="F47" s="99" t="s">
        <v>939</v>
      </c>
      <c r="G47" s="196" t="s">
        <v>107</v>
      </c>
      <c r="H47" s="196" t="s">
        <v>261</v>
      </c>
      <c r="I47" s="196"/>
      <c r="J47" s="454">
        <v>0</v>
      </c>
      <c r="K47" s="289"/>
      <c r="L47" s="341">
        <v>0</v>
      </c>
      <c r="M47" s="341">
        <v>0</v>
      </c>
      <c r="N47" s="341">
        <v>0</v>
      </c>
      <c r="O47" s="341">
        <v>0</v>
      </c>
      <c r="P47" s="341">
        <v>0</v>
      </c>
    </row>
    <row r="48" spans="3:16" s="293" customFormat="1" x14ac:dyDescent="0.25">
      <c r="C48" s="98"/>
      <c r="D48" s="98"/>
      <c r="E48" s="98"/>
      <c r="F48" s="99" t="s">
        <v>940</v>
      </c>
      <c r="G48" s="196" t="s">
        <v>107</v>
      </c>
      <c r="H48" s="196" t="s">
        <v>261</v>
      </c>
      <c r="I48" s="196"/>
      <c r="J48" s="454">
        <v>-20555.241278971967</v>
      </c>
      <c r="K48" s="289"/>
      <c r="L48" s="341">
        <v>-20555.241278971967</v>
      </c>
      <c r="M48" s="341">
        <v>-20350.388005870653</v>
      </c>
      <c r="N48" s="341">
        <v>-20418.100629829809</v>
      </c>
      <c r="O48" s="341">
        <v>-20479.058062462547</v>
      </c>
      <c r="P48" s="341">
        <v>-20470.452087547746</v>
      </c>
    </row>
    <row r="49" spans="3:18" x14ac:dyDescent="0.25">
      <c r="C49" s="98"/>
      <c r="F49" s="100" t="s">
        <v>941</v>
      </c>
      <c r="G49" s="93" t="s">
        <v>107</v>
      </c>
      <c r="H49" s="93" t="s">
        <v>261</v>
      </c>
      <c r="I49" s="93"/>
      <c r="J49" s="290">
        <v>0</v>
      </c>
      <c r="K49" s="291"/>
      <c r="L49" s="342">
        <v>0</v>
      </c>
      <c r="M49" s="342">
        <v>0</v>
      </c>
      <c r="N49" s="342">
        <v>0</v>
      </c>
      <c r="O49" s="342">
        <v>0</v>
      </c>
      <c r="P49" s="342">
        <v>0</v>
      </c>
    </row>
    <row r="50" spans="3:18" x14ac:dyDescent="0.25">
      <c r="D50" s="85"/>
      <c r="E50" s="85"/>
      <c r="J50" s="292"/>
      <c r="K50" s="292"/>
      <c r="L50" s="343"/>
      <c r="M50" s="343"/>
      <c r="N50" s="343"/>
      <c r="O50" s="343"/>
      <c r="P50" s="343"/>
    </row>
    <row r="51" spans="3:18" x14ac:dyDescent="0.25">
      <c r="E51" s="96" t="s">
        <v>485</v>
      </c>
      <c r="F51" s="96"/>
      <c r="I51" s="85" t="s">
        <v>359</v>
      </c>
      <c r="J51" s="292"/>
      <c r="K51" s="292"/>
      <c r="L51" s="343"/>
      <c r="M51" s="343"/>
      <c r="N51" s="343"/>
      <c r="O51" s="343"/>
      <c r="P51" s="343"/>
      <c r="R51" s="293" t="s">
        <v>755</v>
      </c>
    </row>
    <row r="52" spans="3:18" x14ac:dyDescent="0.25">
      <c r="C52" s="86"/>
      <c r="F52" s="103" t="s">
        <v>1002</v>
      </c>
      <c r="G52" s="91" t="s">
        <v>107</v>
      </c>
      <c r="H52" s="91" t="s">
        <v>146</v>
      </c>
      <c r="I52" s="91"/>
      <c r="J52" s="287">
        <f t="array" ref="J52:J83">TRANSPOSE('Net revenue summary'!J141:AO141)</f>
        <v>60.661785295654873</v>
      </c>
      <c r="K52" s="288"/>
      <c r="L52" s="340">
        <v>60.661785295654873</v>
      </c>
      <c r="M52" s="340">
        <v>63.84775499893771</v>
      </c>
      <c r="N52" s="340">
        <v>66.339411379692052</v>
      </c>
      <c r="O52" s="340">
        <v>68.258734302342745</v>
      </c>
      <c r="P52" s="340">
        <v>70.142141792419167</v>
      </c>
    </row>
    <row r="53" spans="3:18" x14ac:dyDescent="0.25">
      <c r="C53" s="86"/>
      <c r="F53" s="99" t="s">
        <v>927</v>
      </c>
      <c r="G53" s="92" t="s">
        <v>107</v>
      </c>
      <c r="H53" s="92" t="s">
        <v>146</v>
      </c>
      <c r="I53" s="92"/>
      <c r="J53" s="454">
        <v>0</v>
      </c>
      <c r="K53" s="289"/>
      <c r="L53" s="451">
        <v>0</v>
      </c>
      <c r="M53" s="451">
        <v>0</v>
      </c>
      <c r="N53" s="451">
        <v>0</v>
      </c>
      <c r="O53" s="451">
        <v>0</v>
      </c>
      <c r="P53" s="451">
        <v>0</v>
      </c>
    </row>
    <row r="54" spans="3:18" x14ac:dyDescent="0.25">
      <c r="C54" s="86"/>
      <c r="F54" s="99" t="s">
        <v>1003</v>
      </c>
      <c r="G54" s="92" t="s">
        <v>107</v>
      </c>
      <c r="H54" s="92" t="s">
        <v>146</v>
      </c>
      <c r="I54" s="92"/>
      <c r="J54" s="454">
        <v>194.74051509538614</v>
      </c>
      <c r="K54" s="289"/>
      <c r="L54" s="451">
        <v>194.74051509538614</v>
      </c>
      <c r="M54" s="451">
        <v>198.17690866959487</v>
      </c>
      <c r="N54" s="451">
        <v>198.21855296522924</v>
      </c>
      <c r="O54" s="451">
        <v>197.94688751133964</v>
      </c>
      <c r="P54" s="451">
        <v>197.40911103580359</v>
      </c>
    </row>
    <row r="55" spans="3:18" x14ac:dyDescent="0.25">
      <c r="C55" s="86"/>
      <c r="F55" s="99" t="s">
        <v>1004</v>
      </c>
      <c r="G55" s="92" t="s">
        <v>107</v>
      </c>
      <c r="H55" s="92" t="s">
        <v>146</v>
      </c>
      <c r="I55" s="92"/>
      <c r="J55" s="454">
        <v>47.061796536084444</v>
      </c>
      <c r="K55" s="289"/>
      <c r="L55" s="451">
        <v>47.061796536084444</v>
      </c>
      <c r="M55" s="451">
        <v>50.516293066265312</v>
      </c>
      <c r="N55" s="451">
        <v>51.465878356452748</v>
      </c>
      <c r="O55" s="451">
        <v>52.01896972760845</v>
      </c>
      <c r="P55" s="451">
        <v>52.518564029607553</v>
      </c>
    </row>
    <row r="56" spans="3:18" x14ac:dyDescent="0.25">
      <c r="C56" s="86"/>
      <c r="F56" s="99" t="s">
        <v>1005</v>
      </c>
      <c r="G56" s="92" t="s">
        <v>107</v>
      </c>
      <c r="H56" s="92" t="s">
        <v>146</v>
      </c>
      <c r="I56" s="92"/>
      <c r="J56" s="454">
        <v>110.00979998389938</v>
      </c>
      <c r="K56" s="289"/>
      <c r="L56" s="451">
        <v>110.00979998389938</v>
      </c>
      <c r="M56" s="451">
        <v>122.16487087500697</v>
      </c>
      <c r="N56" s="451">
        <v>125.12329347606141</v>
      </c>
      <c r="O56" s="451">
        <v>126.95626270776569</v>
      </c>
      <c r="P56" s="451">
        <v>128.67089730152702</v>
      </c>
    </row>
    <row r="57" spans="3:18" x14ac:dyDescent="0.25">
      <c r="C57" s="86"/>
      <c r="F57" s="99" t="s">
        <v>1006</v>
      </c>
      <c r="G57" s="92" t="s">
        <v>107</v>
      </c>
      <c r="H57" s="92" t="s">
        <v>146</v>
      </c>
      <c r="I57" s="92"/>
      <c r="J57" s="454">
        <v>224.66286153973664</v>
      </c>
      <c r="K57" s="289"/>
      <c r="L57" s="451">
        <v>224.66286153973664</v>
      </c>
      <c r="M57" s="451">
        <v>252.62943852584922</v>
      </c>
      <c r="N57" s="451">
        <v>259.24029599524943</v>
      </c>
      <c r="O57" s="451">
        <v>263.46318210083814</v>
      </c>
      <c r="P57" s="451">
        <v>267.25390640647061</v>
      </c>
    </row>
    <row r="58" spans="3:18" x14ac:dyDescent="0.25">
      <c r="C58" s="86"/>
      <c r="F58" s="99" t="s">
        <v>1007</v>
      </c>
      <c r="G58" s="92" t="s">
        <v>107</v>
      </c>
      <c r="H58" s="92" t="s">
        <v>146</v>
      </c>
      <c r="I58" s="92"/>
      <c r="J58" s="454">
        <v>577.73409433594725</v>
      </c>
      <c r="K58" s="289"/>
      <c r="L58" s="451">
        <v>577.73409433594725</v>
      </c>
      <c r="M58" s="451">
        <v>654.32753080623399</v>
      </c>
      <c r="N58" s="451">
        <v>672.26088620410201</v>
      </c>
      <c r="O58" s="451">
        <v>683.71631370132275</v>
      </c>
      <c r="P58" s="451">
        <v>694.09149613646434</v>
      </c>
    </row>
    <row r="59" spans="3:18" s="293" customFormat="1" x14ac:dyDescent="0.25">
      <c r="C59" s="86"/>
      <c r="D59" s="98"/>
      <c r="E59" s="98"/>
      <c r="F59" s="99" t="s">
        <v>929</v>
      </c>
      <c r="G59" s="196" t="s">
        <v>107</v>
      </c>
      <c r="H59" s="196" t="s">
        <v>146</v>
      </c>
      <c r="I59" s="196"/>
      <c r="J59" s="454">
        <v>649.90940287319631</v>
      </c>
      <c r="K59" s="289"/>
      <c r="L59" s="451">
        <v>649.90940287319631</v>
      </c>
      <c r="M59" s="451">
        <v>663.37596743065728</v>
      </c>
      <c r="N59" s="451">
        <v>663.2296239164333</v>
      </c>
      <c r="O59" s="451">
        <v>662.18074811879126</v>
      </c>
      <c r="P59" s="451">
        <v>660.1141055532263</v>
      </c>
    </row>
    <row r="60" spans="3:18" s="293" customFormat="1" x14ac:dyDescent="0.25">
      <c r="C60" s="86"/>
      <c r="D60" s="98"/>
      <c r="E60" s="98"/>
      <c r="F60" s="99" t="s">
        <v>1008</v>
      </c>
      <c r="G60" s="196" t="s">
        <v>107</v>
      </c>
      <c r="H60" s="196" t="s">
        <v>146</v>
      </c>
      <c r="I60" s="196"/>
      <c r="J60" s="454">
        <v>736.98148415163121</v>
      </c>
      <c r="K60" s="289"/>
      <c r="L60" s="451">
        <v>736.98148415163121</v>
      </c>
      <c r="M60" s="451">
        <v>773.10969151994846</v>
      </c>
      <c r="N60" s="451">
        <v>744.74118828849601</v>
      </c>
      <c r="O60" s="451">
        <v>754.10650783103745</v>
      </c>
      <c r="P60" s="451">
        <v>763.76763624715295</v>
      </c>
    </row>
    <row r="61" spans="3:18" s="293" customFormat="1" x14ac:dyDescent="0.25">
      <c r="C61" s="86"/>
      <c r="D61" s="98"/>
      <c r="E61" s="98"/>
      <c r="F61" s="99" t="s">
        <v>1009</v>
      </c>
      <c r="G61" s="196" t="s">
        <v>107</v>
      </c>
      <c r="H61" s="196" t="s">
        <v>146</v>
      </c>
      <c r="I61" s="196"/>
      <c r="J61" s="454">
        <v>1164.2363643872391</v>
      </c>
      <c r="K61" s="289"/>
      <c r="L61" s="451">
        <v>1164.2363643872391</v>
      </c>
      <c r="M61" s="451">
        <v>1301.354157205363</v>
      </c>
      <c r="N61" s="451">
        <v>1292.5915958901649</v>
      </c>
      <c r="O61" s="451">
        <v>1320.8817872241877</v>
      </c>
      <c r="P61" s="451">
        <v>1348.5928207442403</v>
      </c>
    </row>
    <row r="62" spans="3:18" x14ac:dyDescent="0.25">
      <c r="C62" s="86"/>
      <c r="F62" s="99" t="s">
        <v>1010</v>
      </c>
      <c r="G62" s="92" t="s">
        <v>107</v>
      </c>
      <c r="H62" s="92" t="s">
        <v>146</v>
      </c>
      <c r="I62" s="92"/>
      <c r="J62" s="454">
        <v>2111.039981655475</v>
      </c>
      <c r="K62" s="289"/>
      <c r="L62" s="451">
        <v>2111.039981655475</v>
      </c>
      <c r="M62" s="451">
        <v>2364.7146740447783</v>
      </c>
      <c r="N62" s="451">
        <v>2349.4209085686871</v>
      </c>
      <c r="O62" s="451">
        <v>2402.2880271180538</v>
      </c>
      <c r="P62" s="451">
        <v>2454.0342822059288</v>
      </c>
    </row>
    <row r="63" spans="3:18" x14ac:dyDescent="0.25">
      <c r="C63" s="86"/>
      <c r="F63" s="99" t="s">
        <v>1011</v>
      </c>
      <c r="G63" s="92" t="s">
        <v>107</v>
      </c>
      <c r="H63" s="92" t="s">
        <v>146</v>
      </c>
      <c r="I63" s="92"/>
      <c r="J63" s="454">
        <v>3243.5313189723415</v>
      </c>
      <c r="K63" s="289"/>
      <c r="L63" s="451">
        <v>3243.5313189723415</v>
      </c>
      <c r="M63" s="451">
        <v>3635.8034133226561</v>
      </c>
      <c r="N63" s="451">
        <v>3612.4120518736245</v>
      </c>
      <c r="O63" s="451">
        <v>3694.4275455233537</v>
      </c>
      <c r="P63" s="451">
        <v>3774.8757457454722</v>
      </c>
    </row>
    <row r="64" spans="3:18" x14ac:dyDescent="0.25">
      <c r="C64" s="86"/>
      <c r="F64" s="99" t="s">
        <v>1012</v>
      </c>
      <c r="G64" s="92" t="s">
        <v>107</v>
      </c>
      <c r="H64" s="92" t="s">
        <v>146</v>
      </c>
      <c r="I64" s="92"/>
      <c r="J64" s="454">
        <v>7896.6485842836773</v>
      </c>
      <c r="K64" s="289"/>
      <c r="L64" s="451">
        <v>7896.6485842836773</v>
      </c>
      <c r="M64" s="451">
        <v>8891.7058183790596</v>
      </c>
      <c r="N64" s="451">
        <v>8856.0854488780005</v>
      </c>
      <c r="O64" s="451">
        <v>9072.8615777997074</v>
      </c>
      <c r="P64" s="451">
        <v>9287.3297519747066</v>
      </c>
    </row>
    <row r="65" spans="3:16" x14ac:dyDescent="0.25">
      <c r="C65" s="86"/>
      <c r="F65" s="99" t="s">
        <v>1013</v>
      </c>
      <c r="G65" s="92" t="s">
        <v>107</v>
      </c>
      <c r="H65" s="92" t="s">
        <v>146</v>
      </c>
      <c r="I65" s="92"/>
      <c r="J65" s="279">
        <v>0</v>
      </c>
      <c r="K65" s="289"/>
      <c r="L65" s="453">
        <v>0</v>
      </c>
      <c r="M65" s="453">
        <v>0</v>
      </c>
      <c r="N65" s="453">
        <v>0</v>
      </c>
      <c r="O65" s="453">
        <v>0</v>
      </c>
      <c r="P65" s="453">
        <v>0</v>
      </c>
    </row>
    <row r="66" spans="3:16" x14ac:dyDescent="0.25">
      <c r="C66" s="86"/>
      <c r="F66" s="99" t="s">
        <v>1014</v>
      </c>
      <c r="G66" s="92" t="s">
        <v>107</v>
      </c>
      <c r="H66" s="92" t="s">
        <v>146</v>
      </c>
      <c r="I66" s="92"/>
      <c r="J66" s="279">
        <v>0</v>
      </c>
      <c r="K66" s="289"/>
      <c r="L66" s="453">
        <v>0</v>
      </c>
      <c r="M66" s="453">
        <v>0</v>
      </c>
      <c r="N66" s="453">
        <v>0</v>
      </c>
      <c r="O66" s="453">
        <v>0</v>
      </c>
      <c r="P66" s="453">
        <v>0</v>
      </c>
    </row>
    <row r="67" spans="3:16" x14ac:dyDescent="0.25">
      <c r="C67" s="86"/>
      <c r="F67" s="99" t="s">
        <v>1015</v>
      </c>
      <c r="G67" s="92" t="s">
        <v>107</v>
      </c>
      <c r="H67" s="92" t="s">
        <v>146</v>
      </c>
      <c r="I67" s="92"/>
      <c r="J67" s="279">
        <v>0</v>
      </c>
      <c r="K67" s="289"/>
      <c r="L67" s="453">
        <v>0</v>
      </c>
      <c r="M67" s="453">
        <v>0</v>
      </c>
      <c r="N67" s="453">
        <v>0</v>
      </c>
      <c r="O67" s="453">
        <v>0</v>
      </c>
      <c r="P67" s="453">
        <v>0</v>
      </c>
    </row>
    <row r="68" spans="3:16" x14ac:dyDescent="0.25">
      <c r="C68" s="86"/>
      <c r="F68" s="99" t="s">
        <v>1016</v>
      </c>
      <c r="G68" s="92" t="s">
        <v>107</v>
      </c>
      <c r="H68" s="92" t="s">
        <v>146</v>
      </c>
      <c r="I68" s="92"/>
      <c r="J68" s="279">
        <v>0</v>
      </c>
      <c r="K68" s="289"/>
      <c r="L68" s="453">
        <v>0</v>
      </c>
      <c r="M68" s="453">
        <v>0</v>
      </c>
      <c r="N68" s="453">
        <v>0</v>
      </c>
      <c r="O68" s="453">
        <v>0</v>
      </c>
      <c r="P68" s="453">
        <v>0</v>
      </c>
    </row>
    <row r="69" spans="3:16" x14ac:dyDescent="0.25">
      <c r="C69" s="86"/>
      <c r="F69" s="99" t="s">
        <v>1017</v>
      </c>
      <c r="G69" s="92" t="s">
        <v>107</v>
      </c>
      <c r="H69" s="92" t="s">
        <v>146</v>
      </c>
      <c r="I69" s="92"/>
      <c r="J69" s="279">
        <v>0</v>
      </c>
      <c r="K69" s="289"/>
      <c r="L69" s="453">
        <v>0</v>
      </c>
      <c r="M69" s="453">
        <v>0</v>
      </c>
      <c r="N69" s="453">
        <v>0</v>
      </c>
      <c r="O69" s="453">
        <v>0</v>
      </c>
      <c r="P69" s="453">
        <v>0</v>
      </c>
    </row>
    <row r="70" spans="3:16" s="293" customFormat="1" x14ac:dyDescent="0.25">
      <c r="C70" s="86"/>
      <c r="D70" s="98"/>
      <c r="E70" s="98"/>
      <c r="F70" s="99" t="s">
        <v>1018</v>
      </c>
      <c r="G70" s="196" t="s">
        <v>107</v>
      </c>
      <c r="H70" s="196" t="s">
        <v>146</v>
      </c>
      <c r="I70" s="196"/>
      <c r="J70" s="279">
        <v>0</v>
      </c>
      <c r="K70" s="289"/>
      <c r="L70" s="453">
        <v>0</v>
      </c>
      <c r="M70" s="453">
        <v>0</v>
      </c>
      <c r="N70" s="453">
        <v>0</v>
      </c>
      <c r="O70" s="453">
        <v>0</v>
      </c>
      <c r="P70" s="453">
        <v>0</v>
      </c>
    </row>
    <row r="71" spans="3:16" s="293" customFormat="1" x14ac:dyDescent="0.25">
      <c r="C71" s="86"/>
      <c r="D71" s="98"/>
      <c r="E71" s="98"/>
      <c r="F71" s="99" t="s">
        <v>1019</v>
      </c>
      <c r="G71" s="196" t="s">
        <v>107</v>
      </c>
      <c r="H71" s="196" t="s">
        <v>146</v>
      </c>
      <c r="I71" s="196"/>
      <c r="J71" s="279">
        <v>0</v>
      </c>
      <c r="K71" s="289"/>
      <c r="L71" s="453">
        <v>0</v>
      </c>
      <c r="M71" s="453">
        <v>0</v>
      </c>
      <c r="N71" s="453">
        <v>0</v>
      </c>
      <c r="O71" s="453">
        <v>0</v>
      </c>
      <c r="P71" s="453">
        <v>0</v>
      </c>
    </row>
    <row r="72" spans="3:16" s="293" customFormat="1" x14ac:dyDescent="0.25">
      <c r="C72" s="86"/>
      <c r="D72" s="98"/>
      <c r="E72" s="98"/>
      <c r="F72" s="99" t="s">
        <v>1020</v>
      </c>
      <c r="G72" s="196" t="s">
        <v>107</v>
      </c>
      <c r="H72" s="196" t="s">
        <v>146</v>
      </c>
      <c r="I72" s="196"/>
      <c r="J72" s="279">
        <v>0</v>
      </c>
      <c r="K72" s="289"/>
      <c r="L72" s="453">
        <v>0</v>
      </c>
      <c r="M72" s="453">
        <v>0</v>
      </c>
      <c r="N72" s="453">
        <v>0</v>
      </c>
      <c r="O72" s="453">
        <v>0</v>
      </c>
      <c r="P72" s="453">
        <v>0</v>
      </c>
    </row>
    <row r="73" spans="3:16" s="293" customFormat="1" x14ac:dyDescent="0.25">
      <c r="C73" s="86"/>
      <c r="D73" s="98"/>
      <c r="E73" s="98"/>
      <c r="F73" s="99" t="s">
        <v>1021</v>
      </c>
      <c r="G73" s="196" t="s">
        <v>107</v>
      </c>
      <c r="H73" s="196" t="s">
        <v>146</v>
      </c>
      <c r="I73" s="196"/>
      <c r="J73" s="279">
        <v>0</v>
      </c>
      <c r="K73" s="289"/>
      <c r="L73" s="453">
        <v>0</v>
      </c>
      <c r="M73" s="453">
        <v>0</v>
      </c>
      <c r="N73" s="453">
        <v>0</v>
      </c>
      <c r="O73" s="453">
        <v>0</v>
      </c>
      <c r="P73" s="453">
        <v>0</v>
      </c>
    </row>
    <row r="74" spans="3:16" s="293" customFormat="1" x14ac:dyDescent="0.25">
      <c r="C74" s="86"/>
      <c r="D74" s="98"/>
      <c r="E74" s="98"/>
      <c r="F74" s="99" t="s">
        <v>1022</v>
      </c>
      <c r="G74" s="196" t="s">
        <v>107</v>
      </c>
      <c r="H74" s="196" t="s">
        <v>146</v>
      </c>
      <c r="I74" s="196"/>
      <c r="J74" s="279">
        <v>0</v>
      </c>
      <c r="K74" s="289"/>
      <c r="L74" s="453">
        <v>0</v>
      </c>
      <c r="M74" s="453">
        <v>0</v>
      </c>
      <c r="N74" s="453">
        <v>0</v>
      </c>
      <c r="O74" s="453">
        <v>0</v>
      </c>
      <c r="P74" s="453">
        <v>0</v>
      </c>
    </row>
    <row r="75" spans="3:16" s="293" customFormat="1" x14ac:dyDescent="0.25">
      <c r="C75" s="86"/>
      <c r="D75" s="98"/>
      <c r="E75" s="98"/>
      <c r="F75" s="99" t="s">
        <v>933</v>
      </c>
      <c r="G75" s="196" t="s">
        <v>107</v>
      </c>
      <c r="H75" s="196" t="s">
        <v>146</v>
      </c>
      <c r="I75" s="196"/>
      <c r="J75" s="454">
        <v>25.349808695524338</v>
      </c>
      <c r="K75" s="289"/>
      <c r="L75" s="451">
        <v>25.349808695524338</v>
      </c>
      <c r="M75" s="451">
        <v>27.432724622449278</v>
      </c>
      <c r="N75" s="451">
        <v>28.104408158049367</v>
      </c>
      <c r="O75" s="451">
        <v>28.747567690176155</v>
      </c>
      <c r="P75" s="451">
        <v>29.485551560735225</v>
      </c>
    </row>
    <row r="76" spans="3:16" s="293" customFormat="1" x14ac:dyDescent="0.25">
      <c r="C76" s="86"/>
      <c r="D76" s="98"/>
      <c r="E76" s="98"/>
      <c r="F76" s="99" t="s">
        <v>934</v>
      </c>
      <c r="G76" s="196" t="s">
        <v>107</v>
      </c>
      <c r="H76" s="196" t="s">
        <v>146</v>
      </c>
      <c r="I76" s="196"/>
      <c r="J76" s="454">
        <v>-64.396997560474247</v>
      </c>
      <c r="K76" s="289"/>
      <c r="L76" s="451">
        <v>-64.396997560474247</v>
      </c>
      <c r="M76" s="451">
        <v>-65.476729640877693</v>
      </c>
      <c r="N76" s="451">
        <v>-65.734770994130869</v>
      </c>
      <c r="O76" s="451">
        <v>-65.923397406581657</v>
      </c>
      <c r="P76" s="451">
        <v>-65.972872642565974</v>
      </c>
    </row>
    <row r="77" spans="3:16" s="293" customFormat="1" x14ac:dyDescent="0.25">
      <c r="C77" s="86"/>
      <c r="D77" s="98"/>
      <c r="E77" s="98"/>
      <c r="F77" s="99" t="s">
        <v>935</v>
      </c>
      <c r="G77" s="196" t="s">
        <v>107</v>
      </c>
      <c r="H77" s="196" t="s">
        <v>146</v>
      </c>
      <c r="I77" s="196"/>
      <c r="J77" s="279">
        <v>0</v>
      </c>
      <c r="K77" s="289"/>
      <c r="L77" s="453">
        <v>0</v>
      </c>
      <c r="M77" s="453">
        <v>0</v>
      </c>
      <c r="N77" s="453">
        <v>0</v>
      </c>
      <c r="O77" s="453">
        <v>0</v>
      </c>
      <c r="P77" s="453">
        <v>0</v>
      </c>
    </row>
    <row r="78" spans="3:16" s="293" customFormat="1" x14ac:dyDescent="0.25">
      <c r="C78" s="86"/>
      <c r="D78" s="98"/>
      <c r="E78" s="98"/>
      <c r="F78" s="99" t="s">
        <v>936</v>
      </c>
      <c r="G78" s="196" t="s">
        <v>107</v>
      </c>
      <c r="H78" s="196" t="s">
        <v>146</v>
      </c>
      <c r="I78" s="196"/>
      <c r="J78" s="454">
        <v>0</v>
      </c>
      <c r="K78" s="289"/>
      <c r="L78" s="451">
        <v>0</v>
      </c>
      <c r="M78" s="451">
        <v>0</v>
      </c>
      <c r="N78" s="451">
        <v>0</v>
      </c>
      <c r="O78" s="451">
        <v>0</v>
      </c>
      <c r="P78" s="451">
        <v>0</v>
      </c>
    </row>
    <row r="79" spans="3:16" s="293" customFormat="1" x14ac:dyDescent="0.25">
      <c r="C79" s="86"/>
      <c r="D79" s="98"/>
      <c r="E79" s="98"/>
      <c r="F79" s="99" t="s">
        <v>937</v>
      </c>
      <c r="G79" s="196" t="s">
        <v>107</v>
      </c>
      <c r="H79" s="196" t="s">
        <v>146</v>
      </c>
      <c r="I79" s="196"/>
      <c r="J79" s="279">
        <v>0</v>
      </c>
      <c r="K79" s="289"/>
      <c r="L79" s="453">
        <v>0</v>
      </c>
      <c r="M79" s="453">
        <v>0</v>
      </c>
      <c r="N79" s="453">
        <v>0</v>
      </c>
      <c r="O79" s="453">
        <v>0</v>
      </c>
      <c r="P79" s="453">
        <v>0</v>
      </c>
    </row>
    <row r="80" spans="3:16" s="293" customFormat="1" x14ac:dyDescent="0.25">
      <c r="C80" s="86"/>
      <c r="D80" s="98"/>
      <c r="E80" s="98"/>
      <c r="F80" s="99" t="s">
        <v>938</v>
      </c>
      <c r="G80" s="196" t="s">
        <v>107</v>
      </c>
      <c r="H80" s="196" t="s">
        <v>146</v>
      </c>
      <c r="I80" s="196"/>
      <c r="J80" s="279">
        <v>0</v>
      </c>
      <c r="K80" s="289"/>
      <c r="L80" s="453">
        <v>0</v>
      </c>
      <c r="M80" s="453">
        <v>0</v>
      </c>
      <c r="N80" s="453">
        <v>0</v>
      </c>
      <c r="O80" s="453">
        <v>0</v>
      </c>
      <c r="P80" s="453">
        <v>0</v>
      </c>
    </row>
    <row r="81" spans="3:18" s="293" customFormat="1" x14ac:dyDescent="0.25">
      <c r="C81" s="86"/>
      <c r="D81" s="98"/>
      <c r="E81" s="98"/>
      <c r="F81" s="99" t="s">
        <v>939</v>
      </c>
      <c r="G81" s="196" t="s">
        <v>107</v>
      </c>
      <c r="H81" s="196" t="s">
        <v>146</v>
      </c>
      <c r="I81" s="196"/>
      <c r="J81" s="279">
        <v>0</v>
      </c>
      <c r="K81" s="289"/>
      <c r="L81" s="453">
        <v>0</v>
      </c>
      <c r="M81" s="453">
        <v>0</v>
      </c>
      <c r="N81" s="453">
        <v>0</v>
      </c>
      <c r="O81" s="453">
        <v>0</v>
      </c>
      <c r="P81" s="453">
        <v>0</v>
      </c>
    </row>
    <row r="82" spans="3:18" s="293" customFormat="1" x14ac:dyDescent="0.25">
      <c r="C82" s="86"/>
      <c r="D82" s="98"/>
      <c r="E82" s="98"/>
      <c r="F82" s="99" t="s">
        <v>940</v>
      </c>
      <c r="G82" s="196" t="s">
        <v>107</v>
      </c>
      <c r="H82" s="196" t="s">
        <v>146</v>
      </c>
      <c r="I82" s="196"/>
      <c r="J82" s="279">
        <v>0</v>
      </c>
      <c r="K82" s="289"/>
      <c r="L82" s="453">
        <v>0</v>
      </c>
      <c r="M82" s="453">
        <v>0</v>
      </c>
      <c r="N82" s="453">
        <v>0</v>
      </c>
      <c r="O82" s="453">
        <v>0</v>
      </c>
      <c r="P82" s="453">
        <v>0</v>
      </c>
    </row>
    <row r="83" spans="3:18" x14ac:dyDescent="0.25">
      <c r="C83" s="86"/>
      <c r="F83" s="100" t="s">
        <v>941</v>
      </c>
      <c r="G83" s="93" t="s">
        <v>107</v>
      </c>
      <c r="H83" s="93" t="s">
        <v>146</v>
      </c>
      <c r="I83" s="93"/>
      <c r="J83" s="240">
        <v>0</v>
      </c>
      <c r="K83" s="291"/>
      <c r="L83" s="344">
        <v>0</v>
      </c>
      <c r="M83" s="344">
        <v>0</v>
      </c>
      <c r="N83" s="344">
        <v>0</v>
      </c>
      <c r="O83" s="344">
        <v>0</v>
      </c>
      <c r="P83" s="344">
        <v>0</v>
      </c>
    </row>
    <row r="84" spans="3:18" x14ac:dyDescent="0.25">
      <c r="E84" s="85"/>
      <c r="H84" s="195"/>
      <c r="J84" s="292"/>
      <c r="K84" s="292"/>
      <c r="L84" s="343"/>
      <c r="M84" s="343"/>
      <c r="N84" s="343"/>
      <c r="O84" s="343"/>
      <c r="P84" s="343"/>
    </row>
    <row r="85" spans="3:18" x14ac:dyDescent="0.25">
      <c r="E85" s="96" t="s">
        <v>486</v>
      </c>
      <c r="F85" s="96"/>
      <c r="I85" s="85" t="s">
        <v>359</v>
      </c>
      <c r="J85" s="292"/>
      <c r="K85" s="292"/>
      <c r="L85" s="343"/>
      <c r="M85" s="343"/>
      <c r="N85" s="343"/>
      <c r="O85" s="343"/>
      <c r="P85" s="343"/>
      <c r="R85" s="293" t="s">
        <v>755</v>
      </c>
    </row>
    <row r="86" spans="3:18" x14ac:dyDescent="0.25">
      <c r="C86" s="86"/>
      <c r="F86" s="103" t="s">
        <v>1002</v>
      </c>
      <c r="G86" s="91" t="s">
        <v>107</v>
      </c>
      <c r="H86" s="91" t="s">
        <v>147</v>
      </c>
      <c r="I86" s="91"/>
      <c r="J86" s="287">
        <f t="array" ref="J86:J117">TRANSPOSE('Net revenue summary'!J142:AO142)</f>
        <v>42.736882380407508</v>
      </c>
      <c r="K86" s="288"/>
      <c r="L86" s="340">
        <v>42.736882380407508</v>
      </c>
      <c r="M86" s="340">
        <v>44.336383291085646</v>
      </c>
      <c r="N86" s="340">
        <v>45.762627822091865</v>
      </c>
      <c r="O86" s="340">
        <v>46.960191585906522</v>
      </c>
      <c r="P86" s="340">
        <v>48.162516739091238</v>
      </c>
    </row>
    <row r="87" spans="3:18" x14ac:dyDescent="0.25">
      <c r="C87" s="86"/>
      <c r="F87" s="99" t="s">
        <v>927</v>
      </c>
      <c r="G87" s="92" t="s">
        <v>107</v>
      </c>
      <c r="H87" s="92" t="s">
        <v>147</v>
      </c>
      <c r="I87" s="92"/>
      <c r="J87" s="454">
        <v>22.021126854045519</v>
      </c>
      <c r="K87" s="289"/>
      <c r="L87" s="341">
        <v>22.021126854045519</v>
      </c>
      <c r="M87" s="341">
        <v>21.210840848227189</v>
      </c>
      <c r="N87" s="341">
        <v>21.220375807223725</v>
      </c>
      <c r="O87" s="341">
        <v>21.207662528561677</v>
      </c>
      <c r="P87" s="341">
        <v>21.136488554952908</v>
      </c>
    </row>
    <row r="88" spans="3:18" x14ac:dyDescent="0.25">
      <c r="C88" s="86"/>
      <c r="F88" s="99" t="s">
        <v>1003</v>
      </c>
      <c r="G88" s="92" t="s">
        <v>107</v>
      </c>
      <c r="H88" s="92" t="s">
        <v>147</v>
      </c>
      <c r="I88" s="92"/>
      <c r="J88" s="454">
        <v>115.03804142047755</v>
      </c>
      <c r="K88" s="289"/>
      <c r="L88" s="341">
        <v>115.03804142047755</v>
      </c>
      <c r="M88" s="341">
        <v>116.99845110631195</v>
      </c>
      <c r="N88" s="341">
        <v>117.10611472651892</v>
      </c>
      <c r="O88" s="341">
        <v>117.12591535945479</v>
      </c>
      <c r="P88" s="341">
        <v>116.85588904306854</v>
      </c>
    </row>
    <row r="89" spans="3:18" x14ac:dyDescent="0.25">
      <c r="C89" s="86"/>
      <c r="F89" s="99" t="s">
        <v>1004</v>
      </c>
      <c r="G89" s="92" t="s">
        <v>107</v>
      </c>
      <c r="H89" s="92" t="s">
        <v>147</v>
      </c>
      <c r="I89" s="92"/>
      <c r="J89" s="454">
        <v>31.094481141578154</v>
      </c>
      <c r="K89" s="289"/>
      <c r="L89" s="341">
        <v>31.094481141578154</v>
      </c>
      <c r="M89" s="341">
        <v>33.39035677974065</v>
      </c>
      <c r="N89" s="341">
        <v>34.059606165260107</v>
      </c>
      <c r="O89" s="341">
        <v>34.463358974388143</v>
      </c>
      <c r="P89" s="341">
        <v>34.85654753527205</v>
      </c>
    </row>
    <row r="90" spans="3:18" x14ac:dyDescent="0.25">
      <c r="C90" s="86"/>
      <c r="F90" s="99" t="s">
        <v>1005</v>
      </c>
      <c r="G90" s="92" t="s">
        <v>107</v>
      </c>
      <c r="H90" s="92" t="s">
        <v>147</v>
      </c>
      <c r="I90" s="92"/>
      <c r="J90" s="454">
        <v>69.798240523094691</v>
      </c>
      <c r="K90" s="289"/>
      <c r="L90" s="341">
        <v>69.798240523094691</v>
      </c>
      <c r="M90" s="341">
        <v>78.222590011266604</v>
      </c>
      <c r="N90" s="341">
        <v>80.379827626762449</v>
      </c>
      <c r="O90" s="341">
        <v>81.774227807558148</v>
      </c>
      <c r="P90" s="341">
        <v>83.021819848761098</v>
      </c>
    </row>
    <row r="91" spans="3:18" x14ac:dyDescent="0.25">
      <c r="C91" s="86"/>
      <c r="F91" s="99" t="s">
        <v>1006</v>
      </c>
      <c r="G91" s="92" t="s">
        <v>107</v>
      </c>
      <c r="H91" s="92" t="s">
        <v>147</v>
      </c>
      <c r="I91" s="92"/>
      <c r="J91" s="454">
        <v>140.27186546984402</v>
      </c>
      <c r="K91" s="289"/>
      <c r="L91" s="341">
        <v>140.27186546984402</v>
      </c>
      <c r="M91" s="341">
        <v>159.90008172221914</v>
      </c>
      <c r="N91" s="341">
        <v>164.73627806160465</v>
      </c>
      <c r="O91" s="341">
        <v>167.92855016380409</v>
      </c>
      <c r="P91" s="341">
        <v>170.74289095939432</v>
      </c>
    </row>
    <row r="92" spans="3:18" x14ac:dyDescent="0.25">
      <c r="C92" s="86"/>
      <c r="F92" s="99" t="s">
        <v>1007</v>
      </c>
      <c r="G92" s="92" t="s">
        <v>107</v>
      </c>
      <c r="H92" s="92" t="s">
        <v>147</v>
      </c>
      <c r="I92" s="92"/>
      <c r="J92" s="454">
        <v>357.31359496405855</v>
      </c>
      <c r="K92" s="289"/>
      <c r="L92" s="341">
        <v>357.31359496405855</v>
      </c>
      <c r="M92" s="341">
        <v>411.36725511883174</v>
      </c>
      <c r="N92" s="341">
        <v>424.46337364548344</v>
      </c>
      <c r="O92" s="341">
        <v>433.15950562276021</v>
      </c>
      <c r="P92" s="341">
        <v>440.81682827866814</v>
      </c>
    </row>
    <row r="93" spans="3:18" s="293" customFormat="1" x14ac:dyDescent="0.25">
      <c r="C93" s="86"/>
      <c r="D93" s="98"/>
      <c r="E93" s="98"/>
      <c r="F93" s="99" t="s">
        <v>929</v>
      </c>
      <c r="G93" s="196" t="s">
        <v>107</v>
      </c>
      <c r="H93" s="196" t="s">
        <v>147</v>
      </c>
      <c r="I93" s="196"/>
      <c r="J93" s="454">
        <v>339.39133621994284</v>
      </c>
      <c r="K93" s="289"/>
      <c r="L93" s="341">
        <v>339.39133621994284</v>
      </c>
      <c r="M93" s="341">
        <v>346.55848573878711</v>
      </c>
      <c r="N93" s="341">
        <v>346.50507901616936</v>
      </c>
      <c r="O93" s="341">
        <v>346.29145212569841</v>
      </c>
      <c r="P93" s="341">
        <v>345.0523377154924</v>
      </c>
    </row>
    <row r="94" spans="3:18" s="293" customFormat="1" x14ac:dyDescent="0.25">
      <c r="C94" s="86"/>
      <c r="D94" s="98"/>
      <c r="E94" s="98"/>
      <c r="F94" s="99" t="s">
        <v>1008</v>
      </c>
      <c r="G94" s="196" t="s">
        <v>107</v>
      </c>
      <c r="H94" s="196" t="s">
        <v>147</v>
      </c>
      <c r="I94" s="196"/>
      <c r="J94" s="454">
        <v>864.30326373988919</v>
      </c>
      <c r="K94" s="289"/>
      <c r="L94" s="341">
        <v>864.30326373988919</v>
      </c>
      <c r="M94" s="341">
        <v>867.11637631108772</v>
      </c>
      <c r="N94" s="341">
        <v>849.69530265506694</v>
      </c>
      <c r="O94" s="341">
        <v>848.78503287464457</v>
      </c>
      <c r="P94" s="341">
        <v>849.48923974208458</v>
      </c>
    </row>
    <row r="95" spans="3:18" s="293" customFormat="1" x14ac:dyDescent="0.25">
      <c r="C95" s="86"/>
      <c r="D95" s="98"/>
      <c r="E95" s="98"/>
      <c r="F95" s="99" t="s">
        <v>1009</v>
      </c>
      <c r="G95" s="196" t="s">
        <v>107</v>
      </c>
      <c r="H95" s="196" t="s">
        <v>147</v>
      </c>
      <c r="I95" s="196"/>
      <c r="J95" s="454">
        <v>1240.2515941969154</v>
      </c>
      <c r="K95" s="289"/>
      <c r="L95" s="341">
        <v>1240.2515941969154</v>
      </c>
      <c r="M95" s="341">
        <v>1310.7902629084756</v>
      </c>
      <c r="N95" s="341">
        <v>1307.9943111048635</v>
      </c>
      <c r="O95" s="341">
        <v>1319.1216940994502</v>
      </c>
      <c r="P95" s="341">
        <v>1331.5087620857926</v>
      </c>
    </row>
    <row r="96" spans="3:18" x14ac:dyDescent="0.25">
      <c r="C96" s="86"/>
      <c r="F96" s="99" t="s">
        <v>1010</v>
      </c>
      <c r="G96" s="92" t="s">
        <v>107</v>
      </c>
      <c r="H96" s="92" t="s">
        <v>147</v>
      </c>
      <c r="I96" s="92"/>
      <c r="J96" s="454">
        <v>2258.5997924084368</v>
      </c>
      <c r="K96" s="289"/>
      <c r="L96" s="341">
        <v>2258.5997924084368</v>
      </c>
      <c r="M96" s="341">
        <v>2389.5427783536747</v>
      </c>
      <c r="N96" s="341">
        <v>2385.0437497740891</v>
      </c>
      <c r="O96" s="341">
        <v>2406.0892460310579</v>
      </c>
      <c r="P96" s="341">
        <v>2429.4392757055075</v>
      </c>
    </row>
    <row r="97" spans="3:16" x14ac:dyDescent="0.25">
      <c r="C97" s="86"/>
      <c r="F97" s="99" t="s">
        <v>1011</v>
      </c>
      <c r="G97" s="92" t="s">
        <v>107</v>
      </c>
      <c r="H97" s="92" t="s">
        <v>147</v>
      </c>
      <c r="I97" s="92"/>
      <c r="J97" s="454">
        <v>3477.9419796785623</v>
      </c>
      <c r="K97" s="289"/>
      <c r="L97" s="341">
        <v>3477.9419796785623</v>
      </c>
      <c r="M97" s="341">
        <v>3680.5302398056015</v>
      </c>
      <c r="N97" s="341">
        <v>3673.7482508192161</v>
      </c>
      <c r="O97" s="341">
        <v>3706.4984838646133</v>
      </c>
      <c r="P97" s="341">
        <v>3742.8689638184537</v>
      </c>
    </row>
    <row r="98" spans="3:16" x14ac:dyDescent="0.25">
      <c r="C98" s="86"/>
      <c r="F98" s="99" t="s">
        <v>1012</v>
      </c>
      <c r="G98" s="92" t="s">
        <v>107</v>
      </c>
      <c r="H98" s="92" t="s">
        <v>147</v>
      </c>
      <c r="I98" s="92"/>
      <c r="J98" s="454">
        <v>8447.338970947294</v>
      </c>
      <c r="K98" s="289"/>
      <c r="L98" s="341">
        <v>8447.338970947294</v>
      </c>
      <c r="M98" s="341">
        <v>8970.8719926211597</v>
      </c>
      <c r="N98" s="341">
        <v>8969.4370540937634</v>
      </c>
      <c r="O98" s="341">
        <v>9061.9152344977501</v>
      </c>
      <c r="P98" s="341">
        <v>9164.2016195795641</v>
      </c>
    </row>
    <row r="99" spans="3:16" x14ac:dyDescent="0.25">
      <c r="C99" s="86"/>
      <c r="F99" s="99" t="s">
        <v>1013</v>
      </c>
      <c r="G99" s="92" t="s">
        <v>107</v>
      </c>
      <c r="H99" s="92" t="s">
        <v>147</v>
      </c>
      <c r="I99" s="92"/>
      <c r="J99" s="454">
        <v>0</v>
      </c>
      <c r="K99" s="289"/>
      <c r="L99" s="341">
        <v>0</v>
      </c>
      <c r="M99" s="341">
        <v>0</v>
      </c>
      <c r="N99" s="341">
        <v>0</v>
      </c>
      <c r="O99" s="341">
        <v>0</v>
      </c>
      <c r="P99" s="341">
        <v>0</v>
      </c>
    </row>
    <row r="100" spans="3:16" x14ac:dyDescent="0.25">
      <c r="C100" s="86"/>
      <c r="F100" s="99" t="s">
        <v>1014</v>
      </c>
      <c r="G100" s="92" t="s">
        <v>107</v>
      </c>
      <c r="H100" s="92" t="s">
        <v>147</v>
      </c>
      <c r="I100" s="92"/>
      <c r="J100" s="454">
        <v>2747.3880603687981</v>
      </c>
      <c r="K100" s="289"/>
      <c r="L100" s="341">
        <v>2747.3880603687981</v>
      </c>
      <c r="M100" s="341">
        <v>3259.1440263836544</v>
      </c>
      <c r="N100" s="341">
        <v>2898.3087301114192</v>
      </c>
      <c r="O100" s="341">
        <v>2917.3552842186659</v>
      </c>
      <c r="P100" s="341">
        <v>2939.7759461469836</v>
      </c>
    </row>
    <row r="101" spans="3:16" x14ac:dyDescent="0.25">
      <c r="C101" s="86"/>
      <c r="F101" s="99" t="s">
        <v>1015</v>
      </c>
      <c r="G101" s="92" t="s">
        <v>107</v>
      </c>
      <c r="H101" s="92" t="s">
        <v>147</v>
      </c>
      <c r="I101" s="92"/>
      <c r="J101" s="454">
        <v>4573.0586808810222</v>
      </c>
      <c r="K101" s="289"/>
      <c r="L101" s="341">
        <v>4573.0586808810222</v>
      </c>
      <c r="M101" s="341">
        <v>5445.4906874111448</v>
      </c>
      <c r="N101" s="341">
        <v>4849.0709298762922</v>
      </c>
      <c r="O101" s="341">
        <v>4884.8519906005677</v>
      </c>
      <c r="P101" s="341">
        <v>4926.0693129125839</v>
      </c>
    </row>
    <row r="102" spans="3:16" x14ac:dyDescent="0.25">
      <c r="C102" s="86"/>
      <c r="F102" s="99" t="s">
        <v>1016</v>
      </c>
      <c r="G102" s="92" t="s">
        <v>107</v>
      </c>
      <c r="H102" s="92" t="s">
        <v>147</v>
      </c>
      <c r="I102" s="92"/>
      <c r="J102" s="454">
        <v>5065.7818330829314</v>
      </c>
      <c r="K102" s="289"/>
      <c r="L102" s="341">
        <v>5065.7818330829314</v>
      </c>
      <c r="M102" s="341">
        <v>6076.5519366959079</v>
      </c>
      <c r="N102" s="341">
        <v>5483.2449310870988</v>
      </c>
      <c r="O102" s="341">
        <v>5539.7407696507744</v>
      </c>
      <c r="P102" s="341">
        <v>5601.0749959580999</v>
      </c>
    </row>
    <row r="103" spans="3:16" x14ac:dyDescent="0.25">
      <c r="C103" s="86"/>
      <c r="F103" s="99" t="s">
        <v>1017</v>
      </c>
      <c r="G103" s="92" t="s">
        <v>107</v>
      </c>
      <c r="H103" s="92" t="s">
        <v>147</v>
      </c>
      <c r="I103" s="92"/>
      <c r="J103" s="454">
        <v>16499.699432908685</v>
      </c>
      <c r="K103" s="289"/>
      <c r="L103" s="341">
        <v>16499.699432908685</v>
      </c>
      <c r="M103" s="341">
        <v>19733.134499547468</v>
      </c>
      <c r="N103" s="341">
        <v>17599.201083730368</v>
      </c>
      <c r="O103" s="341">
        <v>17754.037481633917</v>
      </c>
      <c r="P103" s="341">
        <v>17930.063613541006</v>
      </c>
    </row>
    <row r="104" spans="3:16" s="293" customFormat="1" x14ac:dyDescent="0.25">
      <c r="C104" s="86"/>
      <c r="D104" s="98"/>
      <c r="E104" s="98"/>
      <c r="F104" s="99" t="s">
        <v>1018</v>
      </c>
      <c r="G104" s="196" t="s">
        <v>107</v>
      </c>
      <c r="H104" s="196" t="s">
        <v>147</v>
      </c>
      <c r="I104" s="196"/>
      <c r="J104" s="454">
        <v>1115.498129672229</v>
      </c>
      <c r="K104" s="289"/>
      <c r="L104" s="341">
        <v>1115.498129672229</v>
      </c>
      <c r="M104" s="341">
        <v>1145.0239130798122</v>
      </c>
      <c r="N104" s="341">
        <v>1148.5255389026586</v>
      </c>
      <c r="O104" s="341">
        <v>1153.1555360513421</v>
      </c>
      <c r="P104" s="341">
        <v>1159.786210314365</v>
      </c>
    </row>
    <row r="105" spans="3:16" s="293" customFormat="1" x14ac:dyDescent="0.25">
      <c r="C105" s="86"/>
      <c r="D105" s="98"/>
      <c r="E105" s="98"/>
      <c r="F105" s="99" t="s">
        <v>1019</v>
      </c>
      <c r="G105" s="196" t="s">
        <v>107</v>
      </c>
      <c r="H105" s="196" t="s">
        <v>147</v>
      </c>
      <c r="I105" s="196"/>
      <c r="J105" s="454">
        <v>12677.484071828143</v>
      </c>
      <c r="K105" s="289"/>
      <c r="L105" s="341">
        <v>12677.484071828143</v>
      </c>
      <c r="M105" s="341">
        <v>13902.939247507025</v>
      </c>
      <c r="N105" s="341">
        <v>14232.271001580539</v>
      </c>
      <c r="O105" s="341">
        <v>14529.948707308207</v>
      </c>
      <c r="P105" s="341">
        <v>14860.027591909144</v>
      </c>
    </row>
    <row r="106" spans="3:16" s="293" customFormat="1" x14ac:dyDescent="0.25">
      <c r="C106" s="86"/>
      <c r="D106" s="98"/>
      <c r="E106" s="98"/>
      <c r="F106" s="99" t="s">
        <v>1020</v>
      </c>
      <c r="G106" s="196" t="s">
        <v>107</v>
      </c>
      <c r="H106" s="196" t="s">
        <v>147</v>
      </c>
      <c r="I106" s="196"/>
      <c r="J106" s="454">
        <v>35950.840735487596</v>
      </c>
      <c r="K106" s="289"/>
      <c r="L106" s="341">
        <v>35950.840735487596</v>
      </c>
      <c r="M106" s="341">
        <v>39484.578757823765</v>
      </c>
      <c r="N106" s="341">
        <v>40436.523679353268</v>
      </c>
      <c r="O106" s="341">
        <v>41297.964796001193</v>
      </c>
      <c r="P106" s="341">
        <v>42252.371653559014</v>
      </c>
    </row>
    <row r="107" spans="3:16" s="293" customFormat="1" x14ac:dyDescent="0.25">
      <c r="C107" s="86"/>
      <c r="D107" s="98"/>
      <c r="E107" s="98"/>
      <c r="F107" s="99" t="s">
        <v>1021</v>
      </c>
      <c r="G107" s="196" t="s">
        <v>107</v>
      </c>
      <c r="H107" s="196" t="s">
        <v>147</v>
      </c>
      <c r="I107" s="196"/>
      <c r="J107" s="454">
        <v>65534.731766289646</v>
      </c>
      <c r="K107" s="289"/>
      <c r="L107" s="341">
        <v>65534.731766289646</v>
      </c>
      <c r="M107" s="341">
        <v>72002.600028657194</v>
      </c>
      <c r="N107" s="341">
        <v>73745.967350887964</v>
      </c>
      <c r="O107" s="341">
        <v>75324.056911851963</v>
      </c>
      <c r="P107" s="341">
        <v>77072.128436107683</v>
      </c>
    </row>
    <row r="108" spans="3:16" s="293" customFormat="1" x14ac:dyDescent="0.25">
      <c r="C108" s="86"/>
      <c r="D108" s="98"/>
      <c r="E108" s="98"/>
      <c r="F108" s="99" t="s">
        <v>1022</v>
      </c>
      <c r="G108" s="196" t="s">
        <v>107</v>
      </c>
      <c r="H108" s="196" t="s">
        <v>147</v>
      </c>
      <c r="I108" s="196"/>
      <c r="J108" s="454">
        <v>171287.73097659144</v>
      </c>
      <c r="K108" s="289"/>
      <c r="L108" s="341">
        <v>171287.73097659144</v>
      </c>
      <c r="M108" s="341">
        <v>188244.29692925213</v>
      </c>
      <c r="N108" s="341">
        <v>192816.73021234188</v>
      </c>
      <c r="O108" s="341">
        <v>196956.5343157473</v>
      </c>
      <c r="P108" s="341">
        <v>201541.65893478546</v>
      </c>
    </row>
    <row r="109" spans="3:16" s="293" customFormat="1" x14ac:dyDescent="0.25">
      <c r="C109" s="86"/>
      <c r="D109" s="98"/>
      <c r="E109" s="98"/>
      <c r="F109" s="99" t="s">
        <v>933</v>
      </c>
      <c r="G109" s="196" t="s">
        <v>107</v>
      </c>
      <c r="H109" s="196" t="s">
        <v>147</v>
      </c>
      <c r="I109" s="196"/>
      <c r="J109" s="454">
        <v>47.83164032361686</v>
      </c>
      <c r="K109" s="289"/>
      <c r="L109" s="341">
        <v>47.83164032361686</v>
      </c>
      <c r="M109" s="341">
        <v>51.714916743191935</v>
      </c>
      <c r="N109" s="341">
        <v>52.974648942449853</v>
      </c>
      <c r="O109" s="341">
        <v>54.168935618291925</v>
      </c>
      <c r="P109" s="341">
        <v>55.547774689025594</v>
      </c>
    </row>
    <row r="110" spans="3:16" s="293" customFormat="1" x14ac:dyDescent="0.25">
      <c r="C110" s="86"/>
      <c r="D110" s="98"/>
      <c r="E110" s="98"/>
      <c r="F110" s="99" t="s">
        <v>934</v>
      </c>
      <c r="G110" s="196" t="s">
        <v>107</v>
      </c>
      <c r="H110" s="196" t="s">
        <v>147</v>
      </c>
      <c r="I110" s="196"/>
      <c r="J110" s="454">
        <v>-111.30989952685417</v>
      </c>
      <c r="K110" s="289"/>
      <c r="L110" s="341">
        <v>-111.30989952685417</v>
      </c>
      <c r="M110" s="341">
        <v>-113.17980024115475</v>
      </c>
      <c r="N110" s="341">
        <v>-113.62630018966247</v>
      </c>
      <c r="O110" s="341">
        <v>-113.95189737327415</v>
      </c>
      <c r="P110" s="341">
        <v>-114.03811857321085</v>
      </c>
    </row>
    <row r="111" spans="3:16" s="293" customFormat="1" x14ac:dyDescent="0.25">
      <c r="C111" s="86"/>
      <c r="D111" s="98"/>
      <c r="E111" s="98"/>
      <c r="F111" s="99" t="s">
        <v>935</v>
      </c>
      <c r="G111" s="196" t="s">
        <v>107</v>
      </c>
      <c r="H111" s="196" t="s">
        <v>147</v>
      </c>
      <c r="I111" s="196"/>
      <c r="J111" s="454">
        <v>-41.645453750030164</v>
      </c>
      <c r="K111" s="289"/>
      <c r="L111" s="341">
        <v>-41.645453750030164</v>
      </c>
      <c r="M111" s="341">
        <v>-42.287591833026461</v>
      </c>
      <c r="N111" s="341">
        <v>-42.438551429049284</v>
      </c>
      <c r="O111" s="341">
        <v>-42.573255176451568</v>
      </c>
      <c r="P111" s="341">
        <v>-42.599967428601353</v>
      </c>
    </row>
    <row r="112" spans="3:16" s="293" customFormat="1" x14ac:dyDescent="0.25">
      <c r="C112" s="86"/>
      <c r="D112" s="98"/>
      <c r="E112" s="98"/>
      <c r="F112" s="99" t="s">
        <v>936</v>
      </c>
      <c r="G112" s="196" t="s">
        <v>107</v>
      </c>
      <c r="H112" s="196" t="s">
        <v>147</v>
      </c>
      <c r="I112" s="196"/>
      <c r="J112" s="454">
        <v>-946.53207514682549</v>
      </c>
      <c r="K112" s="289"/>
      <c r="L112" s="341">
        <v>-946.53207514682549</v>
      </c>
      <c r="M112" s="341">
        <v>-961.3015871031746</v>
      </c>
      <c r="N112" s="341">
        <v>-965.29792668253958</v>
      </c>
      <c r="O112" s="341">
        <v>-968.13697382936516</v>
      </c>
      <c r="P112" s="341">
        <v>-968.6832941904762</v>
      </c>
    </row>
    <row r="113" spans="2:18" s="293" customFormat="1" x14ac:dyDescent="0.25">
      <c r="C113" s="86"/>
      <c r="D113" s="98"/>
      <c r="E113" s="98"/>
      <c r="F113" s="99" t="s">
        <v>937</v>
      </c>
      <c r="G113" s="196" t="s">
        <v>107</v>
      </c>
      <c r="H113" s="196" t="s">
        <v>147</v>
      </c>
      <c r="I113" s="196"/>
      <c r="J113" s="239">
        <v>0</v>
      </c>
      <c r="K113" s="289"/>
      <c r="L113" s="520">
        <v>0</v>
      </c>
      <c r="M113" s="520">
        <v>0</v>
      </c>
      <c r="N113" s="520">
        <v>0</v>
      </c>
      <c r="O113" s="520">
        <v>0</v>
      </c>
      <c r="P113" s="520">
        <v>0</v>
      </c>
    </row>
    <row r="114" spans="2:18" s="293" customFormat="1" x14ac:dyDescent="0.25">
      <c r="C114" s="86"/>
      <c r="D114" s="98"/>
      <c r="E114" s="98"/>
      <c r="F114" s="99" t="s">
        <v>938</v>
      </c>
      <c r="G114" s="196" t="s">
        <v>107</v>
      </c>
      <c r="H114" s="196" t="s">
        <v>147</v>
      </c>
      <c r="I114" s="196"/>
      <c r="J114" s="514">
        <v>0</v>
      </c>
      <c r="K114" s="289"/>
      <c r="L114" s="341">
        <v>0</v>
      </c>
      <c r="M114" s="341">
        <v>0</v>
      </c>
      <c r="N114" s="341">
        <v>0</v>
      </c>
      <c r="O114" s="341">
        <v>0</v>
      </c>
      <c r="P114" s="341">
        <v>0</v>
      </c>
    </row>
    <row r="115" spans="2:18" s="293" customFormat="1" x14ac:dyDescent="0.25">
      <c r="C115" s="86"/>
      <c r="D115" s="98"/>
      <c r="E115" s="98"/>
      <c r="F115" s="99" t="s">
        <v>939</v>
      </c>
      <c r="G115" s="196" t="s">
        <v>107</v>
      </c>
      <c r="H115" s="196" t="s">
        <v>147</v>
      </c>
      <c r="I115" s="196"/>
      <c r="J115" s="239">
        <v>0</v>
      </c>
      <c r="K115" s="289"/>
      <c r="L115" s="520">
        <v>0</v>
      </c>
      <c r="M115" s="520">
        <v>0</v>
      </c>
      <c r="N115" s="520">
        <v>0</v>
      </c>
      <c r="O115" s="520">
        <v>0</v>
      </c>
      <c r="P115" s="520">
        <v>0</v>
      </c>
    </row>
    <row r="116" spans="2:18" s="293" customFormat="1" x14ac:dyDescent="0.25">
      <c r="C116" s="86"/>
      <c r="D116" s="98"/>
      <c r="E116" s="98"/>
      <c r="F116" s="99" t="s">
        <v>940</v>
      </c>
      <c r="G116" s="196" t="s">
        <v>107</v>
      </c>
      <c r="H116" s="196" t="s">
        <v>147</v>
      </c>
      <c r="I116" s="196"/>
      <c r="J116" s="454">
        <v>-1026.2392049999999</v>
      </c>
      <c r="K116" s="289"/>
      <c r="L116" s="341">
        <v>-1026.2392049999999</v>
      </c>
      <c r="M116" s="341">
        <v>-1040.0132880000001</v>
      </c>
      <c r="N116" s="341">
        <v>-1044.0894090000002</v>
      </c>
      <c r="O116" s="341">
        <v>-1047.403239</v>
      </c>
      <c r="P116" s="341">
        <v>-1047.657336</v>
      </c>
    </row>
    <row r="117" spans="2:18" x14ac:dyDescent="0.25">
      <c r="C117" s="86"/>
      <c r="F117" s="100" t="s">
        <v>941</v>
      </c>
      <c r="G117" s="93" t="s">
        <v>107</v>
      </c>
      <c r="H117" s="93" t="s">
        <v>147</v>
      </c>
      <c r="I117" s="93"/>
      <c r="J117" s="240">
        <v>0</v>
      </c>
      <c r="K117" s="291"/>
      <c r="L117" s="344">
        <v>0</v>
      </c>
      <c r="M117" s="344">
        <v>0</v>
      </c>
      <c r="N117" s="344">
        <v>0</v>
      </c>
      <c r="O117" s="344">
        <v>0</v>
      </c>
      <c r="P117" s="344">
        <v>0</v>
      </c>
    </row>
    <row r="118" spans="2:18" x14ac:dyDescent="0.25">
      <c r="D118" s="85"/>
      <c r="E118" s="85"/>
    </row>
    <row r="119" spans="2:18" x14ac:dyDescent="0.25">
      <c r="B119" s="95" t="s">
        <v>109</v>
      </c>
      <c r="C119" s="95"/>
      <c r="D119" s="95"/>
      <c r="E119" s="95"/>
      <c r="F119" s="95"/>
      <c r="G119" s="95"/>
      <c r="H119" s="95"/>
      <c r="I119" s="95"/>
      <c r="J119" s="95"/>
      <c r="K119" s="95"/>
      <c r="L119" s="95"/>
      <c r="M119" s="95"/>
      <c r="N119" s="71"/>
      <c r="O119" s="71"/>
      <c r="P119" s="71"/>
      <c r="Q119" s="71"/>
      <c r="R119" s="71"/>
    </row>
    <row r="121" spans="2:18" x14ac:dyDescent="0.25">
      <c r="D121" s="85"/>
      <c r="E121" s="85" t="s">
        <v>415</v>
      </c>
      <c r="G121" s="60" t="s">
        <v>588</v>
      </c>
      <c r="H121" s="310">
        <f t="array" ref="H121">SUM(IF(ISERROR($I$17:$Q$118), 1))</f>
        <v>0</v>
      </c>
    </row>
    <row r="123" spans="2:18" x14ac:dyDescent="0.25">
      <c r="B123" s="95" t="s">
        <v>110</v>
      </c>
      <c r="C123" s="95"/>
      <c r="D123" s="95"/>
      <c r="E123" s="95"/>
      <c r="F123" s="95"/>
      <c r="G123" s="95"/>
      <c r="H123" s="95"/>
      <c r="I123" s="95"/>
      <c r="J123" s="95"/>
      <c r="K123" s="95"/>
      <c r="L123" s="95"/>
      <c r="M123" s="95"/>
      <c r="N123" s="71"/>
      <c r="O123" s="71"/>
      <c r="P123" s="71"/>
      <c r="Q123" s="71"/>
      <c r="R123" s="71"/>
    </row>
  </sheetData>
  <sheetProtection sheet="1" objects="1" formatCells="0" formatColumns="0" formatRows="0" sort="0" autoFilter="0"/>
  <conditionalFormatting sqref="A4:XFD4">
    <cfRule type="expression" dxfId="1" priority="2">
      <formula>LEFT($A$4,1) &lt;&gt; "0"</formula>
    </cfRule>
  </conditionalFormatting>
  <conditionalFormatting sqref="H121">
    <cfRule type="cellIs" dxfId="0" priority="1" operator="greaterThan">
      <formula>0</formula>
    </cfRule>
  </conditionalFormatting>
  <hyperlinks>
    <hyperlink ref="B5:F5" location="'Model map'!A1" display="Click here to return to model map" xr:uid="{00000000-0004-0000-2300-000000000000}"/>
  </hyperlinks>
  <pageMargins left="0.7" right="0.7" top="0.75" bottom="0.75" header="0.3" footer="0.3"/>
  <pageSetup paperSize="9" scale="32" fitToHeight="0" orientation="portrait" r:id="rId1"/>
  <headerFooter>
    <oddHeader>&amp;L&amp;A&amp;C&amp;R&amp;P of &amp;N</oddHeader>
    <oddFooter>&amp;F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tabColor theme="6" tint="0.39997558519241921"/>
  </sheetPr>
  <dimension ref="A1:U2000"/>
  <sheetViews>
    <sheetView showGridLines="0" zoomScale="80" zoomScaleNormal="80" workbookViewId="0">
      <pane ySplit="3" topLeftCell="A4" activePane="bottomLeft" state="frozen"/>
      <selection pane="bottomLeft" activeCell="G1" sqref="G1"/>
    </sheetView>
  </sheetViews>
  <sheetFormatPr defaultColWidth="0" defaultRowHeight="15" x14ac:dyDescent="0.25"/>
  <cols>
    <col min="1" max="5" width="2.5703125" style="85" customWidth="1"/>
    <col min="6" max="6" width="26.140625" style="85" bestFit="1" customWidth="1"/>
    <col min="7" max="7" width="115.5703125" style="85" bestFit="1" customWidth="1"/>
    <col min="8" max="8" width="2.5703125" style="85" customWidth="1"/>
    <col min="9" max="9" width="59.5703125" style="85" hidden="1" customWidth="1"/>
    <col min="10" max="20" width="15.42578125" style="85" hidden="1" customWidth="1"/>
    <col min="21" max="21" width="2.5703125" style="85" hidden="1" customWidth="1"/>
    <col min="22" max="16384" width="9.140625" style="85" hidden="1"/>
  </cols>
  <sheetData>
    <row r="1" spans="1:7" s="10" customFormat="1" x14ac:dyDescent="0.25">
      <c r="A1" s="10" t="str">
        <f ca="1">MID(CELL("filename",A1),FIND("]",CELL("filename",A1))+1,255)</f>
        <v>Index</v>
      </c>
    </row>
    <row r="2" spans="1:7" s="10" customFormat="1" x14ac:dyDescent="0.25">
      <c r="A2" s="10" t="str">
        <f>Cover!D21&amp;" - "&amp;Cover!D23</f>
        <v>Southern Electric Power Distribution plc - Final</v>
      </c>
    </row>
    <row r="3" spans="1:7" s="46" customFormat="1" x14ac:dyDescent="0.25">
      <c r="A3" s="46" t="str">
        <f>Cover!D2&amp;" - "&amp;Cover!D8&amp;" v"&amp;Cover!D10&amp;" - "&amp;Cover!D19</f>
        <v>ARP model - Release for charge setting v7 - 2023/24</v>
      </c>
    </row>
    <row r="4" spans="1:7" customFormat="1" x14ac:dyDescent="0.25"/>
    <row r="5" spans="1:7" customFormat="1" x14ac:dyDescent="0.25">
      <c r="B5" s="95" t="s">
        <v>90</v>
      </c>
      <c r="C5" s="95"/>
      <c r="D5" s="95"/>
      <c r="E5" s="95"/>
      <c r="F5" s="95"/>
      <c r="G5" s="95"/>
    </row>
    <row r="6" spans="1:7" customFormat="1" x14ac:dyDescent="0.25"/>
    <row r="7" spans="1:7" customFormat="1" x14ac:dyDescent="0.25">
      <c r="C7" s="82" t="s">
        <v>646</v>
      </c>
    </row>
    <row r="8" spans="1:7" customFormat="1" x14ac:dyDescent="0.25">
      <c r="C8" s="82" t="s">
        <v>647</v>
      </c>
    </row>
    <row r="9" spans="1:7" customFormat="1" x14ac:dyDescent="0.25"/>
    <row r="10" spans="1:7" customFormat="1" x14ac:dyDescent="0.25">
      <c r="B10" s="95" t="s">
        <v>650</v>
      </c>
      <c r="C10" s="95"/>
      <c r="D10" s="95"/>
      <c r="E10" s="95"/>
      <c r="F10" s="95"/>
      <c r="G10" s="95"/>
    </row>
    <row r="11" spans="1:7" customFormat="1" x14ac:dyDescent="0.25"/>
    <row r="12" spans="1:7" customFormat="1" x14ac:dyDescent="0.25">
      <c r="C12" s="82" t="s">
        <v>597</v>
      </c>
    </row>
    <row r="13" spans="1:7" customFormat="1" x14ac:dyDescent="0.25"/>
    <row r="14" spans="1:7" customFormat="1" ht="15.75" thickBot="1" x14ac:dyDescent="0.3">
      <c r="F14" s="34" t="s">
        <v>598</v>
      </c>
      <c r="G14" s="202" t="s">
        <v>599</v>
      </c>
    </row>
    <row r="15" spans="1:7" customFormat="1" ht="16.5" thickTop="1" thickBot="1" x14ac:dyDescent="0.3">
      <c r="F15" s="204" t="s">
        <v>595</v>
      </c>
    </row>
    <row r="16" spans="1:7" customFormat="1" ht="15.75" thickTop="1" x14ac:dyDescent="0.25">
      <c r="F16" s="204" t="s">
        <v>601</v>
      </c>
      <c r="G16" s="205" t="str">
        <f>'Version control'!$B$5</f>
        <v>Model version</v>
      </c>
    </row>
    <row r="17" spans="6:7" customFormat="1" x14ac:dyDescent="0.25">
      <c r="F17" s="203" t="s">
        <v>600</v>
      </c>
      <c r="G17" s="205" t="str">
        <f>'Version control'!$B$17</f>
        <v>Version log</v>
      </c>
    </row>
    <row r="18" spans="6:7" customFormat="1" x14ac:dyDescent="0.25">
      <c r="F18" s="203" t="s">
        <v>600</v>
      </c>
      <c r="G18" s="205" t="str">
        <f>'Version control'!$B$32</f>
        <v>Model checks</v>
      </c>
    </row>
    <row r="19" spans="6:7" customFormat="1" ht="15.75" thickBot="1" x14ac:dyDescent="0.3">
      <c r="F19" s="203" t="s">
        <v>600</v>
      </c>
      <c r="G19" s="205" t="str">
        <f>'Version control'!$B$64</f>
        <v>Version log lists</v>
      </c>
    </row>
    <row r="20" spans="6:7" customFormat="1" ht="16.5" thickTop="1" thickBot="1" x14ac:dyDescent="0.3">
      <c r="F20" s="204" t="s">
        <v>430</v>
      </c>
      <c r="G20" s="205" t="str">
        <f>'Model map'!$B$5</f>
        <v>Model map</v>
      </c>
    </row>
    <row r="21" spans="6:7" customFormat="1" ht="16.5" thickTop="1" thickBot="1" x14ac:dyDescent="0.3">
      <c r="F21" s="204" t="s">
        <v>602</v>
      </c>
      <c r="G21" s="205" t="str">
        <f>'Named ranges'!$B$5</f>
        <v>List of named ranges</v>
      </c>
    </row>
    <row r="22" spans="6:7" customFormat="1" ht="16.5" thickTop="1" thickBot="1" x14ac:dyDescent="0.3">
      <c r="F22" s="204" t="s">
        <v>603</v>
      </c>
      <c r="G22" s="205" t="str">
        <f>'ARP_DNO commentary'!$B$9</f>
        <v>Commentary</v>
      </c>
    </row>
    <row r="23" spans="6:7" customFormat="1" ht="16.5" thickTop="1" thickBot="1" x14ac:dyDescent="0.3">
      <c r="F23" s="204" t="s">
        <v>604</v>
      </c>
      <c r="G23" s="205" t="str">
        <f>'ARP_CDCM timebands'!$B$12</f>
        <v>CDCM timebands</v>
      </c>
    </row>
    <row r="24" spans="6:7" customFormat="1" ht="15.75" thickTop="1" x14ac:dyDescent="0.25">
      <c r="F24" s="204" t="s">
        <v>605</v>
      </c>
      <c r="G24" s="205" t="str">
        <f>'ARP_Load characteristics'!$B$13</f>
        <v>Years</v>
      </c>
    </row>
    <row r="25" spans="6:7" customFormat="1" ht="15.75" thickBot="1" x14ac:dyDescent="0.3">
      <c r="F25" s="203" t="s">
        <v>600</v>
      </c>
      <c r="G25" s="205" t="str">
        <f>'ARP_Load characteristics'!$B$20</f>
        <v>Load characteristics</v>
      </c>
    </row>
    <row r="26" spans="6:7" customFormat="1" ht="15.75" thickTop="1" x14ac:dyDescent="0.25">
      <c r="F26" s="204" t="s">
        <v>606</v>
      </c>
      <c r="G26" s="205" t="str">
        <f>'ARP_Peaking probabilities'!$B$14</f>
        <v>Years</v>
      </c>
    </row>
    <row r="27" spans="6:7" customFormat="1" ht="15.75" thickBot="1" x14ac:dyDescent="0.3">
      <c r="F27" s="203" t="s">
        <v>600</v>
      </c>
      <c r="G27" s="205" t="str">
        <f>'ARP_Peaking probabilities'!$B$21</f>
        <v>Peaking probabilities, by distribution timeband</v>
      </c>
    </row>
    <row r="28" spans="6:7" customFormat="1" ht="15.75" thickTop="1" x14ac:dyDescent="0.25">
      <c r="F28" s="295" t="s">
        <v>596</v>
      </c>
      <c r="G28" s="205" t="str">
        <f>'ARP_User control'!$B$10</f>
        <v>User interface</v>
      </c>
    </row>
    <row r="29" spans="6:7" customFormat="1" ht="15.75" thickBot="1" x14ac:dyDescent="0.3">
      <c r="F29" s="294" t="s">
        <v>600</v>
      </c>
      <c r="G29" s="205" t="str">
        <f>'ARP_User control'!$B$25</f>
        <v>Lists</v>
      </c>
    </row>
    <row r="30" spans="6:7" customFormat="1" ht="15.75" thickTop="1" x14ac:dyDescent="0.25">
      <c r="F30" s="207" t="s">
        <v>607</v>
      </c>
      <c r="G30" s="205" t="str">
        <f>'ARP_Inputs by customer type'!$B$14</f>
        <v>Load characteristics</v>
      </c>
    </row>
    <row r="31" spans="6:7" customFormat="1" x14ac:dyDescent="0.25">
      <c r="F31" s="206" t="s">
        <v>600</v>
      </c>
      <c r="G31" s="205" t="str">
        <f>'ARP_Inputs by customer type'!$B$56</f>
        <v>Volumes</v>
      </c>
    </row>
    <row r="32" spans="6:7" customFormat="1" x14ac:dyDescent="0.25">
      <c r="F32" s="206" t="s">
        <v>600</v>
      </c>
      <c r="G32" s="205" t="str">
        <f>'ARP_Inputs by customer type'!$B$1998</f>
        <v>Non-Domestic Aggregated (Related MPAN) distribution by bands</v>
      </c>
    </row>
    <row r="33" spans="6:7" customFormat="1" ht="15.75" thickBot="1" x14ac:dyDescent="0.3">
      <c r="F33" s="206" t="s">
        <v>600</v>
      </c>
      <c r="G33" s="205" t="str">
        <f>'ARP_Inputs by customer type'!$B$2072</f>
        <v>Service model asset values</v>
      </c>
    </row>
    <row r="34" spans="6:7" customFormat="1" ht="16.5" thickTop="1" thickBot="1" x14ac:dyDescent="0.3">
      <c r="F34" s="207" t="s">
        <v>608</v>
      </c>
      <c r="G34" s="205" t="str">
        <f>'ARP_Inputs by network level'!$B$14</f>
        <v>Inputs by network level</v>
      </c>
    </row>
    <row r="35" spans="6:7" customFormat="1" ht="16.5" thickTop="1" thickBot="1" x14ac:dyDescent="0.3">
      <c r="F35" s="207" t="s">
        <v>609</v>
      </c>
      <c r="G35" s="205" t="str">
        <f>'ARP_General inputs'!$B$14</f>
        <v>General inputs</v>
      </c>
    </row>
    <row r="36" spans="6:7" customFormat="1" ht="16.5" thickTop="1" thickBot="1" x14ac:dyDescent="0.3">
      <c r="F36" s="207" t="s">
        <v>428</v>
      </c>
      <c r="G36" s="205" t="str">
        <f>'Fixed inputs'!$B$11</f>
        <v>Fixed inputs</v>
      </c>
    </row>
    <row r="37" spans="6:7" customFormat="1" ht="16.5" thickTop="1" thickBot="1" x14ac:dyDescent="0.3">
      <c r="F37" s="209" t="s">
        <v>445</v>
      </c>
      <c r="G37" s="205" t="str">
        <f>'Inputs by customer type'!$B$14</f>
        <v>Inputs by customer type</v>
      </c>
    </row>
    <row r="38" spans="6:7" customFormat="1" ht="16.5" thickTop="1" thickBot="1" x14ac:dyDescent="0.3">
      <c r="F38" s="209" t="s">
        <v>195</v>
      </c>
      <c r="G38" s="205" t="str">
        <f>'Inputs by network level'!$B$14</f>
        <v>Inputs by network level</v>
      </c>
    </row>
    <row r="39" spans="6:7" customFormat="1" ht="16.5" thickTop="1" thickBot="1" x14ac:dyDescent="0.3">
      <c r="F39" s="209" t="s">
        <v>552</v>
      </c>
      <c r="G39" s="205" t="str">
        <f>'General inputs'!$B$14</f>
        <v>General inputs</v>
      </c>
    </row>
    <row r="40" spans="6:7" customFormat="1" ht="16.5" thickTop="1" thickBot="1" x14ac:dyDescent="0.3">
      <c r="F40" s="209" t="s">
        <v>263</v>
      </c>
      <c r="G40" s="205" t="str">
        <f>'Standing charge factors'!$B$17</f>
        <v>Adjustments to standing charges</v>
      </c>
    </row>
    <row r="41" spans="6:7" customFormat="1" ht="15.75" thickTop="1" x14ac:dyDescent="0.25">
      <c r="F41" s="209" t="s">
        <v>432</v>
      </c>
      <c r="G41" s="205" t="str">
        <f>'Load &amp; loss characteristics'!$B$13</f>
        <v>Load and loss characteristics</v>
      </c>
    </row>
    <row r="42" spans="6:7" customFormat="1" ht="15.75" thickBot="1" x14ac:dyDescent="0.3">
      <c r="F42" s="208" t="s">
        <v>600</v>
      </c>
      <c r="G42" s="205" t="str">
        <f>'Load &amp; loss characteristics'!$B$31</f>
        <v>User loss factor adjustments</v>
      </c>
    </row>
    <row r="43" spans="6:7" customFormat="1" ht="16.5" thickTop="1" thickBot="1" x14ac:dyDescent="0.3">
      <c r="F43" s="209" t="s">
        <v>232</v>
      </c>
      <c r="G43" s="205" t="str">
        <f>'Customer contributions'!$B$12</f>
        <v>Customer contributions</v>
      </c>
    </row>
    <row r="44" spans="6:7" customFormat="1" ht="15.75" thickTop="1" x14ac:dyDescent="0.25">
      <c r="F44" s="209" t="s">
        <v>233</v>
      </c>
      <c r="G44" s="205" t="str">
        <f>'Volume adjustments'!$B$13</f>
        <v>LDNO discounts</v>
      </c>
    </row>
    <row r="45" spans="6:7" customFormat="1" x14ac:dyDescent="0.25">
      <c r="F45" s="208" t="s">
        <v>600</v>
      </c>
      <c r="G45" s="205" t="str">
        <f>'Volume adjustments'!$B$51</f>
        <v>Volume discounting</v>
      </c>
    </row>
    <row r="46" spans="6:7" customFormat="1" ht="15.75" thickBot="1" x14ac:dyDescent="0.3">
      <c r="F46" s="208" t="s">
        <v>600</v>
      </c>
      <c r="G46" s="205" t="str">
        <f>'Volume adjustments'!$B$310</f>
        <v>Volume discounting for revenue matching</v>
      </c>
    </row>
    <row r="47" spans="6:7" customFormat="1" ht="15.75" thickTop="1" x14ac:dyDescent="0.25">
      <c r="F47" s="209" t="s">
        <v>224</v>
      </c>
      <c r="G47" s="205" t="str">
        <f>'Pseudo-load coefficients'!$B$13</f>
        <v>Step 1: Ratio of coincidence to load factor assuming units evenly spread within time bands, and peak falls in Red period</v>
      </c>
    </row>
    <row r="48" spans="6:7" customFormat="1" x14ac:dyDescent="0.25">
      <c r="F48" s="208" t="s">
        <v>600</v>
      </c>
      <c r="G48" s="205" t="str">
        <f>'Pseudo-load coefficients'!$B$56</f>
        <v>Step 2: Calculate correction factor</v>
      </c>
    </row>
    <row r="49" spans="6:7" customFormat="1" x14ac:dyDescent="0.25">
      <c r="F49" s="208" t="s">
        <v>600</v>
      </c>
      <c r="G49" s="205" t="str">
        <f>'Pseudo-load coefficients'!$B$95</f>
        <v>Step 3: Ratio of coincidence factor (to network asset peak) to load factor, given peaking probabilities, multiplied by correction factor</v>
      </c>
    </row>
    <row r="50" spans="6:7" customFormat="1" ht="15.75" thickBot="1" x14ac:dyDescent="0.3">
      <c r="F50" s="208" t="s">
        <v>600</v>
      </c>
      <c r="G50" s="205" t="str">
        <f>'Pseudo-load coefficients'!$B$261</f>
        <v>Step 4: Results of Step 3</v>
      </c>
    </row>
    <row r="51" spans="6:7" customFormat="1" ht="15.75" thickTop="1" x14ac:dyDescent="0.25">
      <c r="F51" s="209" t="s">
        <v>433</v>
      </c>
      <c r="G51" s="205" t="str">
        <f>'System peak demand'!$B$16</f>
        <v>Common inputs for chargeable load calculations</v>
      </c>
    </row>
    <row r="52" spans="6:7" customFormat="1" x14ac:dyDescent="0.25">
      <c r="F52" s="208" t="s">
        <v>600</v>
      </c>
      <c r="G52" s="205" t="str">
        <f>'System peak demand'!$B$63</f>
        <v>Load at system peak charged to unit rates</v>
      </c>
    </row>
    <row r="53" spans="6:7" customFormat="1" x14ac:dyDescent="0.25">
      <c r="F53" s="208" t="s">
        <v>600</v>
      </c>
      <c r="G53" s="205" t="str">
        <f>'System peak demand'!$B$179</f>
        <v>Load at system peak charged to standing charges</v>
      </c>
    </row>
    <row r="54" spans="6:7" customFormat="1" ht="15.75" thickBot="1" x14ac:dyDescent="0.3">
      <c r="F54" s="208" t="s">
        <v>600</v>
      </c>
      <c r="G54" s="205" t="str">
        <f>'System peak demand'!$B$262</f>
        <v>System peak based on chargeable load</v>
      </c>
    </row>
    <row r="55" spans="6:7" customFormat="1" ht="16.5" thickTop="1" thickBot="1" x14ac:dyDescent="0.3">
      <c r="F55" s="209" t="s">
        <v>225</v>
      </c>
      <c r="G55" s="205" t="str">
        <f>'Service model assets'!$B$12</f>
        <v>Service model notional asset values</v>
      </c>
    </row>
    <row r="56" spans="6:7" customFormat="1" ht="15.75" thickTop="1" x14ac:dyDescent="0.25">
      <c r="F56" s="209" t="s">
        <v>294</v>
      </c>
      <c r="G56" s="205" t="str">
        <f>'Unit costs'!$B$15</f>
        <v>500MW model costs</v>
      </c>
    </row>
    <row r="57" spans="6:7" customFormat="1" x14ac:dyDescent="0.25">
      <c r="F57" s="208" t="s">
        <v>600</v>
      </c>
      <c r="G57" s="205" t="str">
        <f>'Unit costs'!$B$58</f>
        <v>Allocation of other costs</v>
      </c>
    </row>
    <row r="58" spans="6:7" customFormat="1" ht="15.75" thickBot="1" x14ac:dyDescent="0.3">
      <c r="F58" s="208" t="s">
        <v>600</v>
      </c>
      <c r="G58" s="205" t="str">
        <f>'Unit costs'!$B$102</f>
        <v>Outputs</v>
      </c>
    </row>
    <row r="59" spans="6:7" customFormat="1" ht="15.75" thickTop="1" x14ac:dyDescent="0.25">
      <c r="F59" s="209" t="s">
        <v>234</v>
      </c>
      <c r="G59" s="205" t="str">
        <f>'Initial unit rates'!$B$11</f>
        <v>Inputs for yardstick and unit rate calculations</v>
      </c>
    </row>
    <row r="60" spans="6:7" customFormat="1" ht="15.75" thickBot="1" x14ac:dyDescent="0.3">
      <c r="F60" s="208" t="s">
        <v>600</v>
      </c>
      <c r="G60" s="205" t="str">
        <f>'Initial unit rates'!$B$116</f>
        <v>Calculation of yardstick &amp; unit rate charges</v>
      </c>
    </row>
    <row r="61" spans="6:7" customFormat="1" ht="15.75" thickTop="1" x14ac:dyDescent="0.25">
      <c r="F61" s="209" t="s">
        <v>434</v>
      </c>
      <c r="G61" s="205" t="str">
        <f>'Service model charges'!$B$13</f>
        <v>Inputs to service model charge calculation</v>
      </c>
    </row>
    <row r="62" spans="6:7" customFormat="1" ht="15.75" thickBot="1" x14ac:dyDescent="0.3">
      <c r="F62" s="208" t="s">
        <v>600</v>
      </c>
      <c r="G62" s="205" t="str">
        <f>'Service model charges'!$B$29</f>
        <v>Allocation of service model costs</v>
      </c>
    </row>
    <row r="63" spans="6:7" customFormat="1" ht="15.75" thickTop="1" x14ac:dyDescent="0.25">
      <c r="F63" s="209" t="s">
        <v>435</v>
      </c>
      <c r="G63" s="205" t="str">
        <f>'Unit rate charges'!$B$15</f>
        <v>Inputs to unit rate charge calculations</v>
      </c>
    </row>
    <row r="64" spans="6:7" customFormat="1" ht="15.75" thickBot="1" x14ac:dyDescent="0.3">
      <c r="F64" s="208" t="s">
        <v>600</v>
      </c>
      <c r="G64" s="205" t="str">
        <f>'Unit rate charges'!$B$122</f>
        <v>Application of standing charges to unit rates</v>
      </c>
    </row>
    <row r="65" spans="6:7" customFormat="1" ht="15.75" thickTop="1" x14ac:dyDescent="0.25">
      <c r="F65" s="209" t="s">
        <v>236</v>
      </c>
      <c r="G65" s="205" t="str">
        <f>'Capacity charges'!$B$17</f>
        <v>Inputs to capacity charge calculations</v>
      </c>
    </row>
    <row r="66" spans="6:7" customFormat="1" x14ac:dyDescent="0.25">
      <c r="F66" s="208" t="s">
        <v>600</v>
      </c>
      <c r="G66" s="205" t="str">
        <f>'Capacity charges'!$B$125</f>
        <v>Calculation of capacity charges</v>
      </c>
    </row>
    <row r="67" spans="6:7" customFormat="1" ht="15.75" thickBot="1" x14ac:dyDescent="0.3">
      <c r="F67" s="208" t="s">
        <v>600</v>
      </c>
      <c r="G67" s="205" t="str">
        <f>'Capacity charges'!$B$249</f>
        <v>Capacity charges (and elements allocated to fixed charges)</v>
      </c>
    </row>
    <row r="68" spans="6:7" customFormat="1" ht="15.75" thickTop="1" x14ac:dyDescent="0.25">
      <c r="F68" s="209" t="s">
        <v>394</v>
      </c>
      <c r="G68" s="205" t="str">
        <f>'Reactive power charges'!$B$13</f>
        <v>Inputs to reactive power charge calculations</v>
      </c>
    </row>
    <row r="69" spans="6:7" customFormat="1" x14ac:dyDescent="0.25">
      <c r="F69" s="208" t="s">
        <v>600</v>
      </c>
      <c r="G69" s="205" t="str">
        <f>'Reactive power charges'!$B$150</f>
        <v>Calculation of yardstick charges for generation</v>
      </c>
    </row>
    <row r="70" spans="6:7" customFormat="1" ht="15.75" thickBot="1" x14ac:dyDescent="0.3">
      <c r="F70" s="208" t="s">
        <v>600</v>
      </c>
      <c r="G70" s="205" t="str">
        <f>'Reactive power charges'!$B$185</f>
        <v>Calculation of reactive power charges</v>
      </c>
    </row>
    <row r="71" spans="6:7" customFormat="1" ht="15.75" thickTop="1" x14ac:dyDescent="0.25">
      <c r="F71" s="209" t="s">
        <v>237</v>
      </c>
      <c r="G71" s="205" t="str">
        <f>'Fixed charges'!$B$14</f>
        <v>Inputs to fixed charge calculations</v>
      </c>
    </row>
    <row r="72" spans="6:7" customFormat="1" ht="15.75" thickBot="1" x14ac:dyDescent="0.3">
      <c r="F72" s="208" t="s">
        <v>600</v>
      </c>
      <c r="G72" s="205" t="str">
        <f>'Fixed charges'!$B$65</f>
        <v>Calculation of fixed charges</v>
      </c>
    </row>
    <row r="73" spans="6:7" customFormat="1" ht="16.5" thickTop="1" thickBot="1" x14ac:dyDescent="0.3">
      <c r="F73" s="209" t="s">
        <v>1246</v>
      </c>
      <c r="G73" s="205" t="str">
        <f>'SoLR &amp; bad debt adders'!$B$12</f>
        <v>Fixed tariff adjustments</v>
      </c>
    </row>
    <row r="74" spans="6:7" customFormat="1" ht="15.75" thickTop="1" x14ac:dyDescent="0.25">
      <c r="F74" s="209" t="s">
        <v>238</v>
      </c>
      <c r="G74" s="205" t="str">
        <f>'Revenue matching'!$B$13</f>
        <v>Pre-matching net revenue calculations</v>
      </c>
    </row>
    <row r="75" spans="6:7" customFormat="1" x14ac:dyDescent="0.25">
      <c r="F75" s="208" t="s">
        <v>600</v>
      </c>
      <c r="G75" s="205" t="str">
        <f>'Revenue matching'!$B$87</f>
        <v>Residual charge calculation</v>
      </c>
    </row>
    <row r="76" spans="6:7" customFormat="1" x14ac:dyDescent="0.25">
      <c r="F76" s="208" t="s">
        <v>600</v>
      </c>
      <c r="G76" s="205" t="str">
        <f>'Revenue matching'!$B$210</f>
        <v>Adjustments for negative fixed charges</v>
      </c>
    </row>
    <row r="77" spans="6:7" customFormat="1" ht="15.75" thickBot="1" x14ac:dyDescent="0.3">
      <c r="F77" s="208" t="s">
        <v>600</v>
      </c>
      <c r="G77" s="205" t="str">
        <f>'Revenue matching'!$B$408</f>
        <v>Final adders</v>
      </c>
    </row>
    <row r="78" spans="6:7" customFormat="1" ht="15.75" thickTop="1" x14ac:dyDescent="0.25">
      <c r="F78" s="209" t="s">
        <v>185</v>
      </c>
      <c r="G78" s="205" t="str">
        <f>Rounding!$B$12</f>
        <v>Inputs</v>
      </c>
    </row>
    <row r="79" spans="6:7" customFormat="1" ht="15.75" thickBot="1" x14ac:dyDescent="0.3">
      <c r="F79" s="208" t="s">
        <v>600</v>
      </c>
      <c r="G79" s="205" t="str">
        <f>Rounding!$B$103</f>
        <v>Rounding of tariff forecast</v>
      </c>
    </row>
    <row r="80" spans="6:7" customFormat="1" ht="15.75" thickTop="1" x14ac:dyDescent="0.25">
      <c r="F80" s="209" t="s">
        <v>553</v>
      </c>
      <c r="G80" s="205" t="str">
        <f>'Net revenue summary'!$B$11</f>
        <v>Inputs to net revenue summary calculation</v>
      </c>
    </row>
    <row r="81" spans="2:7" customFormat="1" ht="15.75" thickBot="1" x14ac:dyDescent="0.3">
      <c r="F81" s="208" t="s">
        <v>600</v>
      </c>
      <c r="G81" s="205" t="str">
        <f>'Net revenue summary'!$B$90</f>
        <v>Typical bills</v>
      </c>
    </row>
    <row r="82" spans="2:7" customFormat="1" ht="16.5" thickTop="1" thickBot="1" x14ac:dyDescent="0.3">
      <c r="F82" s="211" t="s">
        <v>436</v>
      </c>
      <c r="G82" s="205" t="str">
        <f>'Tariff summary'!$B$13</f>
        <v>Tariff summary</v>
      </c>
    </row>
    <row r="83" spans="2:7" customFormat="1" ht="15.75" thickTop="1" x14ac:dyDescent="0.25">
      <c r="F83" s="211" t="s">
        <v>483</v>
      </c>
      <c r="G83" s="205" t="str">
        <f>'Typical bills'!$B$13</f>
        <v>Typical bills</v>
      </c>
    </row>
    <row r="84" spans="2:7" customFormat="1" x14ac:dyDescent="0.25"/>
    <row r="85" spans="2:7" customFormat="1" x14ac:dyDescent="0.25">
      <c r="B85" s="95" t="s">
        <v>649</v>
      </c>
      <c r="C85" s="95"/>
      <c r="D85" s="95"/>
      <c r="E85" s="95"/>
      <c r="F85" s="95"/>
      <c r="G85" s="95"/>
    </row>
    <row r="86" spans="2:7" customFormat="1" x14ac:dyDescent="0.25"/>
    <row r="87" spans="2:7" customFormat="1" x14ac:dyDescent="0.25">
      <c r="C87" s="82" t="s">
        <v>648</v>
      </c>
    </row>
    <row r="88" spans="2:7" customFormat="1" x14ac:dyDescent="0.25"/>
    <row r="89" spans="2:7" customFormat="1" ht="15.75" thickBot="1" x14ac:dyDescent="0.3">
      <c r="F89" s="34" t="s">
        <v>598</v>
      </c>
      <c r="G89" s="202" t="s">
        <v>599</v>
      </c>
    </row>
    <row r="90" spans="2:7" customFormat="1" ht="15.75" thickTop="1" x14ac:dyDescent="0.25">
      <c r="F90" s="204" t="s">
        <v>604</v>
      </c>
      <c r="G90" s="205" t="str">
        <f>'ARP_CDCM timebands'!$C$14</f>
        <v>Distribution time bands</v>
      </c>
    </row>
    <row r="91" spans="2:7" customFormat="1" ht="15.75" thickBot="1" x14ac:dyDescent="0.3">
      <c r="F91" s="203" t="s">
        <v>600</v>
      </c>
      <c r="G91" s="205" t="str">
        <f>'ARP_CDCM timebands'!$C$26</f>
        <v>Special distribution time bands</v>
      </c>
    </row>
    <row r="92" spans="2:7" customFormat="1" ht="15.75" thickTop="1" x14ac:dyDescent="0.25">
      <c r="F92" s="295" t="s">
        <v>596</v>
      </c>
      <c r="G92" s="205" t="str">
        <f>'ARP_User control'!$C$15</f>
        <v>Inputs for manually running selected year</v>
      </c>
    </row>
    <row r="93" spans="2:7" customFormat="1" ht="15.75" thickBot="1" x14ac:dyDescent="0.3">
      <c r="F93" s="294" t="s">
        <v>600</v>
      </c>
      <c r="G93" s="205" t="str">
        <f>'ARP_User control'!$C$19</f>
        <v>Macro to run all years</v>
      </c>
    </row>
    <row r="94" spans="2:7" customFormat="1" ht="15.75" thickTop="1" x14ac:dyDescent="0.25">
      <c r="F94" s="207" t="s">
        <v>607</v>
      </c>
      <c r="G94" s="205" t="str">
        <f ca="1">'ARP_Inputs by customer type'!$C$16</f>
        <v>Input 501-A: Load factor</v>
      </c>
    </row>
    <row r="95" spans="2:7" customFormat="1" x14ac:dyDescent="0.25">
      <c r="F95" s="206" t="s">
        <v>600</v>
      </c>
      <c r="G95" s="205" t="str">
        <f ca="1">'ARP_Inputs by customer type'!$C$36</f>
        <v>Input 501-B: Coincidence factor</v>
      </c>
    </row>
    <row r="96" spans="2:7" customFormat="1" x14ac:dyDescent="0.25">
      <c r="F96" s="206" t="s">
        <v>600</v>
      </c>
      <c r="G96" s="205" t="str">
        <f ca="1">'ARP_Inputs by customer type'!$C$58</f>
        <v>Input 501-C: All-the-way volumes - No residual</v>
      </c>
    </row>
    <row r="97" spans="6:7" customFormat="1" x14ac:dyDescent="0.25">
      <c r="F97" s="206" t="s">
        <v>600</v>
      </c>
      <c r="G97" s="205" t="str">
        <f ca="1">'ARP_Inputs by customer type'!$C$186</f>
        <v>Input 501-D: All-the-way volumes - Residual Band 1</v>
      </c>
    </row>
    <row r="98" spans="6:7" customFormat="1" x14ac:dyDescent="0.25">
      <c r="F98" s="206" t="s">
        <v>600</v>
      </c>
      <c r="G98" s="205" t="str">
        <f ca="1">'ARP_Inputs by customer type'!$C$314</f>
        <v>Input 501-E: All-the-way volumes - Residual Band 2</v>
      </c>
    </row>
    <row r="99" spans="6:7" customFormat="1" x14ac:dyDescent="0.25">
      <c r="F99" s="206" t="s">
        <v>600</v>
      </c>
      <c r="G99" s="205" t="str">
        <f ca="1">'ARP_Inputs by customer type'!$C$442</f>
        <v>Input 501-F: All-the-way volumes - Residual Band 3</v>
      </c>
    </row>
    <row r="100" spans="6:7" customFormat="1" x14ac:dyDescent="0.25">
      <c r="F100" s="206" t="s">
        <v>600</v>
      </c>
      <c r="G100" s="205" t="str">
        <f ca="1">'ARP_Inputs by customer type'!$C$570</f>
        <v>Input 501-G: All-the-way volumes - Residual Band 4</v>
      </c>
    </row>
    <row r="101" spans="6:7" customFormat="1" x14ac:dyDescent="0.25">
      <c r="F101" s="206" t="s">
        <v>600</v>
      </c>
      <c r="G101" s="205" t="str">
        <f ca="1">'ARP_Inputs by customer type'!$C$698</f>
        <v>Input 501-H: LDNO LV volumes - No residual</v>
      </c>
    </row>
    <row r="102" spans="6:7" customFormat="1" x14ac:dyDescent="0.25">
      <c r="F102" s="206" t="s">
        <v>600</v>
      </c>
      <c r="G102" s="205" t="str">
        <f ca="1">'ARP_Inputs by customer type'!$C$826</f>
        <v>Input 501-I: LDNO LV volumes - Residual band 1</v>
      </c>
    </row>
    <row r="103" spans="6:7" customFormat="1" x14ac:dyDescent="0.25">
      <c r="F103" s="206" t="s">
        <v>600</v>
      </c>
      <c r="G103" s="205" t="str">
        <f ca="1">'ARP_Inputs by customer type'!$C$954</f>
        <v>Input 501-J: LDNO LV volumes - Residual band 2</v>
      </c>
    </row>
    <row r="104" spans="6:7" customFormat="1" x14ac:dyDescent="0.25">
      <c r="F104" s="206" t="s">
        <v>600</v>
      </c>
      <c r="G104" s="205" t="str">
        <f ca="1">'ARP_Inputs by customer type'!$C$1082</f>
        <v>Input 501-K: LDNO LV volumes - Residual band 3</v>
      </c>
    </row>
    <row r="105" spans="6:7" customFormat="1" x14ac:dyDescent="0.25">
      <c r="F105" s="206" t="s">
        <v>600</v>
      </c>
      <c r="G105" s="205" t="str">
        <f ca="1">'ARP_Inputs by customer type'!$C$1210</f>
        <v>Input 501-L: LDNO LV volumes - Residual band 4</v>
      </c>
    </row>
    <row r="106" spans="6:7" customFormat="1" x14ac:dyDescent="0.25">
      <c r="F106" s="206" t="s">
        <v>600</v>
      </c>
      <c r="G106" s="205" t="str">
        <f ca="1">'ARP_Inputs by customer type'!$C$1338</f>
        <v>Input 501-M: LDNO HV volumes - No residual</v>
      </c>
    </row>
    <row r="107" spans="6:7" customFormat="1" x14ac:dyDescent="0.25">
      <c r="F107" s="206" t="s">
        <v>600</v>
      </c>
      <c r="G107" s="205" t="str">
        <f ca="1">'ARP_Inputs by customer type'!$C$1466</f>
        <v>Input 501-N: LDNO HV volumes - Residual band 1</v>
      </c>
    </row>
    <row r="108" spans="6:7" customFormat="1" x14ac:dyDescent="0.25">
      <c r="F108" s="206" t="s">
        <v>600</v>
      </c>
      <c r="G108" s="205" t="str">
        <f ca="1">'ARP_Inputs by customer type'!$C$1594</f>
        <v>Input 501-O: LDNO HV volumes - Residual band 2</v>
      </c>
    </row>
    <row r="109" spans="6:7" customFormat="1" x14ac:dyDescent="0.25">
      <c r="F109" s="206" t="s">
        <v>600</v>
      </c>
      <c r="G109" s="205" t="str">
        <f ca="1">'ARP_Inputs by customer type'!$C$1722</f>
        <v>Input 501-P: LDNO HV volumes - Residual band 3</v>
      </c>
    </row>
    <row r="110" spans="6:7" customFormat="1" x14ac:dyDescent="0.25">
      <c r="F110" s="206" t="s">
        <v>600</v>
      </c>
      <c r="G110" s="205" t="str">
        <f ca="1">'ARP_Inputs by customer type'!$C$1850</f>
        <v>Input 501-Q: LDNO HV volumes - Residual band 4</v>
      </c>
    </row>
    <row r="111" spans="6:7" customFormat="1" x14ac:dyDescent="0.25">
      <c r="F111" s="206" t="s">
        <v>600</v>
      </c>
      <c r="G111" s="205" t="str">
        <f ca="1">'ARP_Inputs by customer type'!$C$1978</f>
        <v>Input 501-R: 'Designated Property' MPANs with EDCM-level LDNO boundaries</v>
      </c>
    </row>
    <row r="112" spans="6:7" customFormat="1" x14ac:dyDescent="0.25">
      <c r="F112" s="206" t="s">
        <v>600</v>
      </c>
      <c r="G112" s="205" t="str">
        <f ca="1">'ARP_Inputs by customer type'!$C$2003</f>
        <v>Input 501-S: All the way non-domestic aggregated (related MPAN) distribution by bands</v>
      </c>
    </row>
    <row r="113" spans="6:7" customFormat="1" x14ac:dyDescent="0.25">
      <c r="F113" s="206" t="s">
        <v>600</v>
      </c>
      <c r="G113" s="205" t="str">
        <f ca="1">'ARP_Inputs by customer type'!$C$2026</f>
        <v>Input 501-T: LDNO LV non-domestic aggregated (related MPAN) distribution by bands</v>
      </c>
    </row>
    <row r="114" spans="6:7" customFormat="1" x14ac:dyDescent="0.25">
      <c r="F114" s="206" t="s">
        <v>600</v>
      </c>
      <c r="G114" s="205" t="str">
        <f ca="1">'ARP_Inputs by customer type'!$C$2049</f>
        <v>Input 501-U: LDNO HV non-domestic aggregated (related MPAN) distribution by bands</v>
      </c>
    </row>
    <row r="115" spans="6:7" customFormat="1" x14ac:dyDescent="0.25">
      <c r="F115" s="206" t="s">
        <v>600</v>
      </c>
      <c r="G115" s="205" t="str">
        <f ca="1">'ARP_Inputs by customer type'!$C$2076</f>
        <v>Input 501-V: LV customer service model asset values</v>
      </c>
    </row>
    <row r="116" spans="6:7" customFormat="1" x14ac:dyDescent="0.25">
      <c r="F116" s="206" t="s">
        <v>600</v>
      </c>
      <c r="G116" s="205" t="str">
        <f ca="1">'ARP_Inputs by customer type'!$C$2096</f>
        <v>Input 501-W: HV customer service model asset values</v>
      </c>
    </row>
    <row r="117" spans="6:7" customFormat="1" ht="15.75" thickBot="1" x14ac:dyDescent="0.3">
      <c r="F117" s="206" t="s">
        <v>600</v>
      </c>
      <c r="G117" s="205" t="str">
        <f ca="1">'ARP_Inputs by customer type'!$C$2116</f>
        <v>Input 501-X: LV UMS customer service model asset values</v>
      </c>
    </row>
    <row r="118" spans="6:7" customFormat="1" ht="15.75" thickTop="1" x14ac:dyDescent="0.25">
      <c r="F118" s="207" t="s">
        <v>608</v>
      </c>
      <c r="G118" s="205" t="str">
        <f ca="1">'ARP_Inputs by network level'!$C$16</f>
        <v>Input 502-A: Diversity allowance between top and bottom of network level</v>
      </c>
    </row>
    <row r="119" spans="6:7" customFormat="1" x14ac:dyDescent="0.25">
      <c r="F119" s="206" t="s">
        <v>600</v>
      </c>
      <c r="G119" s="205" t="str">
        <f ca="1">'ARP_Inputs by network level'!$C$30</f>
        <v>Input 502-B: Proportion of EHV/HV load going through 132kV/HV direct transformation</v>
      </c>
    </row>
    <row r="120" spans="6:7" customFormat="1" x14ac:dyDescent="0.25">
      <c r="F120" s="206" t="s">
        <v>600</v>
      </c>
      <c r="G120" s="205" t="str">
        <f ca="1">'ARP_Inputs by network level'!$C$44</f>
        <v>Input 502-C: Loss adjustment factors to transmission</v>
      </c>
    </row>
    <row r="121" spans="6:7" customFormat="1" x14ac:dyDescent="0.25">
      <c r="F121" s="206" t="s">
        <v>600</v>
      </c>
      <c r="G121" s="205" t="str">
        <f ca="1">'ARP_Inputs by network level'!$C$58</f>
        <v>Input 502-D: Average kVAr by kVA, by network level</v>
      </c>
    </row>
    <row r="122" spans="6:7" customFormat="1" x14ac:dyDescent="0.25">
      <c r="F122" s="206" t="s">
        <v>600</v>
      </c>
      <c r="G122" s="205" t="str">
        <f ca="1">'ARP_Inputs by network level'!$C$72</f>
        <v>Input 502-E: Customer contributions under current connection charging policy</v>
      </c>
    </row>
    <row r="123" spans="6:7" customFormat="1" x14ac:dyDescent="0.25">
      <c r="F123" s="206" t="s">
        <v>600</v>
      </c>
      <c r="G123" s="205" t="str">
        <f ca="1">'ARP_Inputs by network level'!$C$120</f>
        <v>Input 502-F: Gross asset cost by network level</v>
      </c>
    </row>
    <row r="124" spans="6:7" customFormat="1" ht="15.75" thickBot="1" x14ac:dyDescent="0.3">
      <c r="F124" s="206" t="s">
        <v>600</v>
      </c>
      <c r="G124" s="205" t="str">
        <f ca="1">'ARP_Inputs by network level'!$C$134</f>
        <v>Input 502-G: Peaking probabilities, by timeband &amp; network level</v>
      </c>
    </row>
    <row r="125" spans="6:7" customFormat="1" ht="15.75" thickTop="1" x14ac:dyDescent="0.25">
      <c r="F125" s="207" t="s">
        <v>609</v>
      </c>
      <c r="G125" s="205" t="str">
        <f ca="1">'ARP_General inputs'!$C$16</f>
        <v>Input 503-A: Split of hours by distribution timeband</v>
      </c>
    </row>
    <row r="126" spans="6:7" customFormat="1" x14ac:dyDescent="0.25">
      <c r="F126" s="206" t="s">
        <v>600</v>
      </c>
      <c r="G126" s="205" t="str">
        <f ca="1">'ARP_General inputs'!$C$28</f>
        <v>Input 503-B: Embedded network (LDNO) discount percentages</v>
      </c>
    </row>
    <row r="127" spans="6:7" customFormat="1" x14ac:dyDescent="0.25">
      <c r="F127" s="206" t="s">
        <v>600</v>
      </c>
      <c r="G127" s="205" t="str">
        <f ca="1">'ARP_General inputs'!$C$38</f>
        <v>Input 503-C: CDCM target revenue</v>
      </c>
    </row>
    <row r="128" spans="6:7" customFormat="1" x14ac:dyDescent="0.25">
      <c r="F128" s="206" t="s">
        <v>600</v>
      </c>
      <c r="G128" s="205" t="str">
        <f ca="1">'ARP_General inputs'!$C$99</f>
        <v>Input 503-D: Financial and general assumptions</v>
      </c>
    </row>
    <row r="129" spans="6:7" customFormat="1" x14ac:dyDescent="0.25">
      <c r="F129" s="206" t="s">
        <v>600</v>
      </c>
      <c r="G129" s="205" t="str">
        <f ca="1">'ARP_General inputs'!$C$104</f>
        <v>Input 503-E: Transmission exit charges</v>
      </c>
    </row>
    <row r="130" spans="6:7" customFormat="1" ht="15.75" thickBot="1" x14ac:dyDescent="0.3">
      <c r="F130" s="206" t="s">
        <v>600</v>
      </c>
      <c r="G130" s="205" t="str">
        <f ca="1">'ARP_General inputs'!$C$108</f>
        <v>Input 503-F: Other expenditure</v>
      </c>
    </row>
    <row r="131" spans="6:7" customFormat="1" ht="15.75" thickTop="1" x14ac:dyDescent="0.25">
      <c r="F131" s="207" t="s">
        <v>428</v>
      </c>
      <c r="G131" s="205" t="str">
        <f ca="1">'Fixed inputs'!$C$13</f>
        <v>Input 504-A: Conversions and time</v>
      </c>
    </row>
    <row r="132" spans="6:7" customFormat="1" x14ac:dyDescent="0.25">
      <c r="F132" s="206" t="s">
        <v>600</v>
      </c>
      <c r="G132" s="205" t="str">
        <f ca="1">'Fixed inputs'!$C$20</f>
        <v>Input 504-B: Input 101-B: Rounding</v>
      </c>
    </row>
    <row r="133" spans="6:7" customFormat="1" x14ac:dyDescent="0.25">
      <c r="F133" s="206" t="s">
        <v>600</v>
      </c>
      <c r="G133" s="205" t="str">
        <f ca="1">'Fixed inputs'!$C$33</f>
        <v>Input 504-C: Financial and general assumptions</v>
      </c>
    </row>
    <row r="134" spans="6:7" customFormat="1" x14ac:dyDescent="0.25">
      <c r="F134" s="206" t="s">
        <v>600</v>
      </c>
      <c r="G134" s="205" t="str">
        <f ca="1">'Fixed inputs'!$C$43</f>
        <v>Input 504-D: Mappings</v>
      </c>
    </row>
    <row r="135" spans="6:7" customFormat="1" x14ac:dyDescent="0.25">
      <c r="F135" s="206" t="s">
        <v>600</v>
      </c>
      <c r="G135" s="205" t="str">
        <f ca="1">'Fixed inputs'!$C$84</f>
        <v>Input 504-E: Standing charge factors</v>
      </c>
    </row>
    <row r="136" spans="6:7" customFormat="1" x14ac:dyDescent="0.25">
      <c r="F136" s="206" t="s">
        <v>600</v>
      </c>
      <c r="G136" s="205" t="str">
        <f ca="1">'Fixed inputs'!$C$99</f>
        <v>Input 504-F: Flags</v>
      </c>
    </row>
    <row r="137" spans="6:7" customFormat="1" x14ac:dyDescent="0.25">
      <c r="F137" s="206" t="s">
        <v>600</v>
      </c>
      <c r="G137" s="205" t="str">
        <f ca="1">'Fixed inputs'!$C$141</f>
        <v>Input 504-G: Identifiers for customer groupings</v>
      </c>
    </row>
    <row r="138" spans="6:7" customFormat="1" x14ac:dyDescent="0.25">
      <c r="F138" s="206" t="s">
        <v>600</v>
      </c>
      <c r="G138" s="205" t="str">
        <f ca="1">'Fixed inputs'!$C$151</f>
        <v>Input 504-H: Decimal places for error checks</v>
      </c>
    </row>
    <row r="139" spans="6:7" customFormat="1" x14ac:dyDescent="0.25">
      <c r="F139" s="206" t="s">
        <v>600</v>
      </c>
      <c r="G139" s="205" t="str">
        <f ca="1">'Fixed inputs'!$C$155</f>
        <v>Input 504-I: Map of applicable MPANs</v>
      </c>
    </row>
    <row r="140" spans="6:7" customFormat="1" ht="15.75" thickBot="1" x14ac:dyDescent="0.3">
      <c r="F140" s="206" t="s">
        <v>600</v>
      </c>
      <c r="G140" s="205" t="str">
        <f ca="1">'Fixed inputs'!$C$162</f>
        <v>Input 504-J: Revenue matching inputs</v>
      </c>
    </row>
    <row r="141" spans="6:7" customFormat="1" ht="15.75" thickTop="1" x14ac:dyDescent="0.25">
      <c r="F141" s="209" t="s">
        <v>445</v>
      </c>
      <c r="G141" s="205" t="str">
        <f ca="1">'Inputs by customer type'!$C$16</f>
        <v>Section 501-A: Load characteristics</v>
      </c>
    </row>
    <row r="142" spans="6:7" customFormat="1" x14ac:dyDescent="0.25">
      <c r="F142" s="208" t="s">
        <v>600</v>
      </c>
      <c r="G142" s="205" t="str">
        <f ca="1">'Inputs by customer type'!$C$21</f>
        <v>Section 501-B: Volume forecasts for the charging year</v>
      </c>
    </row>
    <row r="143" spans="6:7" customFormat="1" x14ac:dyDescent="0.25">
      <c r="F143" s="208" t="s">
        <v>600</v>
      </c>
      <c r="G143" s="205" t="str">
        <f ca="1">'Inputs by customer type'!$C$166</f>
        <v>Section 501-C: Non-Domestic Aggregated (Related MPAN) distribution by bands</v>
      </c>
    </row>
    <row r="144" spans="6:7" customFormat="1" ht="15.75" thickBot="1" x14ac:dyDescent="0.3">
      <c r="F144" s="208" t="s">
        <v>600</v>
      </c>
      <c r="G144" s="205" t="str">
        <f ca="1">'Inputs by customer type'!$C$186</f>
        <v>Section 501-D: Service model asset values</v>
      </c>
    </row>
    <row r="145" spans="6:7" customFormat="1" ht="15.75" thickTop="1" x14ac:dyDescent="0.25">
      <c r="F145" s="209" t="s">
        <v>195</v>
      </c>
      <c r="G145" s="205" t="str">
        <f ca="1">'Inputs by network level'!$C$16</f>
        <v>Section 502-A: Network and load inputs</v>
      </c>
    </row>
    <row r="146" spans="6:7" customFormat="1" x14ac:dyDescent="0.25">
      <c r="F146" s="208" t="s">
        <v>600</v>
      </c>
      <c r="G146" s="205" t="str">
        <f ca="1">'Inputs by network level'!$C$26</f>
        <v>Section 502-B: Customer contributions under current connection charging policy</v>
      </c>
    </row>
    <row r="147" spans="6:7" customFormat="1" x14ac:dyDescent="0.25">
      <c r="F147" s="208" t="s">
        <v>600</v>
      </c>
      <c r="G147" s="205" t="str">
        <f ca="1">'Inputs by network level'!$C$34</f>
        <v>Section 502-C: DRM asset costs</v>
      </c>
    </row>
    <row r="148" spans="6:7" customFormat="1" ht="15.75" thickBot="1" x14ac:dyDescent="0.3">
      <c r="F148" s="208" t="s">
        <v>600</v>
      </c>
      <c r="G148" s="205" t="str">
        <f ca="1">'Inputs by network level'!$C$38</f>
        <v>Section 502-D: Peaking probabilities by network level</v>
      </c>
    </row>
    <row r="149" spans="6:7" customFormat="1" ht="15.75" thickTop="1" x14ac:dyDescent="0.25">
      <c r="F149" s="209" t="s">
        <v>552</v>
      </c>
      <c r="G149" s="205" t="str">
        <f ca="1">'General inputs'!$C$16</f>
        <v>Section 503-A: Inputs by distribution timeband</v>
      </c>
    </row>
    <row r="150" spans="6:7" customFormat="1" x14ac:dyDescent="0.25">
      <c r="F150" s="208" t="s">
        <v>600</v>
      </c>
      <c r="G150" s="205" t="str">
        <f ca="1">'General inputs'!$C$28</f>
        <v>Section 503-B: LDNO discount inputs</v>
      </c>
    </row>
    <row r="151" spans="6:7" customFormat="1" x14ac:dyDescent="0.25">
      <c r="F151" s="208" t="s">
        <v>600</v>
      </c>
      <c r="G151" s="205" t="str">
        <f ca="1">'General inputs'!$C$38</f>
        <v>Section 503-C: CDCM target revenue</v>
      </c>
    </row>
    <row r="152" spans="6:7" customFormat="1" x14ac:dyDescent="0.25">
      <c r="F152" s="208" t="s">
        <v>600</v>
      </c>
      <c r="G152" s="205" t="str">
        <f ca="1">'General inputs'!$C$93</f>
        <v>Section 503-D: Financial and general assumptions</v>
      </c>
    </row>
    <row r="153" spans="6:7" customFormat="1" x14ac:dyDescent="0.25">
      <c r="F153" s="208" t="s">
        <v>600</v>
      </c>
      <c r="G153" s="205" t="str">
        <f ca="1">'General inputs'!$C$99</f>
        <v>Section 503-E: Transmission exit charges</v>
      </c>
    </row>
    <row r="154" spans="6:7" customFormat="1" ht="15.75" thickBot="1" x14ac:dyDescent="0.3">
      <c r="F154" s="208" t="s">
        <v>600</v>
      </c>
      <c r="G154" s="205" t="str">
        <f ca="1">'General inputs'!$C$103</f>
        <v>Section 503-F: Other expenditure</v>
      </c>
    </row>
    <row r="155" spans="6:7" customFormat="1" ht="16.5" thickTop="1" thickBot="1" x14ac:dyDescent="0.3">
      <c r="F155" s="209" t="s">
        <v>263</v>
      </c>
      <c r="G155" s="205" t="str">
        <f ca="1">'Standing charge factors'!$C$19</f>
        <v>Section 504-A: Adjustments to standing charges</v>
      </c>
    </row>
    <row r="156" spans="6:7" customFormat="1" ht="15.75" thickTop="1" x14ac:dyDescent="0.25">
      <c r="F156" s="209" t="s">
        <v>432</v>
      </c>
      <c r="G156" s="205" t="str">
        <f ca="1">'Load &amp; loss characteristics'!$C$17</f>
        <v>Section 505-A: Load characteristics</v>
      </c>
    </row>
    <row r="157" spans="6:7" customFormat="1" x14ac:dyDescent="0.25">
      <c r="F157" s="208" t="s">
        <v>600</v>
      </c>
      <c r="G157" s="205" t="str">
        <f ca="1">'Load &amp; loss characteristics'!$C$25</f>
        <v>Section 505-B: Loss adjustment factors</v>
      </c>
    </row>
    <row r="158" spans="6:7" customFormat="1" x14ac:dyDescent="0.25">
      <c r="F158" s="208" t="s">
        <v>600</v>
      </c>
      <c r="G158" s="205" t="str">
        <f ca="1">'Load &amp; loss characteristics'!$C$35</f>
        <v>Section 505-C: Proportion of relevant load going through 132kV/HV direct transformation</v>
      </c>
    </row>
    <row r="159" spans="6:7" customFormat="1" x14ac:dyDescent="0.25">
      <c r="F159" s="208" t="s">
        <v>600</v>
      </c>
      <c r="G159" s="205" t="str">
        <f ca="1">'Load &amp; loss characteristics'!$C$40</f>
        <v>Section 505-D: Network use factors</v>
      </c>
    </row>
    <row r="160" spans="6:7" customFormat="1" ht="15.75" thickBot="1" x14ac:dyDescent="0.3">
      <c r="F160" s="208" t="s">
        <v>600</v>
      </c>
      <c r="G160" s="205" t="str">
        <f ca="1">'Load &amp; loss characteristics'!$C$121</f>
        <v>Section 505-E: User loss factors</v>
      </c>
    </row>
    <row r="161" spans="6:7" customFormat="1" ht="15.75" thickTop="1" x14ac:dyDescent="0.25">
      <c r="F161" s="209" t="s">
        <v>232</v>
      </c>
      <c r="G161" s="205" t="str">
        <f ca="1">'Customer contributions'!$C$16</f>
        <v>Section 506-A: Network use factors</v>
      </c>
    </row>
    <row r="162" spans="6:7" customFormat="1" ht="15.75" thickBot="1" x14ac:dyDescent="0.3">
      <c r="F162" s="208" t="s">
        <v>600</v>
      </c>
      <c r="G162" s="205" t="str">
        <f ca="1">'Customer contributions'!$C$38</f>
        <v>Section 506-B: Customer contributions</v>
      </c>
    </row>
    <row r="163" spans="6:7" customFormat="1" ht="15.75" thickTop="1" x14ac:dyDescent="0.25">
      <c r="F163" s="209" t="s">
        <v>233</v>
      </c>
      <c r="G163" s="205" t="str">
        <f ca="1">'Volume adjustments'!$C$15</f>
        <v>Section 507-A: LDNO discounts</v>
      </c>
    </row>
    <row r="164" spans="6:7" customFormat="1" x14ac:dyDescent="0.25">
      <c r="F164" s="208" t="s">
        <v>600</v>
      </c>
      <c r="G164" s="205" t="str">
        <f ca="1">'Volume adjustments'!$C$53</f>
        <v>Section 507-B: Aggregation of volumes</v>
      </c>
    </row>
    <row r="165" spans="6:7" customFormat="1" x14ac:dyDescent="0.25">
      <c r="F165" s="208" t="s">
        <v>600</v>
      </c>
      <c r="G165" s="205" t="str">
        <f ca="1">'Volume adjustments'!$C$225</f>
        <v>Section 507-C: Volume discounting</v>
      </c>
    </row>
    <row r="166" spans="6:7" customFormat="1" x14ac:dyDescent="0.25">
      <c r="F166" s="208" t="s">
        <v>600</v>
      </c>
      <c r="G166" s="205" t="str">
        <f ca="1">'Volume adjustments'!$C$332</f>
        <v>Section 507-D: No residual volume discounting</v>
      </c>
    </row>
    <row r="167" spans="6:7" customFormat="1" x14ac:dyDescent="0.25">
      <c r="F167" s="208" t="s">
        <v>600</v>
      </c>
      <c r="G167" s="205" t="str">
        <f ca="1">'Volume adjustments'!$C$361</f>
        <v>Section 507-E: Residual band 1 volume discounting</v>
      </c>
    </row>
    <row r="168" spans="6:7" customFormat="1" x14ac:dyDescent="0.25">
      <c r="F168" s="208" t="s">
        <v>600</v>
      </c>
      <c r="G168" s="205" t="str">
        <f ca="1">'Volume adjustments'!$C$390</f>
        <v>Section 507-F: Residual band 2 volume discounting</v>
      </c>
    </row>
    <row r="169" spans="6:7" customFormat="1" x14ac:dyDescent="0.25">
      <c r="F169" s="208" t="s">
        <v>600</v>
      </c>
      <c r="G169" s="205" t="str">
        <f ca="1">'Volume adjustments'!$C$419</f>
        <v>Section 507-G: Residual band 3 volume discounting</v>
      </c>
    </row>
    <row r="170" spans="6:7" customFormat="1" x14ac:dyDescent="0.25">
      <c r="F170" s="208" t="s">
        <v>600</v>
      </c>
      <c r="G170" s="205" t="str">
        <f ca="1">'Volume adjustments'!$C$448</f>
        <v>Section 507-H: Residual band 4 volume discounting</v>
      </c>
    </row>
    <row r="171" spans="6:7" customFormat="1" x14ac:dyDescent="0.25">
      <c r="F171" s="208" t="s">
        <v>600</v>
      </c>
      <c r="G171" s="205" t="str">
        <f ca="1">'Volume adjustments'!$C$477</f>
        <v>Section 507-I: Discounted volumes by residual band</v>
      </c>
    </row>
    <row r="172" spans="6:7" customFormat="1" x14ac:dyDescent="0.25">
      <c r="F172" s="208" t="s">
        <v>600</v>
      </c>
      <c r="G172" s="205" t="str">
        <f ca="1">'Volume adjustments'!$C$523</f>
        <v>Section 507-J: Volumes by residual band</v>
      </c>
    </row>
    <row r="173" spans="6:7" customFormat="1" ht="15.75" thickBot="1" x14ac:dyDescent="0.3">
      <c r="F173" s="208" t="s">
        <v>600</v>
      </c>
      <c r="G173" s="205" t="str">
        <f ca="1">'Volume adjustments'!$C$657</f>
        <v>Section 507-K: Non-domestic aggregated (related MPAN) distribution across bands</v>
      </c>
    </row>
    <row r="174" spans="6:7" customFormat="1" ht="15.75" thickTop="1" x14ac:dyDescent="0.25">
      <c r="F174" s="209" t="s">
        <v>224</v>
      </c>
      <c r="G174" s="205" t="str">
        <f ca="1">'Pseudo-load coefficients'!$C$18</f>
        <v>Section 508-A: Flags and hours in timebands</v>
      </c>
    </row>
    <row r="175" spans="6:7" customFormat="1" x14ac:dyDescent="0.25">
      <c r="F175" s="208" t="s">
        <v>600</v>
      </c>
      <c r="G175" s="205" t="str">
        <f ca="1">'Pseudo-load coefficients'!$C$28</f>
        <v>Section 508-B: Average load by timeband</v>
      </c>
    </row>
    <row r="176" spans="6:7" customFormat="1" x14ac:dyDescent="0.25">
      <c r="F176" s="208" t="s">
        <v>600</v>
      </c>
      <c r="G176" s="205" t="str">
        <f ca="1">'Pseudo-load coefficients'!$C$36</f>
        <v>Section 508-C: Aggregated groups for pseudo-load coefficients</v>
      </c>
    </row>
    <row r="177" spans="6:7" customFormat="1" x14ac:dyDescent="0.25">
      <c r="F177" s="208" t="s">
        <v>600</v>
      </c>
      <c r="G177" s="205" t="str">
        <f ca="1">'Pseudo-load coefficients'!$C$52</f>
        <v>Section 508-D: Ratio of coincidence to load factor assuming units evenly spread within time bands, and peak falls in Red period</v>
      </c>
    </row>
    <row r="178" spans="6:7" customFormat="1" x14ac:dyDescent="0.25">
      <c r="F178" s="208" t="s">
        <v>600</v>
      </c>
      <c r="G178" s="205" t="str">
        <f ca="1">'Pseudo-load coefficients'!$C$60</f>
        <v>Section 508-E: Load characteristics for all customers</v>
      </c>
    </row>
    <row r="179" spans="6:7" customFormat="1" x14ac:dyDescent="0.25">
      <c r="F179" s="208" t="s">
        <v>600</v>
      </c>
      <c r="G179" s="205" t="str">
        <f ca="1">'Pseudo-load coefficients'!$C$65</f>
        <v>Section 508-F: Aggregated load characteristics for grouped customers</v>
      </c>
    </row>
    <row r="180" spans="6:7" customFormat="1" x14ac:dyDescent="0.25">
      <c r="F180" s="208" t="s">
        <v>600</v>
      </c>
      <c r="G180" s="205" t="str">
        <f ca="1">'Pseudo-load coefficients'!$C$87</f>
        <v>Section 508-G: Calculation of correction factor</v>
      </c>
    </row>
    <row r="181" spans="6:7" customFormat="1" x14ac:dyDescent="0.25">
      <c r="F181" s="208" t="s">
        <v>600</v>
      </c>
      <c r="G181" s="205" t="str">
        <f ca="1">'Pseudo-load coefficients'!$C$100</f>
        <v>Section 508-H: Peaking probabilities, by network level</v>
      </c>
    </row>
    <row r="182" spans="6:7" customFormat="1" x14ac:dyDescent="0.25">
      <c r="F182" s="208" t="s">
        <v>600</v>
      </c>
      <c r="G182" s="205" t="str">
        <f ca="1">'Pseudo-load coefficients'!$C$174</f>
        <v>Section 508-I: Peaking probabilities, by network level and customer type</v>
      </c>
    </row>
    <row r="183" spans="6:7" customFormat="1" x14ac:dyDescent="0.25">
      <c r="F183" s="208" t="s">
        <v>600</v>
      </c>
      <c r="G183" s="205" t="str">
        <f ca="1">'Pseudo-load coefficients'!$C$221</f>
        <v>Section 508-J: Ratio of coincidence factor to load factor, based on uniform distribution in timebands and peaking probabilities</v>
      </c>
    </row>
    <row r="184" spans="6:7" customFormat="1" x14ac:dyDescent="0.25">
      <c r="F184" s="208" t="s">
        <v>600</v>
      </c>
      <c r="G184" s="205" t="str">
        <f ca="1">'Pseudo-load coefficients'!$C$265</f>
        <v>Section 508-K: Load coefficient</v>
      </c>
    </row>
    <row r="185" spans="6:7" customFormat="1" ht="15.75" thickBot="1" x14ac:dyDescent="0.3">
      <c r="F185" s="208" t="s">
        <v>600</v>
      </c>
      <c r="G185" s="205" t="str">
        <f ca="1">'Pseudo-load coefficients'!$C$269</f>
        <v>Section 508-L: Pseudo load coefficients, by unit rate</v>
      </c>
    </row>
    <row r="186" spans="6:7" customFormat="1" ht="15.75" thickTop="1" x14ac:dyDescent="0.25">
      <c r="F186" s="209" t="s">
        <v>433</v>
      </c>
      <c r="G186" s="205" t="str">
        <f ca="1">'System peak demand'!$C$18</f>
        <v>Section 509-A: Common inputs for chargeable load calculations</v>
      </c>
    </row>
    <row r="187" spans="6:7" customFormat="1" x14ac:dyDescent="0.25">
      <c r="F187" s="208" t="s">
        <v>600</v>
      </c>
      <c r="G187" s="205" t="str">
        <f ca="1">'System peak demand'!$C$67</f>
        <v>Section 509-B: System peak load, by unit rate</v>
      </c>
    </row>
    <row r="188" spans="6:7" customFormat="1" x14ac:dyDescent="0.25">
      <c r="F188" s="208" t="s">
        <v>600</v>
      </c>
      <c r="G188" s="205" t="str">
        <f ca="1">'System peak demand'!$C$138</f>
        <v>Section 509-C: System peak load, all unit rates</v>
      </c>
    </row>
    <row r="189" spans="6:7" customFormat="1" x14ac:dyDescent="0.25">
      <c r="F189" s="208" t="s">
        <v>600</v>
      </c>
      <c r="G189" s="205" t="str">
        <f ca="1">'System peak demand'!$C$164</f>
        <v>Section 509-D: Unit rate contributions to chargeable peak load</v>
      </c>
    </row>
    <row r="190" spans="6:7" customFormat="1" x14ac:dyDescent="0.25">
      <c r="F190" s="208" t="s">
        <v>600</v>
      </c>
      <c r="G190" s="205" t="str">
        <f ca="1">'System peak demand'!$C$184</f>
        <v>Section 509-E: Adjustment of import and exceeded capacity</v>
      </c>
    </row>
    <row r="191" spans="6:7" customFormat="1" x14ac:dyDescent="0.25">
      <c r="F191" s="208" t="s">
        <v>600</v>
      </c>
      <c r="G191" s="205" t="str">
        <f ca="1">'System peak demand'!$C$194</f>
        <v>Section 509-F: Calculation of LV circuit diversity factor</v>
      </c>
    </row>
    <row r="192" spans="6:7" customFormat="1" x14ac:dyDescent="0.25">
      <c r="F192" s="208" t="s">
        <v>600</v>
      </c>
      <c r="G192" s="205" t="str">
        <f ca="1">'System peak demand'!$C$236</f>
        <v>Section 509-G: Import/exceeded capacity contribution to system peak</v>
      </c>
    </row>
    <row r="193" spans="6:7" customFormat="1" x14ac:dyDescent="0.25">
      <c r="F193" s="208" t="s">
        <v>600</v>
      </c>
      <c r="G193" s="205" t="str">
        <f ca="1">'System peak demand'!$C$249</f>
        <v>Section 509-H: Estimated capacity contribution to system peak</v>
      </c>
    </row>
    <row r="194" spans="6:7" customFormat="1" ht="15.75" thickBot="1" x14ac:dyDescent="0.3">
      <c r="F194" s="208" t="s">
        <v>600</v>
      </c>
      <c r="G194" s="205" t="str">
        <f ca="1">'System peak demand'!$C$266</f>
        <v>Section 509-I: System peak based on chargeable load</v>
      </c>
    </row>
    <row r="195" spans="6:7" customFormat="1" ht="16.5" thickTop="1" thickBot="1" x14ac:dyDescent="0.3">
      <c r="F195" s="209" t="s">
        <v>225</v>
      </c>
      <c r="G195" s="205" t="str">
        <f ca="1">'Service model assets'!$C$14</f>
        <v>Section 510-A: Service model notional asset values</v>
      </c>
    </row>
    <row r="196" spans="6:7" customFormat="1" ht="15.75" thickTop="1" x14ac:dyDescent="0.25">
      <c r="F196" s="209" t="s">
        <v>294</v>
      </c>
      <c r="G196" s="205" t="str">
        <f ca="1">'Unit costs'!$C$19</f>
        <v>Section 511-A: Financial data</v>
      </c>
    </row>
    <row r="197" spans="6:7" customFormat="1" x14ac:dyDescent="0.25">
      <c r="F197" s="208" t="s">
        <v>600</v>
      </c>
      <c r="G197" s="205" t="str">
        <f ca="1">'Unit costs'!$C$27</f>
        <v>Section 511-B: Diversity and loss adjustment factors</v>
      </c>
    </row>
    <row r="198" spans="6:7" customFormat="1" x14ac:dyDescent="0.25">
      <c r="F198" s="208" t="s">
        <v>600</v>
      </c>
      <c r="G198" s="205" t="str">
        <f ca="1">'Unit costs'!$C$35</f>
        <v>Section 511-C: Maximum demand</v>
      </c>
    </row>
    <row r="199" spans="6:7" customFormat="1" x14ac:dyDescent="0.25">
      <c r="F199" s="208" t="s">
        <v>600</v>
      </c>
      <c r="G199" s="205" t="str">
        <f ca="1">'Unit costs'!$C$42</f>
        <v>Section 511-D: Rerouting matrix</v>
      </c>
    </row>
    <row r="200" spans="6:7" customFormat="1" x14ac:dyDescent="0.25">
      <c r="F200" s="208" t="s">
        <v>600</v>
      </c>
      <c r="G200" s="205" t="str">
        <f ca="1">'Unit costs'!$C$50</f>
        <v>Section 511-E: Annuitised cost of assets</v>
      </c>
    </row>
    <row r="201" spans="6:7" customFormat="1" x14ac:dyDescent="0.25">
      <c r="F201" s="208" t="s">
        <v>600</v>
      </c>
      <c r="G201" s="205" t="str">
        <f ca="1">'Unit costs'!$C$62</f>
        <v>Section 511-F: System simultaneous peak load based on charegable units</v>
      </c>
    </row>
    <row r="202" spans="6:7" customFormat="1" x14ac:dyDescent="0.25">
      <c r="F202" s="208" t="s">
        <v>600</v>
      </c>
      <c r="G202" s="205" t="str">
        <f ca="1">'Unit costs'!$C$69</f>
        <v>Section 511-G: Notional asset values, by network level</v>
      </c>
    </row>
    <row r="203" spans="6:7" customFormat="1" x14ac:dyDescent="0.25">
      <c r="F203" s="208" t="s">
        <v>600</v>
      </c>
      <c r="G203" s="205" t="str">
        <f ca="1">'Unit costs'!$C$80</f>
        <v>Section 511-H: Other operating costs</v>
      </c>
    </row>
    <row r="204" spans="6:7" customFormat="1" x14ac:dyDescent="0.25">
      <c r="F204" s="208" t="s">
        <v>600</v>
      </c>
      <c r="G204" s="205" t="str">
        <f ca="1">'Unit costs'!$C$92</f>
        <v>Section 511-I: Other operating costs by network level</v>
      </c>
    </row>
    <row r="205" spans="6:7" customFormat="1" x14ac:dyDescent="0.25">
      <c r="F205" s="208" t="s">
        <v>600</v>
      </c>
      <c r="G205" s="205" t="str">
        <f ca="1">'Unit costs'!$C$104</f>
        <v>Section 511-J: Notional asset values by network level</v>
      </c>
    </row>
    <row r="206" spans="6:7" customFormat="1" x14ac:dyDescent="0.25">
      <c r="F206" s="208" t="s">
        <v>600</v>
      </c>
      <c r="G206" s="205" t="str">
        <f ca="1">'Unit costs'!$C$110</f>
        <v>Section 511-K: Unit costs</v>
      </c>
    </row>
    <row r="207" spans="6:7" customFormat="1" ht="15.75" thickBot="1" x14ac:dyDescent="0.3">
      <c r="F207" s="208" t="s">
        <v>600</v>
      </c>
      <c r="G207" s="205" t="str">
        <f ca="1">'Unit costs'!$C$117</f>
        <v>Section 511-L: Values used for allocating costs to service models</v>
      </c>
    </row>
    <row r="208" spans="6:7" customFormat="1" ht="15.75" thickTop="1" x14ac:dyDescent="0.25">
      <c r="F208" s="209" t="s">
        <v>234</v>
      </c>
      <c r="G208" s="205" t="str">
        <f ca="1">'Initial unit rates'!$C$13</f>
        <v>Section 512-A: Inputs for yardstick and unit rate calculations</v>
      </c>
    </row>
    <row r="209" spans="6:7" customFormat="1" x14ac:dyDescent="0.25">
      <c r="F209" s="208" t="s">
        <v>600</v>
      </c>
      <c r="G209" s="205" t="str">
        <f ca="1">'Initial unit rates'!$C$118</f>
        <v>Section 512-B: Yardstick charges</v>
      </c>
    </row>
    <row r="210" spans="6:7" customFormat="1" x14ac:dyDescent="0.25">
      <c r="F210" s="208" t="s">
        <v>600</v>
      </c>
      <c r="G210" s="205" t="str">
        <f ca="1">'Initial unit rates'!$C$146</f>
        <v>Section 512-C: Unit rate 1</v>
      </c>
    </row>
    <row r="211" spans="6:7" customFormat="1" x14ac:dyDescent="0.25">
      <c r="F211" s="208" t="s">
        <v>600</v>
      </c>
      <c r="G211" s="205" t="str">
        <f ca="1">'Initial unit rates'!$C$175</f>
        <v>Section 512-D: Unit rate 2</v>
      </c>
    </row>
    <row r="212" spans="6:7" customFormat="1" ht="15.75" thickBot="1" x14ac:dyDescent="0.3">
      <c r="F212" s="208" t="s">
        <v>600</v>
      </c>
      <c r="G212" s="205" t="str">
        <f ca="1">'Initial unit rates'!$C$204</f>
        <v>Section 512-E: Unit rate 3</v>
      </c>
    </row>
    <row r="213" spans="6:7" customFormat="1" ht="15.75" thickTop="1" x14ac:dyDescent="0.25">
      <c r="F213" s="209" t="s">
        <v>434</v>
      </c>
      <c r="G213" s="205" t="str">
        <f ca="1">'Service model charges'!$C$17</f>
        <v>Section 513-A: Inputs to service model charge calculation</v>
      </c>
    </row>
    <row r="214" spans="6:7" customFormat="1" x14ac:dyDescent="0.25">
      <c r="F214" s="208" t="s">
        <v>600</v>
      </c>
      <c r="G214" s="205" t="str">
        <f ca="1">'Service model charges'!$C$33</f>
        <v>Section 513-B: Calculation of other operating expenditure per £ of notional asset value</v>
      </c>
    </row>
    <row r="215" spans="6:7" customFormat="1" ht="15.75" thickBot="1" x14ac:dyDescent="0.3">
      <c r="F215" s="208" t="s">
        <v>600</v>
      </c>
      <c r="G215" s="205" t="str">
        <f ca="1">'Service model charges'!$C$37</f>
        <v>Section 513-C: Calculation of service model charges</v>
      </c>
    </row>
    <row r="216" spans="6:7" customFormat="1" ht="15.75" thickTop="1" x14ac:dyDescent="0.25">
      <c r="F216" s="209" t="s">
        <v>435</v>
      </c>
      <c r="G216" s="205" t="str">
        <f ca="1">'Unit rate charges'!$C$19</f>
        <v>Section 514-A: Initial unit rate 1</v>
      </c>
    </row>
    <row r="217" spans="6:7" customFormat="1" x14ac:dyDescent="0.25">
      <c r="F217" s="208" t="s">
        <v>600</v>
      </c>
      <c r="G217" s="205" t="str">
        <f ca="1">'Unit rate charges'!$C$49</f>
        <v>Section 514-B: Initial unit rate 2</v>
      </c>
    </row>
    <row r="218" spans="6:7" customFormat="1" x14ac:dyDescent="0.25">
      <c r="F218" s="208" t="s">
        <v>600</v>
      </c>
      <c r="G218" s="205" t="str">
        <f ca="1">'Unit rate charges'!$C$79</f>
        <v>Section 514-C: Initial unit rate 3</v>
      </c>
    </row>
    <row r="219" spans="6:7" customFormat="1" x14ac:dyDescent="0.25">
      <c r="F219" s="208" t="s">
        <v>600</v>
      </c>
      <c r="G219" s="205" t="str">
        <f ca="1">'Unit rate charges'!$C$109</f>
        <v>Section 514-D: Standing charge factors</v>
      </c>
    </row>
    <row r="220" spans="6:7" customFormat="1" x14ac:dyDescent="0.25">
      <c r="F220" s="208" t="s">
        <v>600</v>
      </c>
      <c r="G220" s="205" t="str">
        <f ca="1">'Unit rate charges'!$C$124</f>
        <v>Section 514-E: Contributions to unit rate 1 p/kWh by network level (taking account of standing charges)</v>
      </c>
    </row>
    <row r="221" spans="6:7" customFormat="1" x14ac:dyDescent="0.25">
      <c r="F221" s="208" t="s">
        <v>600</v>
      </c>
      <c r="G221" s="205" t="str">
        <f ca="1">'Unit rate charges'!$C$154</f>
        <v>Section 514-F: Contributions to unit rate 2 p/kWh by network level (taking account of standing charges)</v>
      </c>
    </row>
    <row r="222" spans="6:7" customFormat="1" x14ac:dyDescent="0.25">
      <c r="F222" s="208" t="s">
        <v>600</v>
      </c>
      <c r="G222" s="205" t="str">
        <f ca="1">'Unit rate charges'!$C$184</f>
        <v>Section 514-G: Contributions to unit rate 3 p/kWh by network level (taking account of standing charges)</v>
      </c>
    </row>
    <row r="223" spans="6:7" customFormat="1" ht="15.75" thickBot="1" x14ac:dyDescent="0.3">
      <c r="F223" s="208" t="s">
        <v>600</v>
      </c>
      <c r="G223" s="205" t="str">
        <f ca="1">'Unit rate charges'!$C$214</f>
        <v>Section 514-H: Unit rates, post application of standing charges</v>
      </c>
    </row>
    <row r="224" spans="6:7" customFormat="1" ht="15.75" thickTop="1" x14ac:dyDescent="0.25">
      <c r="F224" s="209" t="s">
        <v>236</v>
      </c>
      <c r="G224" s="205" t="str">
        <f ca="1">'Capacity charges'!$C$19</f>
        <v>Section 515-A: Inputs to capacity charge calculations</v>
      </c>
    </row>
    <row r="225" spans="6:7" customFormat="1" x14ac:dyDescent="0.25">
      <c r="F225" s="208" t="s">
        <v>600</v>
      </c>
      <c r="G225" s="205" t="str">
        <f ca="1">'Capacity charges'!$C$129</f>
        <v>Section 515-B: Capacity-based charge elements (to be split between capacity &amp; fixed charges)</v>
      </c>
    </row>
    <row r="226" spans="6:7" customFormat="1" x14ac:dyDescent="0.25">
      <c r="F226" s="208" t="s">
        <v>600</v>
      </c>
      <c r="G226" s="205" t="str">
        <f ca="1">'Capacity charges'!$C$159</f>
        <v>Section 515-C: Exceeded capacity-based charge elements</v>
      </c>
    </row>
    <row r="227" spans="6:7" customFormat="1" x14ac:dyDescent="0.25">
      <c r="F227" s="208" t="s">
        <v>600</v>
      </c>
      <c r="G227" s="205" t="str">
        <f ca="1">'Capacity charges'!$C$189</f>
        <v>Section 515-D: Capacity charges for eligible customers, by network level</v>
      </c>
    </row>
    <row r="228" spans="6:7" customFormat="1" x14ac:dyDescent="0.25">
      <c r="F228" s="208" t="s">
        <v>600</v>
      </c>
      <c r="G228" s="205" t="str">
        <f ca="1">'Capacity charges'!$C$219</f>
        <v>Section 515-E: Exceeded capacity charges for eligible customers, by network level</v>
      </c>
    </row>
    <row r="229" spans="6:7" customFormat="1" x14ac:dyDescent="0.25">
      <c r="F229" s="208" t="s">
        <v>600</v>
      </c>
      <c r="G229" s="205" t="str">
        <f ca="1">'Capacity charges'!$C$254</f>
        <v>Section 515-F: Capacity and exceeded capacity charges</v>
      </c>
    </row>
    <row r="230" spans="6:7" customFormat="1" ht="15.75" thickBot="1" x14ac:dyDescent="0.3">
      <c r="F230" s="208" t="s">
        <v>600</v>
      </c>
      <c r="G230" s="205" t="str">
        <f ca="1">'Capacity charges'!$C$259</f>
        <v>Section 515-G: Capacity elements allocated to fixed charges</v>
      </c>
    </row>
    <row r="231" spans="6:7" customFormat="1" ht="15.75" thickTop="1" x14ac:dyDescent="0.25">
      <c r="F231" s="209" t="s">
        <v>394</v>
      </c>
      <c r="G231" s="205" t="str">
        <f ca="1">'Reactive power charges'!$C$17</f>
        <v>Section 516-A: Inputs to reactive power charge calculations</v>
      </c>
    </row>
    <row r="232" spans="6:7" customFormat="1" x14ac:dyDescent="0.25">
      <c r="F232" s="208" t="s">
        <v>600</v>
      </c>
      <c r="G232" s="205" t="str">
        <f ca="1">'Reactive power charges'!$C$120</f>
        <v>Section 516-B: Yardstick charge (demand)</v>
      </c>
    </row>
    <row r="233" spans="6:7" customFormat="1" x14ac:dyDescent="0.25">
      <c r="F233" s="208" t="s">
        <v>600</v>
      </c>
      <c r="G233" s="205" t="str">
        <f ca="1">'Reactive power charges'!$C$155</f>
        <v>Section 516-C: Yardstick charge used for generation</v>
      </c>
    </row>
    <row r="234" spans="6:7" customFormat="1" x14ac:dyDescent="0.25">
      <c r="F234" s="208" t="s">
        <v>600</v>
      </c>
      <c r="G234" s="205" t="str">
        <f ca="1">'Reactive power charges'!$C$190</f>
        <v>Section 516-D: Reactive power charges, all customer categories</v>
      </c>
    </row>
    <row r="235" spans="6:7" customFormat="1" ht="15.75" thickBot="1" x14ac:dyDescent="0.3">
      <c r="F235" s="208" t="s">
        <v>600</v>
      </c>
      <c r="G235" s="205" t="str">
        <f ca="1">'Reactive power charges'!$C$220</f>
        <v>Section 516-E: Reactive power charges for applicable customers</v>
      </c>
    </row>
    <row r="236" spans="6:7" customFormat="1" ht="15.75" thickTop="1" x14ac:dyDescent="0.25">
      <c r="F236" s="209" t="s">
        <v>237</v>
      </c>
      <c r="G236" s="205" t="str">
        <f ca="1">'Fixed charges'!$C$16</f>
        <v>Section 517-A: Volumes (discounted MPANs &amp; maximum load)</v>
      </c>
    </row>
    <row r="237" spans="6:7" customFormat="1" x14ac:dyDescent="0.25">
      <c r="F237" s="208" t="s">
        <v>600</v>
      </c>
      <c r="G237" s="205" t="str">
        <f ca="1">'Fixed charges'!$C$22</f>
        <v>Section 517-B: Capacity elements allocated to fixed charges</v>
      </c>
    </row>
    <row r="238" spans="6:7" customFormat="1" x14ac:dyDescent="0.25">
      <c r="F238" s="208" t="s">
        <v>600</v>
      </c>
      <c r="G238" s="205" t="str">
        <f ca="1">'Fixed charges'!$C$52</f>
        <v>Section 517-C: Service model costs allocated to fixed charges</v>
      </c>
    </row>
    <row r="239" spans="6:7" customFormat="1" x14ac:dyDescent="0.25">
      <c r="F239" s="208" t="s">
        <v>600</v>
      </c>
      <c r="G239" s="205" t="str">
        <f ca="1">'Fixed charges'!$C$58</f>
        <v>Section 517-D: Flags</v>
      </c>
    </row>
    <row r="240" spans="6:7" customFormat="1" x14ac:dyDescent="0.25">
      <c r="F240" s="208" t="s">
        <v>600</v>
      </c>
      <c r="G240" s="205" t="str">
        <f ca="1">'Fixed charges'!$C$67</f>
        <v>Section 517-E: Revenue allocated to fixed charges</v>
      </c>
    </row>
    <row r="241" spans="6:7" customFormat="1" x14ac:dyDescent="0.25">
      <c r="F241" s="208" t="s">
        <v>600</v>
      </c>
      <c r="G241" s="205" t="str">
        <f ca="1">'Fixed charges'!$C$97</f>
        <v>Section 517-F: Revenue allocated to fixed charges, by aggregation group</v>
      </c>
    </row>
    <row r="242" spans="6:7" customFormat="1" x14ac:dyDescent="0.25">
      <c r="F242" s="208" t="s">
        <v>600</v>
      </c>
      <c r="G242" s="205" t="str">
        <f ca="1">'Fixed charges'!$C$127</f>
        <v>Section 517-G: Fixed charges, by network level</v>
      </c>
    </row>
    <row r="243" spans="6:7" customFormat="1" ht="15.75" thickBot="1" x14ac:dyDescent="0.3">
      <c r="F243" s="208" t="s">
        <v>600</v>
      </c>
      <c r="G243" s="205" t="str">
        <f ca="1">'Fixed charges'!$C$159</f>
        <v>Section 517-H: Aggregated fixed charges</v>
      </c>
    </row>
    <row r="244" spans="6:7" customFormat="1" ht="15.75" thickTop="1" x14ac:dyDescent="0.25">
      <c r="F244" s="209" t="s">
        <v>1246</v>
      </c>
      <c r="G244" s="205" t="str">
        <f ca="1">'SoLR &amp; bad debt adders'!$C$16</f>
        <v>Section 518-A: Inputs for fixed tariff adjustments</v>
      </c>
    </row>
    <row r="245" spans="6:7" customFormat="1" x14ac:dyDescent="0.25">
      <c r="F245" s="208" t="s">
        <v>600</v>
      </c>
      <c r="G245" s="205" t="str">
        <f ca="1">'SoLR &amp; bad debt adders'!$C$35</f>
        <v>Section 518-B: Calculation of fixed tariff adjustments</v>
      </c>
    </row>
    <row r="246" spans="6:7" customFormat="1" ht="15.75" thickBot="1" x14ac:dyDescent="0.3">
      <c r="F246" s="208" t="s">
        <v>600</v>
      </c>
      <c r="G246" s="205" t="str">
        <f ca="1">'SoLR &amp; bad debt adders'!$C$53</f>
        <v>Section 518-C: Calculation of fixed charge adder revenue</v>
      </c>
    </row>
    <row r="247" spans="6:7" customFormat="1" ht="15.75" thickTop="1" x14ac:dyDescent="0.25">
      <c r="F247" s="209" t="s">
        <v>238</v>
      </c>
      <c r="G247" s="205" t="str">
        <f ca="1">'Revenue matching'!$C$15</f>
        <v>Section 519-A: Inputs to revenue matching</v>
      </c>
    </row>
    <row r="248" spans="6:7" customFormat="1" x14ac:dyDescent="0.25">
      <c r="F248" s="208" t="s">
        <v>600</v>
      </c>
      <c r="G248" s="205" t="str">
        <f ca="1">'Revenue matching'!$C$70</f>
        <v>Section 519-B: Net revenue before matching</v>
      </c>
    </row>
    <row r="249" spans="6:7" customFormat="1" x14ac:dyDescent="0.25">
      <c r="F249" s="208" t="s">
        <v>600</v>
      </c>
      <c r="G249" s="205" t="str">
        <f ca="1">'Revenue matching'!$C$89</f>
        <v>Section 519-C: Grouping of residual bands where a band has insufficient customers</v>
      </c>
    </row>
    <row r="250" spans="6:7" customFormat="1" x14ac:dyDescent="0.25">
      <c r="F250" s="208" t="s">
        <v>600</v>
      </c>
      <c r="G250" s="205" t="str">
        <f ca="1">'Revenue matching'!$C$152</f>
        <v>Section 519-D: Calculating MPANs for matching</v>
      </c>
    </row>
    <row r="251" spans="6:7" customFormat="1" x14ac:dyDescent="0.25">
      <c r="F251" s="208" t="s">
        <v>600</v>
      </c>
      <c r="G251" s="205" t="str">
        <f ca="1">'Revenue matching'!$C$160</f>
        <v>Section 519-E: Calculating unit volumes for matching</v>
      </c>
    </row>
    <row r="252" spans="6:7" customFormat="1" x14ac:dyDescent="0.25">
      <c r="F252" s="208" t="s">
        <v>600</v>
      </c>
      <c r="G252" s="205" t="str">
        <f ca="1">'Revenue matching'!$C$177</f>
        <v>Section 519-F: Allocating revenue to tariffs</v>
      </c>
    </row>
    <row r="253" spans="6:7" customFormat="1" x14ac:dyDescent="0.25">
      <c r="F253" s="208" t="s">
        <v>600</v>
      </c>
      <c r="G253" s="205" t="str">
        <f ca="1">'Revenue matching'!$C$193</f>
        <v>Section 519-G: Calculating the residual fixed charge</v>
      </c>
    </row>
    <row r="254" spans="6:7" customFormat="1" x14ac:dyDescent="0.25">
      <c r="F254" s="208" t="s">
        <v>600</v>
      </c>
      <c r="G254" s="205" t="str">
        <f ca="1">'Revenue matching'!$C$201</f>
        <v>Section 519-H: Calculating the initial residual unit rate</v>
      </c>
    </row>
    <row r="255" spans="6:7" customFormat="1" x14ac:dyDescent="0.25">
      <c r="F255" s="208" t="s">
        <v>600</v>
      </c>
      <c r="G255" s="205" t="str">
        <f ca="1">'Revenue matching'!$C$214</f>
        <v>Section 519-I: Floor on negative residual fixed charges</v>
      </c>
    </row>
    <row r="256" spans="6:7" customFormat="1" x14ac:dyDescent="0.25">
      <c r="F256" s="208" t="s">
        <v>600</v>
      </c>
      <c r="G256" s="205" t="str">
        <f ca="1">'Revenue matching'!$C$233</f>
        <v>Section 519-J: Ranking unit rate volumes and tariffs</v>
      </c>
    </row>
    <row r="257" spans="6:7" customFormat="1" x14ac:dyDescent="0.25">
      <c r="F257" s="208" t="s">
        <v>600</v>
      </c>
      <c r="G257" s="205" t="str">
        <f ca="1">'Revenue matching'!$C$287</f>
        <v>Section 519-K: Revenue matching for three timebands</v>
      </c>
    </row>
    <row r="258" spans="6:7" customFormat="1" x14ac:dyDescent="0.25">
      <c r="F258" s="208" t="s">
        <v>600</v>
      </c>
      <c r="G258" s="205" t="str">
        <f ca="1">'Revenue matching'!$C$314</f>
        <v>Section 519-L: Revenue matching for two timebands</v>
      </c>
    </row>
    <row r="259" spans="6:7" customFormat="1" x14ac:dyDescent="0.25">
      <c r="F259" s="208" t="s">
        <v>600</v>
      </c>
      <c r="G259" s="205" t="str">
        <f ca="1">'Revenue matching'!$C$346</f>
        <v>Section 519-M: Revenue matching for one timeband</v>
      </c>
    </row>
    <row r="260" spans="6:7" customFormat="1" x14ac:dyDescent="0.25">
      <c r="F260" s="208" t="s">
        <v>600</v>
      </c>
      <c r="G260" s="205" t="str">
        <f ca="1">'Revenue matching'!$C$378</f>
        <v>Section 519-N: Revenue matching adders by timeband</v>
      </c>
    </row>
    <row r="261" spans="6:7" customFormat="1" ht="15.75" thickBot="1" x14ac:dyDescent="0.3">
      <c r="F261" s="208" t="s">
        <v>600</v>
      </c>
      <c r="G261" s="205" t="str">
        <f ca="1">'Revenue matching'!$C$410</f>
        <v>Section 519-O: Final adders</v>
      </c>
    </row>
    <row r="262" spans="6:7" customFormat="1" ht="15.75" thickTop="1" x14ac:dyDescent="0.25">
      <c r="F262" s="209" t="s">
        <v>185</v>
      </c>
      <c r="G262" s="205" t="str">
        <f ca="1">Rounding!$C$16</f>
        <v>Section 520-A: Pre-match, pre-rounding tariff forecast</v>
      </c>
    </row>
    <row r="263" spans="6:7" customFormat="1" x14ac:dyDescent="0.25">
      <c r="F263" s="208" t="s">
        <v>600</v>
      </c>
      <c r="G263" s="205" t="str">
        <f ca="1">Rounding!$C$28</f>
        <v>Section 520-B: Adders for revenue-matching</v>
      </c>
    </row>
    <row r="264" spans="6:7" customFormat="1" x14ac:dyDescent="0.25">
      <c r="F264" s="208" t="s">
        <v>600</v>
      </c>
      <c r="G264" s="205" t="str">
        <f ca="1">Rounding!$C$40</f>
        <v>Section 520-C: Adder to fixed charge for allocated pass-through costs</v>
      </c>
    </row>
    <row r="265" spans="6:7" customFormat="1" x14ac:dyDescent="0.25">
      <c r="F265" s="208" t="s">
        <v>600</v>
      </c>
      <c r="G265" s="205" t="str">
        <f ca="1">Rounding!$C$52</f>
        <v>Section 520-D: LDNO discounts</v>
      </c>
    </row>
    <row r="266" spans="6:7" customFormat="1" x14ac:dyDescent="0.25">
      <c r="F266" s="208" t="s">
        <v>600</v>
      </c>
      <c r="G266" s="205" t="str">
        <f ca="1">Rounding!$C$92</f>
        <v>Section 520-E: Decimal places for rounding</v>
      </c>
    </row>
    <row r="267" spans="6:7" customFormat="1" x14ac:dyDescent="0.25">
      <c r="F267" s="208" t="s">
        <v>600</v>
      </c>
      <c r="G267" s="205" t="str">
        <f ca="1">Rounding!$C$107</f>
        <v>Section 520-F: Tariff forecast, post-revenue matching</v>
      </c>
    </row>
    <row r="268" spans="6:7" customFormat="1" x14ac:dyDescent="0.25">
      <c r="F268" s="208" t="s">
        <v>600</v>
      </c>
      <c r="G268" s="205" t="str">
        <f ca="1">Rounding!$C$118</f>
        <v>Section 520-G: Tariff forecast, post-adders &amp; discounting</v>
      </c>
    </row>
    <row r="269" spans="6:7" customFormat="1" ht="15.75" thickBot="1" x14ac:dyDescent="0.3">
      <c r="F269" s="208" t="s">
        <v>600</v>
      </c>
      <c r="G269" s="205" t="str">
        <f ca="1">Rounding!$C$147</f>
        <v>Section 520-H: Tariff forecast, post-rounding</v>
      </c>
    </row>
    <row r="270" spans="6:7" customFormat="1" ht="15.75" thickTop="1" x14ac:dyDescent="0.25">
      <c r="F270" s="209" t="s">
        <v>553</v>
      </c>
      <c r="G270" s="205" t="str">
        <f ca="1">'Net revenue summary'!$C$13</f>
        <v>Section 521-A: Volume forecasts</v>
      </c>
    </row>
    <row r="271" spans="6:7" customFormat="1" x14ac:dyDescent="0.25">
      <c r="F271" s="208" t="s">
        <v>600</v>
      </c>
      <c r="G271" s="205" t="str">
        <f ca="1">'Net revenue summary'!$C$52</f>
        <v>Section 521-B: Tariff forecast</v>
      </c>
    </row>
    <row r="272" spans="6:7" customFormat="1" x14ac:dyDescent="0.25">
      <c r="F272" s="208" t="s">
        <v>600</v>
      </c>
      <c r="G272" s="205" t="str">
        <f ca="1">'Net revenue summary'!$C$81</f>
        <v>Section 521-C: Net revenue components</v>
      </c>
    </row>
    <row r="273" spans="2:7" customFormat="1" x14ac:dyDescent="0.25">
      <c r="F273" s="208" t="s">
        <v>600</v>
      </c>
      <c r="G273" s="205" t="str">
        <f ca="1">'Net revenue summary'!$C$92</f>
        <v>Section 521-D: Net revenue by tariff</v>
      </c>
    </row>
    <row r="274" spans="2:7" customFormat="1" x14ac:dyDescent="0.25">
      <c r="F274" s="208" t="s">
        <v>600</v>
      </c>
      <c r="G274" s="205" t="str">
        <f ca="1">'Net revenue summary'!$C$124</f>
        <v>Section 521-E: Net revenue summary (for information only)</v>
      </c>
    </row>
    <row r="275" spans="2:7" customFormat="1" ht="15.75" thickBot="1" x14ac:dyDescent="0.3">
      <c r="F275" s="208" t="s">
        <v>600</v>
      </c>
      <c r="G275" s="205" t="str">
        <f ca="1">'Net revenue summary'!$C$138</f>
        <v>Section 521-F: Typical bills</v>
      </c>
    </row>
    <row r="276" spans="2:7" customFormat="1" ht="15.75" thickTop="1" x14ac:dyDescent="0.25">
      <c r="F276" s="211" t="s">
        <v>436</v>
      </c>
      <c r="G276" s="205" t="str">
        <f ca="1">'Tariff summary'!$C$15</f>
        <v>Output 501-A: Live tariff results (2023/24)</v>
      </c>
    </row>
    <row r="277" spans="2:7" customFormat="1" x14ac:dyDescent="0.25">
      <c r="F277" s="210" t="s">
        <v>600</v>
      </c>
      <c r="G277" s="205" t="str">
        <f ca="1">'Tariff summary'!$C$119</f>
        <v>Output 501-B: tariff forecast results for charging year 2023/24</v>
      </c>
    </row>
    <row r="278" spans="2:7" customFormat="1" x14ac:dyDescent="0.25">
      <c r="F278" s="210" t="s">
        <v>600</v>
      </c>
      <c r="G278" s="205" t="str">
        <f ca="1">'Tariff summary'!$C$223</f>
        <v>Output 501-C: Tariff results for charging year 2024/25</v>
      </c>
    </row>
    <row r="279" spans="2:7" customFormat="1" x14ac:dyDescent="0.25">
      <c r="F279" s="210" t="s">
        <v>600</v>
      </c>
      <c r="G279" s="205" t="str">
        <f ca="1">'Tariff summary'!$C$327</f>
        <v>Output 501-D: Tariff results for charging year 2025/26</v>
      </c>
    </row>
    <row r="280" spans="2:7" customFormat="1" x14ac:dyDescent="0.25">
      <c r="F280" s="210" t="s">
        <v>600</v>
      </c>
      <c r="G280" s="205" t="str">
        <f ca="1">'Tariff summary'!$C$431</f>
        <v>Output 501-E: Tariff results for charging year 2026/27</v>
      </c>
    </row>
    <row r="281" spans="2:7" customFormat="1" ht="15.75" thickBot="1" x14ac:dyDescent="0.3">
      <c r="F281" s="210" t="s">
        <v>600</v>
      </c>
      <c r="G281" s="205" t="str">
        <f ca="1">'Tariff summary'!$C$535</f>
        <v>Output 501-F: Tariff results for charging year 2027/28</v>
      </c>
    </row>
    <row r="282" spans="2:7" customFormat="1" ht="15.75" thickTop="1" x14ac:dyDescent="0.25">
      <c r="F282" s="211" t="s">
        <v>483</v>
      </c>
      <c r="G282" s="205" t="str">
        <f ca="1">'Typical bills'!$C$15</f>
        <v>Output 502-A: Typical bill results</v>
      </c>
    </row>
    <row r="283" spans="2:7" customFormat="1" x14ac:dyDescent="0.25"/>
    <row r="284" spans="2:7" customFormat="1" x14ac:dyDescent="0.25">
      <c r="B284" s="95" t="s">
        <v>110</v>
      </c>
      <c r="C284" s="95"/>
      <c r="D284" s="95"/>
      <c r="E284" s="95"/>
      <c r="F284" s="95"/>
      <c r="G284" s="95"/>
    </row>
    <row r="285" spans="2:7" customFormat="1" x14ac:dyDescent="0.25"/>
    <row r="286" spans="2:7" customFormat="1" x14ac:dyDescent="0.25"/>
    <row r="287" spans="2:7" customFormat="1" x14ac:dyDescent="0.25"/>
    <row r="288" spans="2:7" customFormat="1" x14ac:dyDescent="0.25"/>
    <row r="289" customFormat="1" x14ac:dyDescent="0.25"/>
    <row r="290" customFormat="1" x14ac:dyDescent="0.25"/>
    <row r="291" customFormat="1" x14ac:dyDescent="0.25"/>
    <row r="292" customFormat="1" x14ac:dyDescent="0.25"/>
    <row r="293" customFormat="1" x14ac:dyDescent="0.25"/>
    <row r="294" customFormat="1" x14ac:dyDescent="0.25"/>
    <row r="295" customFormat="1" x14ac:dyDescent="0.25"/>
    <row r="296" customFormat="1" x14ac:dyDescent="0.25"/>
    <row r="297" customFormat="1" x14ac:dyDescent="0.25"/>
    <row r="298" customFormat="1" x14ac:dyDescent="0.25"/>
    <row r="299" customFormat="1" x14ac:dyDescent="0.25"/>
    <row r="300" customFormat="1" x14ac:dyDescent="0.25"/>
    <row r="301" customFormat="1" x14ac:dyDescent="0.25"/>
    <row r="302" customFormat="1" x14ac:dyDescent="0.25"/>
    <row r="303" customFormat="1" x14ac:dyDescent="0.25"/>
    <row r="304" customFormat="1" x14ac:dyDescent="0.25"/>
    <row r="305" customFormat="1" x14ac:dyDescent="0.25"/>
    <row r="306" customFormat="1" x14ac:dyDescent="0.25"/>
    <row r="307" customFormat="1" x14ac:dyDescent="0.25"/>
    <row r="308" customFormat="1" x14ac:dyDescent="0.25"/>
    <row r="309" customFormat="1" x14ac:dyDescent="0.25"/>
    <row r="310" customFormat="1" x14ac:dyDescent="0.25"/>
    <row r="311" customFormat="1" x14ac:dyDescent="0.25"/>
    <row r="312" customFormat="1" x14ac:dyDescent="0.25"/>
    <row r="313" customFormat="1" x14ac:dyDescent="0.25"/>
    <row r="314" customFormat="1" x14ac:dyDescent="0.25"/>
    <row r="315" customFormat="1" x14ac:dyDescent="0.25"/>
    <row r="316" customFormat="1" x14ac:dyDescent="0.25"/>
    <row r="317" customFormat="1" x14ac:dyDescent="0.25"/>
    <row r="318" customFormat="1" x14ac:dyDescent="0.25"/>
    <row r="319" customFormat="1" x14ac:dyDescent="0.25"/>
    <row r="320" customFormat="1" x14ac:dyDescent="0.25"/>
    <row r="321" customFormat="1" x14ac:dyDescent="0.25"/>
    <row r="322" customFormat="1" x14ac:dyDescent="0.25"/>
    <row r="323" customFormat="1" x14ac:dyDescent="0.25"/>
    <row r="324" customFormat="1" x14ac:dyDescent="0.25"/>
    <row r="325" customFormat="1" x14ac:dyDescent="0.25"/>
    <row r="326" customFormat="1" x14ac:dyDescent="0.25"/>
    <row r="327" customFormat="1" x14ac:dyDescent="0.25"/>
    <row r="328" customFormat="1" x14ac:dyDescent="0.25"/>
    <row r="329" customFormat="1" x14ac:dyDescent="0.25"/>
    <row r="330" customFormat="1" x14ac:dyDescent="0.25"/>
    <row r="331" customFormat="1" x14ac:dyDescent="0.25"/>
    <row r="332" customFormat="1" x14ac:dyDescent="0.25"/>
    <row r="333" customFormat="1" x14ac:dyDescent="0.25"/>
    <row r="334" customFormat="1" x14ac:dyDescent="0.25"/>
    <row r="335" customFormat="1" x14ac:dyDescent="0.25"/>
    <row r="336" customFormat="1" x14ac:dyDescent="0.25"/>
    <row r="337" customFormat="1" x14ac:dyDescent="0.25"/>
    <row r="338" customFormat="1" x14ac:dyDescent="0.25"/>
    <row r="339" customFormat="1" x14ac:dyDescent="0.25"/>
    <row r="340" customFormat="1" x14ac:dyDescent="0.25"/>
    <row r="341" customFormat="1" x14ac:dyDescent="0.25"/>
    <row r="342" customFormat="1" x14ac:dyDescent="0.25"/>
    <row r="343" customFormat="1" x14ac:dyDescent="0.25"/>
    <row r="344" customFormat="1" x14ac:dyDescent="0.25"/>
    <row r="345" customFormat="1" x14ac:dyDescent="0.25"/>
    <row r="346" customFormat="1" x14ac:dyDescent="0.25"/>
    <row r="347" customFormat="1" x14ac:dyDescent="0.25"/>
    <row r="348" customFormat="1" x14ac:dyDescent="0.25"/>
    <row r="349" customFormat="1" x14ac:dyDescent="0.25"/>
    <row r="350" customFormat="1" x14ac:dyDescent="0.25"/>
    <row r="351" customFormat="1" x14ac:dyDescent="0.25"/>
    <row r="352" customFormat="1" x14ac:dyDescent="0.25"/>
    <row r="353" customFormat="1" x14ac:dyDescent="0.25"/>
    <row r="354" customFormat="1" x14ac:dyDescent="0.25"/>
    <row r="355" customFormat="1" x14ac:dyDescent="0.25"/>
    <row r="356" customFormat="1" x14ac:dyDescent="0.25"/>
    <row r="357" customFormat="1" x14ac:dyDescent="0.25"/>
    <row r="358" customFormat="1" x14ac:dyDescent="0.25"/>
    <row r="359" customFormat="1" x14ac:dyDescent="0.25"/>
    <row r="360" customFormat="1" x14ac:dyDescent="0.25"/>
    <row r="361" customFormat="1" x14ac:dyDescent="0.25"/>
    <row r="362" customFormat="1" x14ac:dyDescent="0.25"/>
    <row r="363" customFormat="1" x14ac:dyDescent="0.25"/>
    <row r="364" customFormat="1" x14ac:dyDescent="0.25"/>
    <row r="365" customFormat="1" x14ac:dyDescent="0.25"/>
    <row r="366" customFormat="1" x14ac:dyDescent="0.25"/>
    <row r="367" customFormat="1" x14ac:dyDescent="0.25"/>
    <row r="368" customFormat="1" x14ac:dyDescent="0.25"/>
    <row r="369" customFormat="1" x14ac:dyDescent="0.25"/>
    <row r="370" customFormat="1" x14ac:dyDescent="0.25"/>
    <row r="371" customFormat="1" x14ac:dyDescent="0.25"/>
    <row r="372" customFormat="1" x14ac:dyDescent="0.25"/>
    <row r="373" customFormat="1" x14ac:dyDescent="0.25"/>
    <row r="374" customFormat="1" x14ac:dyDescent="0.25"/>
    <row r="375" customFormat="1" x14ac:dyDescent="0.25"/>
    <row r="376" customFormat="1" x14ac:dyDescent="0.25"/>
    <row r="377" customFormat="1" x14ac:dyDescent="0.25"/>
    <row r="378" customFormat="1" x14ac:dyDescent="0.25"/>
    <row r="379" customFormat="1" x14ac:dyDescent="0.25"/>
    <row r="380" customFormat="1" x14ac:dyDescent="0.25"/>
    <row r="381" customFormat="1" x14ac:dyDescent="0.25"/>
    <row r="382" customFormat="1" x14ac:dyDescent="0.25"/>
    <row r="383" customFormat="1" x14ac:dyDescent="0.25"/>
    <row r="384" customFormat="1" x14ac:dyDescent="0.25"/>
    <row r="385" customFormat="1" x14ac:dyDescent="0.25"/>
    <row r="386" customFormat="1" x14ac:dyDescent="0.25"/>
    <row r="387" customFormat="1" x14ac:dyDescent="0.25"/>
    <row r="388" customFormat="1" x14ac:dyDescent="0.25"/>
    <row r="389" customFormat="1" x14ac:dyDescent="0.25"/>
    <row r="390" customFormat="1" x14ac:dyDescent="0.25"/>
    <row r="391" customFormat="1" x14ac:dyDescent="0.25"/>
    <row r="392" customFormat="1" x14ac:dyDescent="0.25"/>
    <row r="393" customFormat="1" x14ac:dyDescent="0.25"/>
    <row r="394" customFormat="1" x14ac:dyDescent="0.25"/>
    <row r="395" customFormat="1" x14ac:dyDescent="0.25"/>
    <row r="396" customFormat="1" x14ac:dyDescent="0.25"/>
    <row r="397" customFormat="1" x14ac:dyDescent="0.25"/>
    <row r="398" customFormat="1" x14ac:dyDescent="0.25"/>
    <row r="399" customFormat="1" x14ac:dyDescent="0.25"/>
    <row r="400" customFormat="1" x14ac:dyDescent="0.25"/>
    <row r="401" customFormat="1" x14ac:dyDescent="0.25"/>
    <row r="402" customFormat="1" x14ac:dyDescent="0.25"/>
    <row r="403" customFormat="1" x14ac:dyDescent="0.25"/>
    <row r="404" customFormat="1" x14ac:dyDescent="0.25"/>
    <row r="405" customFormat="1" x14ac:dyDescent="0.25"/>
    <row r="406" customFormat="1" x14ac:dyDescent="0.25"/>
    <row r="407" customFormat="1" x14ac:dyDescent="0.25"/>
    <row r="408" customFormat="1" x14ac:dyDescent="0.25"/>
    <row r="409" customFormat="1" x14ac:dyDescent="0.25"/>
    <row r="410" customFormat="1" x14ac:dyDescent="0.25"/>
    <row r="411" customFormat="1" x14ac:dyDescent="0.25"/>
    <row r="412" customFormat="1" x14ac:dyDescent="0.25"/>
    <row r="413" customFormat="1" x14ac:dyDescent="0.25"/>
    <row r="414" customFormat="1" x14ac:dyDescent="0.25"/>
    <row r="415" customFormat="1" x14ac:dyDescent="0.25"/>
    <row r="416" customFormat="1" x14ac:dyDescent="0.25"/>
    <row r="417" customFormat="1" x14ac:dyDescent="0.25"/>
    <row r="418" customFormat="1" x14ac:dyDescent="0.25"/>
    <row r="419" customFormat="1" x14ac:dyDescent="0.25"/>
    <row r="420" customFormat="1" x14ac:dyDescent="0.25"/>
    <row r="421" customFormat="1" x14ac:dyDescent="0.25"/>
    <row r="422" customFormat="1" x14ac:dyDescent="0.25"/>
    <row r="423" customFormat="1" x14ac:dyDescent="0.25"/>
    <row r="424" customFormat="1" x14ac:dyDescent="0.25"/>
    <row r="425" customFormat="1" x14ac:dyDescent="0.25"/>
    <row r="426" customFormat="1" x14ac:dyDescent="0.25"/>
    <row r="427" customFormat="1" x14ac:dyDescent="0.25"/>
    <row r="428" customFormat="1" x14ac:dyDescent="0.25"/>
    <row r="429" customFormat="1" x14ac:dyDescent="0.25"/>
    <row r="430" customFormat="1" x14ac:dyDescent="0.25"/>
    <row r="431" customFormat="1" x14ac:dyDescent="0.25"/>
    <row r="432" customFormat="1" x14ac:dyDescent="0.25"/>
    <row r="433" customFormat="1" x14ac:dyDescent="0.25"/>
    <row r="434" customFormat="1" x14ac:dyDescent="0.25"/>
    <row r="435" customFormat="1" x14ac:dyDescent="0.25"/>
    <row r="436" customFormat="1" x14ac:dyDescent="0.25"/>
    <row r="437" customFormat="1" x14ac:dyDescent="0.25"/>
    <row r="438" customFormat="1" x14ac:dyDescent="0.25"/>
    <row r="439" customFormat="1" x14ac:dyDescent="0.25"/>
    <row r="440" customFormat="1" x14ac:dyDescent="0.25"/>
    <row r="441" customFormat="1" x14ac:dyDescent="0.25"/>
    <row r="442" customFormat="1" x14ac:dyDescent="0.25"/>
    <row r="443" customFormat="1" x14ac:dyDescent="0.25"/>
    <row r="444" customFormat="1" x14ac:dyDescent="0.25"/>
    <row r="445" customFormat="1" x14ac:dyDescent="0.25"/>
    <row r="446" customFormat="1" x14ac:dyDescent="0.25"/>
    <row r="447" customFormat="1" x14ac:dyDescent="0.25"/>
    <row r="448" customFormat="1" x14ac:dyDescent="0.25"/>
    <row r="449" customFormat="1" x14ac:dyDescent="0.25"/>
    <row r="450" customFormat="1" x14ac:dyDescent="0.25"/>
    <row r="451" customFormat="1" x14ac:dyDescent="0.25"/>
    <row r="452" customFormat="1" x14ac:dyDescent="0.25"/>
    <row r="453" customFormat="1" x14ac:dyDescent="0.25"/>
    <row r="454" customFormat="1" x14ac:dyDescent="0.25"/>
    <row r="455" customFormat="1" x14ac:dyDescent="0.25"/>
    <row r="456" customFormat="1" x14ac:dyDescent="0.25"/>
    <row r="457" customFormat="1" x14ac:dyDescent="0.25"/>
    <row r="458" customFormat="1" x14ac:dyDescent="0.25"/>
    <row r="459" customFormat="1" x14ac:dyDescent="0.25"/>
    <row r="460" customFormat="1" x14ac:dyDescent="0.25"/>
    <row r="461" customFormat="1" x14ac:dyDescent="0.25"/>
    <row r="462" customFormat="1" x14ac:dyDescent="0.25"/>
    <row r="463" customFormat="1" x14ac:dyDescent="0.25"/>
    <row r="464" customFormat="1" x14ac:dyDescent="0.25"/>
    <row r="465" customFormat="1" x14ac:dyDescent="0.25"/>
    <row r="466" customFormat="1" x14ac:dyDescent="0.25"/>
    <row r="467" customFormat="1" x14ac:dyDescent="0.25"/>
    <row r="468" customFormat="1" x14ac:dyDescent="0.25"/>
    <row r="469" customFormat="1" x14ac:dyDescent="0.25"/>
    <row r="470" customFormat="1" x14ac:dyDescent="0.25"/>
    <row r="471" customFormat="1" x14ac:dyDescent="0.25"/>
    <row r="472" customFormat="1" x14ac:dyDescent="0.25"/>
    <row r="473" customFormat="1" x14ac:dyDescent="0.25"/>
    <row r="474" customFormat="1" x14ac:dyDescent="0.25"/>
    <row r="475" customFormat="1" x14ac:dyDescent="0.25"/>
    <row r="476" customFormat="1" x14ac:dyDescent="0.25"/>
    <row r="477" customFormat="1" x14ac:dyDescent="0.25"/>
    <row r="478" customFormat="1" x14ac:dyDescent="0.25"/>
    <row r="479" customFormat="1" x14ac:dyDescent="0.25"/>
    <row r="480" customFormat="1" x14ac:dyDescent="0.25"/>
    <row r="481" customFormat="1" x14ac:dyDescent="0.25"/>
    <row r="482" customFormat="1" x14ac:dyDescent="0.25"/>
    <row r="483" customFormat="1" x14ac:dyDescent="0.25"/>
    <row r="484" customFormat="1" x14ac:dyDescent="0.25"/>
    <row r="485" customFormat="1" x14ac:dyDescent="0.25"/>
    <row r="486" customFormat="1" x14ac:dyDescent="0.25"/>
    <row r="487" customFormat="1" x14ac:dyDescent="0.25"/>
    <row r="488" customFormat="1" x14ac:dyDescent="0.25"/>
    <row r="489" customFormat="1" x14ac:dyDescent="0.25"/>
    <row r="490" customFormat="1" x14ac:dyDescent="0.25"/>
    <row r="491" customFormat="1" x14ac:dyDescent="0.25"/>
    <row r="492" customFormat="1" x14ac:dyDescent="0.25"/>
    <row r="493" customFormat="1" x14ac:dyDescent="0.25"/>
    <row r="494" customFormat="1" x14ac:dyDescent="0.25"/>
    <row r="495" customFormat="1" x14ac:dyDescent="0.25"/>
    <row r="496" customFormat="1" x14ac:dyDescent="0.25"/>
    <row r="497" customFormat="1" x14ac:dyDescent="0.25"/>
    <row r="498" customFormat="1" x14ac:dyDescent="0.25"/>
    <row r="499" customFormat="1" x14ac:dyDescent="0.25"/>
    <row r="500" customFormat="1" x14ac:dyDescent="0.25"/>
    <row r="501" customFormat="1" x14ac:dyDescent="0.25"/>
    <row r="502" customFormat="1" x14ac:dyDescent="0.25"/>
    <row r="503" customFormat="1" x14ac:dyDescent="0.25"/>
    <row r="504" customFormat="1" x14ac:dyDescent="0.25"/>
    <row r="505" customFormat="1" x14ac:dyDescent="0.25"/>
    <row r="506" customFormat="1" x14ac:dyDescent="0.25"/>
    <row r="507" customFormat="1" x14ac:dyDescent="0.25"/>
    <row r="508" customFormat="1" x14ac:dyDescent="0.25"/>
    <row r="509" customFormat="1" x14ac:dyDescent="0.25"/>
    <row r="510" customFormat="1" x14ac:dyDescent="0.25"/>
    <row r="511" customFormat="1" x14ac:dyDescent="0.25"/>
    <row r="512" customFormat="1" x14ac:dyDescent="0.25"/>
    <row r="513" customFormat="1" x14ac:dyDescent="0.25"/>
    <row r="514" customFormat="1" x14ac:dyDescent="0.25"/>
    <row r="515" customFormat="1" x14ac:dyDescent="0.25"/>
    <row r="516" customFormat="1" x14ac:dyDescent="0.25"/>
    <row r="517" customFormat="1" x14ac:dyDescent="0.25"/>
    <row r="518" customFormat="1" x14ac:dyDescent="0.25"/>
    <row r="519" customFormat="1" x14ac:dyDescent="0.25"/>
    <row r="520" customFormat="1" x14ac:dyDescent="0.25"/>
    <row r="521" customFormat="1" x14ac:dyDescent="0.25"/>
    <row r="522" customFormat="1" x14ac:dyDescent="0.25"/>
    <row r="523" customFormat="1" x14ac:dyDescent="0.25"/>
    <row r="524" customFormat="1" x14ac:dyDescent="0.25"/>
    <row r="525" customFormat="1" x14ac:dyDescent="0.25"/>
    <row r="526" customFormat="1" x14ac:dyDescent="0.25"/>
    <row r="527" customFormat="1" x14ac:dyDescent="0.25"/>
    <row r="528" customFormat="1" x14ac:dyDescent="0.25"/>
    <row r="529" customFormat="1" x14ac:dyDescent="0.25"/>
    <row r="530" customFormat="1" x14ac:dyDescent="0.25"/>
    <row r="531" customFormat="1" x14ac:dyDescent="0.25"/>
    <row r="532" customFormat="1" x14ac:dyDescent="0.25"/>
    <row r="533" customFormat="1" x14ac:dyDescent="0.25"/>
    <row r="534" customFormat="1" x14ac:dyDescent="0.25"/>
    <row r="535" customFormat="1" x14ac:dyDescent="0.25"/>
    <row r="536" customFormat="1" x14ac:dyDescent="0.25"/>
    <row r="537" customFormat="1" x14ac:dyDescent="0.25"/>
    <row r="538" customFormat="1" x14ac:dyDescent="0.25"/>
    <row r="539" customFormat="1" x14ac:dyDescent="0.25"/>
    <row r="540" customFormat="1" x14ac:dyDescent="0.25"/>
    <row r="541" customFormat="1" x14ac:dyDescent="0.25"/>
    <row r="542" customFormat="1" x14ac:dyDescent="0.25"/>
    <row r="543" customFormat="1" x14ac:dyDescent="0.25"/>
    <row r="544" customFormat="1" x14ac:dyDescent="0.25"/>
    <row r="545" customFormat="1" x14ac:dyDescent="0.25"/>
    <row r="546" customFormat="1" x14ac:dyDescent="0.25"/>
    <row r="547" customFormat="1" x14ac:dyDescent="0.25"/>
    <row r="548" customFormat="1" x14ac:dyDescent="0.25"/>
    <row r="549" customFormat="1" x14ac:dyDescent="0.25"/>
    <row r="550" customFormat="1" x14ac:dyDescent="0.25"/>
    <row r="551" customFormat="1" x14ac:dyDescent="0.25"/>
    <row r="552" customFormat="1" x14ac:dyDescent="0.25"/>
    <row r="553" customFormat="1" x14ac:dyDescent="0.25"/>
    <row r="554" customFormat="1" x14ac:dyDescent="0.25"/>
    <row r="555" customFormat="1" x14ac:dyDescent="0.25"/>
    <row r="556" customFormat="1" x14ac:dyDescent="0.25"/>
    <row r="557" customFormat="1" x14ac:dyDescent="0.25"/>
    <row r="558" customFormat="1" x14ac:dyDescent="0.25"/>
    <row r="559" customFormat="1" x14ac:dyDescent="0.25"/>
    <row r="560" customFormat="1" x14ac:dyDescent="0.25"/>
    <row r="561" customFormat="1" x14ac:dyDescent="0.25"/>
    <row r="562" customFormat="1" x14ac:dyDescent="0.25"/>
    <row r="563" customFormat="1" x14ac:dyDescent="0.25"/>
    <row r="564" customFormat="1" x14ac:dyDescent="0.25"/>
    <row r="565" customFormat="1" x14ac:dyDescent="0.25"/>
    <row r="566" customFormat="1" x14ac:dyDescent="0.25"/>
    <row r="567" customFormat="1" x14ac:dyDescent="0.25"/>
    <row r="568" customFormat="1" x14ac:dyDescent="0.25"/>
    <row r="569" customFormat="1" x14ac:dyDescent="0.25"/>
    <row r="570" customFormat="1" x14ac:dyDescent="0.25"/>
    <row r="571" customFormat="1" x14ac:dyDescent="0.25"/>
    <row r="572" customFormat="1" x14ac:dyDescent="0.25"/>
    <row r="573" customFormat="1" x14ac:dyDescent="0.25"/>
    <row r="574" customFormat="1" x14ac:dyDescent="0.25"/>
    <row r="575" customFormat="1" x14ac:dyDescent="0.25"/>
    <row r="576" customFormat="1" x14ac:dyDescent="0.25"/>
    <row r="577" customFormat="1" x14ac:dyDescent="0.25"/>
    <row r="578" customFormat="1" x14ac:dyDescent="0.25"/>
    <row r="579" customFormat="1" x14ac:dyDescent="0.25"/>
    <row r="580" customFormat="1" x14ac:dyDescent="0.25"/>
    <row r="581" customFormat="1" x14ac:dyDescent="0.25"/>
    <row r="582" customFormat="1" x14ac:dyDescent="0.25"/>
    <row r="583" customFormat="1" x14ac:dyDescent="0.25"/>
    <row r="584" customFormat="1" x14ac:dyDescent="0.25"/>
    <row r="585" customFormat="1" x14ac:dyDescent="0.25"/>
    <row r="586" customFormat="1" x14ac:dyDescent="0.25"/>
    <row r="587" customFormat="1" x14ac:dyDescent="0.25"/>
    <row r="588" customFormat="1" x14ac:dyDescent="0.25"/>
    <row r="589" customFormat="1" x14ac:dyDescent="0.25"/>
    <row r="590" customFormat="1" x14ac:dyDescent="0.25"/>
    <row r="591" customFormat="1" x14ac:dyDescent="0.25"/>
    <row r="592" customFormat="1" x14ac:dyDescent="0.25"/>
    <row r="593" customFormat="1" x14ac:dyDescent="0.25"/>
    <row r="594" customFormat="1" x14ac:dyDescent="0.25"/>
    <row r="595" customFormat="1" x14ac:dyDescent="0.25"/>
    <row r="596" customFormat="1" x14ac:dyDescent="0.25"/>
    <row r="597" customFormat="1" x14ac:dyDescent="0.25"/>
    <row r="598" customFormat="1" x14ac:dyDescent="0.25"/>
    <row r="599" customFormat="1" x14ac:dyDescent="0.25"/>
    <row r="600" customFormat="1" x14ac:dyDescent="0.25"/>
    <row r="601" customFormat="1" x14ac:dyDescent="0.25"/>
    <row r="602" customFormat="1" x14ac:dyDescent="0.25"/>
    <row r="603" customFormat="1" x14ac:dyDescent="0.25"/>
    <row r="604" customFormat="1" x14ac:dyDescent="0.25"/>
    <row r="605" customFormat="1" x14ac:dyDescent="0.25"/>
    <row r="606" customFormat="1" x14ac:dyDescent="0.25"/>
    <row r="607" customFormat="1" x14ac:dyDescent="0.25"/>
    <row r="608" customFormat="1" x14ac:dyDescent="0.25"/>
    <row r="609" customFormat="1" x14ac:dyDescent="0.25"/>
    <row r="610" customFormat="1" x14ac:dyDescent="0.25"/>
    <row r="611" customFormat="1" x14ac:dyDescent="0.25"/>
    <row r="612" customFormat="1" x14ac:dyDescent="0.25"/>
    <row r="613" customFormat="1" x14ac:dyDescent="0.25"/>
    <row r="614" customFormat="1" x14ac:dyDescent="0.25"/>
    <row r="615" customFormat="1" x14ac:dyDescent="0.25"/>
    <row r="616" customFormat="1" x14ac:dyDescent="0.25"/>
    <row r="617" customFormat="1" x14ac:dyDescent="0.25"/>
    <row r="618" customFormat="1" x14ac:dyDescent="0.25"/>
    <row r="619" customFormat="1" x14ac:dyDescent="0.25"/>
    <row r="620" customFormat="1" x14ac:dyDescent="0.25"/>
    <row r="621" customFormat="1" x14ac:dyDescent="0.25"/>
    <row r="622" customFormat="1" x14ac:dyDescent="0.25"/>
    <row r="623" customFormat="1" x14ac:dyDescent="0.25"/>
    <row r="624" customFormat="1" x14ac:dyDescent="0.25"/>
    <row r="625" customFormat="1" x14ac:dyDescent="0.25"/>
    <row r="626" customFormat="1" x14ac:dyDescent="0.25"/>
    <row r="627" customFormat="1" x14ac:dyDescent="0.25"/>
    <row r="628" customFormat="1" x14ac:dyDescent="0.25"/>
    <row r="629" customFormat="1" x14ac:dyDescent="0.25"/>
    <row r="630" customFormat="1" x14ac:dyDescent="0.25"/>
    <row r="631" customFormat="1" x14ac:dyDescent="0.25"/>
    <row r="632" customFormat="1" x14ac:dyDescent="0.25"/>
    <row r="633" customFormat="1" x14ac:dyDescent="0.25"/>
    <row r="634" customFormat="1" x14ac:dyDescent="0.25"/>
    <row r="635" customFormat="1" x14ac:dyDescent="0.25"/>
    <row r="636" customFormat="1" x14ac:dyDescent="0.25"/>
    <row r="637" customFormat="1" x14ac:dyDescent="0.25"/>
    <row r="638" customFormat="1" x14ac:dyDescent="0.25"/>
    <row r="639" customFormat="1" x14ac:dyDescent="0.25"/>
    <row r="640" customFormat="1" x14ac:dyDescent="0.25"/>
    <row r="641" customFormat="1" x14ac:dyDescent="0.25"/>
    <row r="642" customFormat="1" x14ac:dyDescent="0.25"/>
    <row r="643" customFormat="1" x14ac:dyDescent="0.25"/>
    <row r="644" customFormat="1" x14ac:dyDescent="0.25"/>
    <row r="645" customFormat="1" x14ac:dyDescent="0.25"/>
    <row r="646" customFormat="1" x14ac:dyDescent="0.25"/>
    <row r="647" customFormat="1" x14ac:dyDescent="0.25"/>
    <row r="648" customFormat="1" x14ac:dyDescent="0.25"/>
    <row r="649" customFormat="1" x14ac:dyDescent="0.25"/>
    <row r="650" customFormat="1" x14ac:dyDescent="0.25"/>
    <row r="651" customFormat="1" x14ac:dyDescent="0.25"/>
    <row r="652" customFormat="1" x14ac:dyDescent="0.25"/>
    <row r="653" customFormat="1" x14ac:dyDescent="0.25"/>
    <row r="654" customFormat="1" x14ac:dyDescent="0.25"/>
    <row r="655" customFormat="1" x14ac:dyDescent="0.25"/>
    <row r="656" customFormat="1" x14ac:dyDescent="0.25"/>
    <row r="657" customFormat="1" x14ac:dyDescent="0.25"/>
    <row r="658" customFormat="1" x14ac:dyDescent="0.25"/>
    <row r="659" customFormat="1" x14ac:dyDescent="0.25"/>
    <row r="660" customFormat="1" x14ac:dyDescent="0.25"/>
    <row r="661" customFormat="1" x14ac:dyDescent="0.25"/>
    <row r="662" customFormat="1" x14ac:dyDescent="0.25"/>
    <row r="663" customFormat="1" x14ac:dyDescent="0.25"/>
    <row r="664" customFormat="1" x14ac:dyDescent="0.25"/>
    <row r="665" customFormat="1" x14ac:dyDescent="0.25"/>
    <row r="666" customFormat="1" x14ac:dyDescent="0.25"/>
    <row r="667" customFormat="1" x14ac:dyDescent="0.25"/>
    <row r="668" customFormat="1" x14ac:dyDescent="0.25"/>
    <row r="669" customFormat="1" x14ac:dyDescent="0.25"/>
    <row r="670" customFormat="1" x14ac:dyDescent="0.25"/>
    <row r="671" customFormat="1" x14ac:dyDescent="0.25"/>
    <row r="672" customFormat="1" x14ac:dyDescent="0.25"/>
    <row r="673" customFormat="1" x14ac:dyDescent="0.25"/>
    <row r="674" customFormat="1" x14ac:dyDescent="0.25"/>
    <row r="675" customFormat="1" x14ac:dyDescent="0.25"/>
    <row r="676" customFormat="1" x14ac:dyDescent="0.25"/>
    <row r="677" customFormat="1" x14ac:dyDescent="0.25"/>
    <row r="678" customFormat="1" x14ac:dyDescent="0.25"/>
    <row r="679" customFormat="1" x14ac:dyDescent="0.25"/>
    <row r="680" customFormat="1" x14ac:dyDescent="0.25"/>
    <row r="681" customFormat="1" x14ac:dyDescent="0.25"/>
    <row r="682" customFormat="1" x14ac:dyDescent="0.25"/>
    <row r="683" customFormat="1" x14ac:dyDescent="0.25"/>
    <row r="684" customFormat="1" x14ac:dyDescent="0.25"/>
    <row r="685" customFormat="1" x14ac:dyDescent="0.25"/>
    <row r="686" customFormat="1" x14ac:dyDescent="0.25"/>
    <row r="687" customFormat="1" x14ac:dyDescent="0.25"/>
    <row r="688" customFormat="1" x14ac:dyDescent="0.25"/>
    <row r="689" customFormat="1" x14ac:dyDescent="0.25"/>
    <row r="690" customFormat="1" x14ac:dyDescent="0.25"/>
    <row r="691" customFormat="1" x14ac:dyDescent="0.25"/>
    <row r="692" customFormat="1" x14ac:dyDescent="0.25"/>
    <row r="693" customFormat="1" x14ac:dyDescent="0.25"/>
    <row r="694" customFormat="1" x14ac:dyDescent="0.25"/>
    <row r="695" customFormat="1" x14ac:dyDescent="0.25"/>
    <row r="696" customFormat="1" x14ac:dyDescent="0.25"/>
    <row r="697" customFormat="1" x14ac:dyDescent="0.25"/>
    <row r="698" customFormat="1" x14ac:dyDescent="0.25"/>
    <row r="699" customFormat="1" x14ac:dyDescent="0.25"/>
    <row r="700" customFormat="1" x14ac:dyDescent="0.25"/>
    <row r="701" customFormat="1" x14ac:dyDescent="0.25"/>
    <row r="702" customFormat="1" x14ac:dyDescent="0.25"/>
    <row r="703" customFormat="1" x14ac:dyDescent="0.25"/>
    <row r="704" customFormat="1" x14ac:dyDescent="0.25"/>
    <row r="705" customFormat="1" x14ac:dyDescent="0.25"/>
    <row r="706" customFormat="1" x14ac:dyDescent="0.25"/>
    <row r="707" customFormat="1" x14ac:dyDescent="0.25"/>
    <row r="708" customFormat="1" x14ac:dyDescent="0.25"/>
    <row r="709" customFormat="1" x14ac:dyDescent="0.25"/>
    <row r="710" customFormat="1" x14ac:dyDescent="0.25"/>
    <row r="711" customFormat="1" x14ac:dyDescent="0.25"/>
    <row r="712" customFormat="1" x14ac:dyDescent="0.25"/>
    <row r="713" customFormat="1" x14ac:dyDescent="0.25"/>
    <row r="714" customFormat="1" x14ac:dyDescent="0.25"/>
    <row r="715" customFormat="1" x14ac:dyDescent="0.25"/>
    <row r="716" customFormat="1" x14ac:dyDescent="0.25"/>
    <row r="717" customFormat="1" x14ac:dyDescent="0.25"/>
    <row r="718" customFormat="1" x14ac:dyDescent="0.25"/>
    <row r="719" customFormat="1" x14ac:dyDescent="0.25"/>
    <row r="720" customFormat="1" x14ac:dyDescent="0.25"/>
    <row r="721" customFormat="1" x14ac:dyDescent="0.25"/>
    <row r="722" customFormat="1" x14ac:dyDescent="0.25"/>
    <row r="723" customFormat="1" x14ac:dyDescent="0.25"/>
    <row r="724" customFormat="1" x14ac:dyDescent="0.25"/>
    <row r="725" customFormat="1" x14ac:dyDescent="0.25"/>
    <row r="726" customFormat="1" x14ac:dyDescent="0.25"/>
    <row r="727" customFormat="1" x14ac:dyDescent="0.25"/>
    <row r="728" customFormat="1" x14ac:dyDescent="0.25"/>
    <row r="729" customFormat="1" x14ac:dyDescent="0.25"/>
    <row r="730" customFormat="1" x14ac:dyDescent="0.25"/>
    <row r="731" customFormat="1" x14ac:dyDescent="0.25"/>
    <row r="732" customFormat="1" x14ac:dyDescent="0.25"/>
    <row r="733" customFormat="1" x14ac:dyDescent="0.25"/>
    <row r="734" customFormat="1" x14ac:dyDescent="0.25"/>
    <row r="735" customFormat="1" x14ac:dyDescent="0.25"/>
    <row r="736" customFormat="1" x14ac:dyDescent="0.25"/>
    <row r="737" customFormat="1" x14ac:dyDescent="0.25"/>
    <row r="738" customFormat="1" x14ac:dyDescent="0.25"/>
    <row r="739" customFormat="1" x14ac:dyDescent="0.25"/>
    <row r="740" customFormat="1" x14ac:dyDescent="0.25"/>
    <row r="741" customFormat="1" x14ac:dyDescent="0.25"/>
    <row r="742" customFormat="1" x14ac:dyDescent="0.25"/>
    <row r="743" customFormat="1" x14ac:dyDescent="0.25"/>
    <row r="744" customFormat="1" x14ac:dyDescent="0.25"/>
    <row r="745" customFormat="1" x14ac:dyDescent="0.25"/>
    <row r="746" customFormat="1" x14ac:dyDescent="0.25"/>
    <row r="747" customFormat="1" x14ac:dyDescent="0.25"/>
    <row r="748" customFormat="1" x14ac:dyDescent="0.25"/>
    <row r="749" customFormat="1" x14ac:dyDescent="0.25"/>
    <row r="750" customFormat="1" x14ac:dyDescent="0.25"/>
    <row r="751" customFormat="1" x14ac:dyDescent="0.25"/>
    <row r="752" customFormat="1" x14ac:dyDescent="0.25"/>
    <row r="753" customFormat="1" x14ac:dyDescent="0.25"/>
    <row r="754" customFormat="1" x14ac:dyDescent="0.25"/>
    <row r="755" customFormat="1" x14ac:dyDescent="0.25"/>
    <row r="756" customFormat="1" x14ac:dyDescent="0.25"/>
    <row r="757" customFormat="1" x14ac:dyDescent="0.25"/>
    <row r="758" customFormat="1" x14ac:dyDescent="0.25"/>
    <row r="759" customFormat="1" x14ac:dyDescent="0.25"/>
    <row r="760" customFormat="1" x14ac:dyDescent="0.25"/>
    <row r="761" customFormat="1" x14ac:dyDescent="0.25"/>
    <row r="762" customFormat="1" x14ac:dyDescent="0.25"/>
    <row r="763" customFormat="1" x14ac:dyDescent="0.25"/>
    <row r="764" customFormat="1" x14ac:dyDescent="0.25"/>
    <row r="765" customFormat="1" x14ac:dyDescent="0.25"/>
    <row r="766" customFormat="1" x14ac:dyDescent="0.25"/>
    <row r="767" customFormat="1" x14ac:dyDescent="0.25"/>
    <row r="768" customFormat="1" x14ac:dyDescent="0.25"/>
    <row r="769" customFormat="1" x14ac:dyDescent="0.25"/>
    <row r="770" customFormat="1" x14ac:dyDescent="0.25"/>
    <row r="771" customFormat="1" x14ac:dyDescent="0.25"/>
    <row r="772" customFormat="1" x14ac:dyDescent="0.25"/>
    <row r="773" customFormat="1" x14ac:dyDescent="0.25"/>
    <row r="774" customFormat="1" x14ac:dyDescent="0.25"/>
    <row r="775" customFormat="1" x14ac:dyDescent="0.25"/>
    <row r="776" customFormat="1" x14ac:dyDescent="0.25"/>
    <row r="777" customFormat="1" x14ac:dyDescent="0.25"/>
    <row r="778" customFormat="1" x14ac:dyDescent="0.25"/>
    <row r="779" customFormat="1" x14ac:dyDescent="0.25"/>
    <row r="780" customFormat="1" x14ac:dyDescent="0.25"/>
    <row r="781" customFormat="1" x14ac:dyDescent="0.25"/>
    <row r="782" customFormat="1" x14ac:dyDescent="0.25"/>
    <row r="783" customFormat="1" x14ac:dyDescent="0.25"/>
    <row r="784" customFormat="1" x14ac:dyDescent="0.25"/>
    <row r="785" customFormat="1" x14ac:dyDescent="0.25"/>
    <row r="786" customFormat="1" x14ac:dyDescent="0.25"/>
    <row r="787" customFormat="1" x14ac:dyDescent="0.25"/>
    <row r="788" customFormat="1" x14ac:dyDescent="0.25"/>
    <row r="789" customFormat="1" x14ac:dyDescent="0.25"/>
    <row r="790" customFormat="1" x14ac:dyDescent="0.25"/>
    <row r="791" customFormat="1" x14ac:dyDescent="0.25"/>
    <row r="792" customFormat="1" x14ac:dyDescent="0.25"/>
    <row r="793" customFormat="1" x14ac:dyDescent="0.25"/>
    <row r="794" customFormat="1" x14ac:dyDescent="0.25"/>
    <row r="795" customFormat="1" x14ac:dyDescent="0.25"/>
    <row r="796" customFormat="1" x14ac:dyDescent="0.25"/>
    <row r="797" customFormat="1" x14ac:dyDescent="0.25"/>
    <row r="798" customFormat="1" x14ac:dyDescent="0.25"/>
    <row r="799" customFormat="1" x14ac:dyDescent="0.25"/>
    <row r="800" customFormat="1" x14ac:dyDescent="0.25"/>
    <row r="801" customFormat="1" x14ac:dyDescent="0.25"/>
    <row r="802" customFormat="1" x14ac:dyDescent="0.25"/>
    <row r="803" customFormat="1" x14ac:dyDescent="0.25"/>
    <row r="804" customFormat="1" x14ac:dyDescent="0.25"/>
    <row r="805" customFormat="1" x14ac:dyDescent="0.25"/>
    <row r="806" customFormat="1" x14ac:dyDescent="0.25"/>
    <row r="807" customFormat="1" x14ac:dyDescent="0.25"/>
    <row r="808" customFormat="1" x14ac:dyDescent="0.25"/>
    <row r="809" customFormat="1" x14ac:dyDescent="0.25"/>
    <row r="810" customFormat="1" x14ac:dyDescent="0.25"/>
    <row r="811" customFormat="1" x14ac:dyDescent="0.25"/>
    <row r="812" customFormat="1" x14ac:dyDescent="0.25"/>
    <row r="813" customFormat="1" x14ac:dyDescent="0.25"/>
    <row r="814" customFormat="1" x14ac:dyDescent="0.25"/>
    <row r="815" customFormat="1" x14ac:dyDescent="0.25"/>
    <row r="816" customFormat="1" x14ac:dyDescent="0.25"/>
    <row r="817" customFormat="1" x14ac:dyDescent="0.25"/>
    <row r="818" customFormat="1" x14ac:dyDescent="0.25"/>
    <row r="819" customFormat="1" x14ac:dyDescent="0.25"/>
    <row r="820" customFormat="1" x14ac:dyDescent="0.25"/>
    <row r="821" customFormat="1" x14ac:dyDescent="0.25"/>
    <row r="822" customFormat="1" x14ac:dyDescent="0.25"/>
    <row r="823" customFormat="1" x14ac:dyDescent="0.25"/>
    <row r="824" customFormat="1" x14ac:dyDescent="0.25"/>
    <row r="825" customFormat="1" x14ac:dyDescent="0.25"/>
    <row r="826" customFormat="1" x14ac:dyDescent="0.25"/>
    <row r="827" customFormat="1" x14ac:dyDescent="0.25"/>
    <row r="828" customFormat="1" x14ac:dyDescent="0.25"/>
    <row r="829" customFormat="1" x14ac:dyDescent="0.25"/>
    <row r="830" customFormat="1" x14ac:dyDescent="0.25"/>
    <row r="831" customFormat="1" x14ac:dyDescent="0.25"/>
    <row r="832" customFormat="1" x14ac:dyDescent="0.25"/>
    <row r="833" customFormat="1" x14ac:dyDescent="0.25"/>
    <row r="834" customFormat="1" x14ac:dyDescent="0.25"/>
    <row r="835" customFormat="1" x14ac:dyDescent="0.25"/>
    <row r="836" customFormat="1" x14ac:dyDescent="0.25"/>
    <row r="837" customFormat="1" x14ac:dyDescent="0.25"/>
    <row r="838" customFormat="1" x14ac:dyDescent="0.25"/>
    <row r="839" customFormat="1" x14ac:dyDescent="0.25"/>
    <row r="840" customFormat="1" x14ac:dyDescent="0.25"/>
    <row r="841" customFormat="1" x14ac:dyDescent="0.25"/>
    <row r="842" customFormat="1" x14ac:dyDescent="0.25"/>
    <row r="843" customFormat="1" x14ac:dyDescent="0.25"/>
    <row r="844" customFormat="1" x14ac:dyDescent="0.25"/>
    <row r="845" customFormat="1" x14ac:dyDescent="0.25"/>
    <row r="846" customFormat="1" x14ac:dyDescent="0.25"/>
    <row r="847" customFormat="1" x14ac:dyDescent="0.25"/>
    <row r="848" customFormat="1" x14ac:dyDescent="0.25"/>
    <row r="849" customFormat="1" x14ac:dyDescent="0.25"/>
    <row r="850" customFormat="1" x14ac:dyDescent="0.25"/>
    <row r="851" customFormat="1" x14ac:dyDescent="0.25"/>
    <row r="852" customFormat="1" x14ac:dyDescent="0.25"/>
    <row r="853" customFormat="1" x14ac:dyDescent="0.25"/>
    <row r="854" customFormat="1" x14ac:dyDescent="0.25"/>
    <row r="855" customFormat="1" x14ac:dyDescent="0.25"/>
    <row r="856" customFormat="1" x14ac:dyDescent="0.25"/>
    <row r="857" customFormat="1" x14ac:dyDescent="0.25"/>
    <row r="858" customFormat="1" x14ac:dyDescent="0.25"/>
    <row r="859" customFormat="1" x14ac:dyDescent="0.25"/>
    <row r="860" customFormat="1" x14ac:dyDescent="0.25"/>
    <row r="861" customFormat="1" x14ac:dyDescent="0.25"/>
    <row r="862" customFormat="1" x14ac:dyDescent="0.25"/>
    <row r="863" customFormat="1" x14ac:dyDescent="0.25"/>
    <row r="864" customFormat="1" x14ac:dyDescent="0.25"/>
    <row r="865" customFormat="1" x14ac:dyDescent="0.25"/>
    <row r="866" customFormat="1" x14ac:dyDescent="0.25"/>
    <row r="867" customFormat="1" x14ac:dyDescent="0.25"/>
    <row r="868" customFormat="1" x14ac:dyDescent="0.25"/>
    <row r="869" customFormat="1" x14ac:dyDescent="0.25"/>
    <row r="870" customFormat="1" x14ac:dyDescent="0.25"/>
    <row r="871" customFormat="1" x14ac:dyDescent="0.25"/>
    <row r="872" customFormat="1" x14ac:dyDescent="0.25"/>
    <row r="873" customFormat="1" x14ac:dyDescent="0.25"/>
    <row r="874" customFormat="1" x14ac:dyDescent="0.25"/>
    <row r="875" customFormat="1" x14ac:dyDescent="0.25"/>
    <row r="876" customFormat="1" x14ac:dyDescent="0.25"/>
    <row r="877" customFormat="1" x14ac:dyDescent="0.25"/>
    <row r="878" customFormat="1" x14ac:dyDescent="0.25"/>
    <row r="879" customFormat="1" x14ac:dyDescent="0.25"/>
    <row r="880" customFormat="1" x14ac:dyDescent="0.25"/>
    <row r="881" customFormat="1" x14ac:dyDescent="0.25"/>
    <row r="882" customFormat="1" x14ac:dyDescent="0.25"/>
    <row r="883" customFormat="1" x14ac:dyDescent="0.25"/>
    <row r="884" customFormat="1" x14ac:dyDescent="0.25"/>
    <row r="885" customFormat="1" x14ac:dyDescent="0.25"/>
    <row r="886" customFormat="1" x14ac:dyDescent="0.25"/>
    <row r="887" customFormat="1" x14ac:dyDescent="0.25"/>
    <row r="888" customFormat="1" x14ac:dyDescent="0.25"/>
    <row r="889" customFormat="1" x14ac:dyDescent="0.25"/>
    <row r="890" customFormat="1" x14ac:dyDescent="0.25"/>
    <row r="891" customFormat="1" x14ac:dyDescent="0.25"/>
    <row r="892" customFormat="1" x14ac:dyDescent="0.25"/>
    <row r="893" customFormat="1" x14ac:dyDescent="0.25"/>
    <row r="894" customFormat="1" x14ac:dyDescent="0.25"/>
    <row r="895" customFormat="1" x14ac:dyDescent="0.25"/>
    <row r="896" customFormat="1" x14ac:dyDescent="0.25"/>
    <row r="897" customFormat="1" x14ac:dyDescent="0.25"/>
    <row r="898" customFormat="1" x14ac:dyDescent="0.25"/>
    <row r="899" customFormat="1" x14ac:dyDescent="0.25"/>
    <row r="900" customFormat="1" x14ac:dyDescent="0.25"/>
    <row r="901" customFormat="1" x14ac:dyDescent="0.25"/>
    <row r="902" customFormat="1" x14ac:dyDescent="0.25"/>
    <row r="903" customFormat="1" x14ac:dyDescent="0.25"/>
    <row r="904" customFormat="1" x14ac:dyDescent="0.25"/>
    <row r="905" customFormat="1" x14ac:dyDescent="0.25"/>
    <row r="906" customFormat="1" x14ac:dyDescent="0.25"/>
    <row r="907" customFormat="1" x14ac:dyDescent="0.25"/>
    <row r="908" customFormat="1" x14ac:dyDescent="0.25"/>
    <row r="909" customFormat="1" x14ac:dyDescent="0.25"/>
    <row r="910" customFormat="1" x14ac:dyDescent="0.25"/>
    <row r="911" customFormat="1" x14ac:dyDescent="0.25"/>
    <row r="912" customFormat="1" x14ac:dyDescent="0.25"/>
    <row r="913" customFormat="1" x14ac:dyDescent="0.25"/>
    <row r="914" customFormat="1" x14ac:dyDescent="0.25"/>
    <row r="915" customFormat="1" x14ac:dyDescent="0.25"/>
    <row r="916" customFormat="1" x14ac:dyDescent="0.25"/>
    <row r="917" customFormat="1" x14ac:dyDescent="0.25"/>
    <row r="918" customFormat="1" x14ac:dyDescent="0.25"/>
    <row r="919" customFormat="1" x14ac:dyDescent="0.25"/>
    <row r="920" customFormat="1" x14ac:dyDescent="0.25"/>
    <row r="921" customFormat="1" x14ac:dyDescent="0.25"/>
    <row r="922" customFormat="1" x14ac:dyDescent="0.25"/>
    <row r="923" customFormat="1" x14ac:dyDescent="0.25"/>
    <row r="924" customFormat="1" x14ac:dyDescent="0.25"/>
    <row r="925" customFormat="1" x14ac:dyDescent="0.25"/>
    <row r="926" customFormat="1" x14ac:dyDescent="0.25"/>
    <row r="927" customFormat="1" x14ac:dyDescent="0.25"/>
    <row r="928" customFormat="1" x14ac:dyDescent="0.25"/>
    <row r="929" customFormat="1" x14ac:dyDescent="0.25"/>
    <row r="930" customFormat="1" x14ac:dyDescent="0.25"/>
    <row r="931" customFormat="1" x14ac:dyDescent="0.25"/>
    <row r="932" customFormat="1" x14ac:dyDescent="0.25"/>
    <row r="933" customFormat="1" x14ac:dyDescent="0.25"/>
    <row r="934" customFormat="1" x14ac:dyDescent="0.25"/>
    <row r="935" customFormat="1" x14ac:dyDescent="0.25"/>
    <row r="936" customFormat="1" x14ac:dyDescent="0.25"/>
    <row r="937" customFormat="1" x14ac:dyDescent="0.25"/>
    <row r="938" customFormat="1" x14ac:dyDescent="0.25"/>
    <row r="939" customFormat="1" x14ac:dyDescent="0.25"/>
    <row r="940" customFormat="1" x14ac:dyDescent="0.25"/>
    <row r="941" customFormat="1" x14ac:dyDescent="0.25"/>
    <row r="942" customFormat="1" x14ac:dyDescent="0.25"/>
    <row r="943" customFormat="1" x14ac:dyDescent="0.25"/>
    <row r="944" customFormat="1" x14ac:dyDescent="0.25"/>
    <row r="945" customFormat="1" x14ac:dyDescent="0.25"/>
    <row r="946" customFormat="1" x14ac:dyDescent="0.25"/>
    <row r="947" customFormat="1" x14ac:dyDescent="0.25"/>
    <row r="948" customFormat="1" x14ac:dyDescent="0.25"/>
    <row r="949" customFormat="1" x14ac:dyDescent="0.25"/>
    <row r="950" customFormat="1" x14ac:dyDescent="0.25"/>
    <row r="951" customFormat="1" x14ac:dyDescent="0.25"/>
    <row r="952" customFormat="1" x14ac:dyDescent="0.25"/>
    <row r="953" customFormat="1" x14ac:dyDescent="0.25"/>
    <row r="954" customFormat="1" x14ac:dyDescent="0.25"/>
    <row r="955" customFormat="1" x14ac:dyDescent="0.25"/>
    <row r="956" customFormat="1" x14ac:dyDescent="0.25"/>
    <row r="957" customFormat="1" x14ac:dyDescent="0.25"/>
    <row r="958" customFormat="1" x14ac:dyDescent="0.25"/>
    <row r="959" customFormat="1" x14ac:dyDescent="0.25"/>
    <row r="960" customFormat="1" x14ac:dyDescent="0.25"/>
    <row r="961" customFormat="1" x14ac:dyDescent="0.25"/>
    <row r="962" customFormat="1" x14ac:dyDescent="0.25"/>
    <row r="963" customFormat="1" x14ac:dyDescent="0.25"/>
    <row r="964" customFormat="1" x14ac:dyDescent="0.25"/>
    <row r="965" customFormat="1" x14ac:dyDescent="0.25"/>
    <row r="966" customFormat="1" x14ac:dyDescent="0.25"/>
    <row r="967" customFormat="1" x14ac:dyDescent="0.25"/>
    <row r="968" customFormat="1" x14ac:dyDescent="0.25"/>
    <row r="969" customFormat="1" x14ac:dyDescent="0.25"/>
    <row r="970" customFormat="1" x14ac:dyDescent="0.25"/>
    <row r="971" customFormat="1" x14ac:dyDescent="0.25"/>
    <row r="972" customFormat="1" x14ac:dyDescent="0.25"/>
    <row r="973" customFormat="1" x14ac:dyDescent="0.25"/>
    <row r="974" customFormat="1" x14ac:dyDescent="0.25"/>
    <row r="975" customFormat="1" x14ac:dyDescent="0.25"/>
    <row r="976" customFormat="1" x14ac:dyDescent="0.25"/>
    <row r="977" customFormat="1" x14ac:dyDescent="0.25"/>
    <row r="978" customFormat="1" x14ac:dyDescent="0.25"/>
    <row r="979" customFormat="1" x14ac:dyDescent="0.25"/>
    <row r="980" customFormat="1" x14ac:dyDescent="0.25"/>
    <row r="981" customFormat="1" x14ac:dyDescent="0.25"/>
    <row r="982" customFormat="1" x14ac:dyDescent="0.25"/>
    <row r="983" customFormat="1" x14ac:dyDescent="0.25"/>
    <row r="984" customFormat="1" x14ac:dyDescent="0.25"/>
    <row r="985" customFormat="1" x14ac:dyDescent="0.25"/>
    <row r="986" customFormat="1" x14ac:dyDescent="0.25"/>
    <row r="987" customFormat="1" x14ac:dyDescent="0.25"/>
    <row r="988" customFormat="1" x14ac:dyDescent="0.25"/>
    <row r="989" customFormat="1" x14ac:dyDescent="0.25"/>
    <row r="990" customFormat="1" x14ac:dyDescent="0.25"/>
    <row r="991" customFormat="1" x14ac:dyDescent="0.25"/>
    <row r="992" customFormat="1" x14ac:dyDescent="0.25"/>
    <row r="993" customFormat="1" x14ac:dyDescent="0.25"/>
    <row r="994" customFormat="1" x14ac:dyDescent="0.25"/>
    <row r="995" customFormat="1" x14ac:dyDescent="0.25"/>
    <row r="996" customFormat="1" x14ac:dyDescent="0.25"/>
    <row r="997" customFormat="1" x14ac:dyDescent="0.25"/>
    <row r="998" customFormat="1" x14ac:dyDescent="0.25"/>
    <row r="999" customFormat="1" x14ac:dyDescent="0.25"/>
    <row r="1000" customFormat="1" x14ac:dyDescent="0.25"/>
    <row r="1001" customFormat="1" x14ac:dyDescent="0.25"/>
    <row r="1002" customFormat="1" x14ac:dyDescent="0.25"/>
    <row r="1003" customFormat="1" x14ac:dyDescent="0.25"/>
    <row r="1004" customFormat="1" x14ac:dyDescent="0.25"/>
    <row r="1005" customFormat="1" x14ac:dyDescent="0.25"/>
    <row r="1006" customFormat="1" x14ac:dyDescent="0.25"/>
    <row r="1007" customFormat="1" x14ac:dyDescent="0.25"/>
    <row r="1008" customFormat="1" x14ac:dyDescent="0.25"/>
    <row r="1009" customFormat="1" x14ac:dyDescent="0.25"/>
    <row r="1010" customFormat="1" x14ac:dyDescent="0.25"/>
    <row r="1011" customFormat="1" x14ac:dyDescent="0.25"/>
    <row r="1012" customFormat="1" x14ac:dyDescent="0.25"/>
    <row r="1013" customFormat="1" x14ac:dyDescent="0.25"/>
    <row r="1014" customFormat="1" x14ac:dyDescent="0.25"/>
    <row r="1015" customFormat="1" x14ac:dyDescent="0.25"/>
    <row r="1016" customFormat="1" x14ac:dyDescent="0.25"/>
    <row r="1017" customFormat="1" x14ac:dyDescent="0.25"/>
    <row r="1018" customFormat="1" x14ac:dyDescent="0.25"/>
    <row r="1019" customFormat="1" x14ac:dyDescent="0.25"/>
    <row r="1020" customFormat="1" x14ac:dyDescent="0.25"/>
    <row r="1021" customFormat="1" x14ac:dyDescent="0.25"/>
    <row r="1022" customFormat="1" x14ac:dyDescent="0.25"/>
    <row r="1023" customFormat="1" x14ac:dyDescent="0.25"/>
    <row r="1024" customFormat="1" x14ac:dyDescent="0.25"/>
    <row r="1025" customFormat="1" x14ac:dyDescent="0.25"/>
    <row r="1026" customFormat="1" x14ac:dyDescent="0.25"/>
    <row r="1027" customFormat="1" x14ac:dyDescent="0.25"/>
    <row r="1028" customFormat="1" x14ac:dyDescent="0.25"/>
    <row r="1029" customFormat="1" x14ac:dyDescent="0.25"/>
    <row r="1030" customFormat="1" x14ac:dyDescent="0.25"/>
    <row r="1031" customFormat="1" x14ac:dyDescent="0.25"/>
    <row r="1032" customFormat="1" x14ac:dyDescent="0.25"/>
    <row r="1033" customFormat="1" x14ac:dyDescent="0.25"/>
    <row r="1034" customFormat="1" x14ac:dyDescent="0.25"/>
    <row r="1035" customFormat="1" x14ac:dyDescent="0.25"/>
    <row r="1036" customFormat="1" x14ac:dyDescent="0.25"/>
    <row r="1037" customFormat="1" x14ac:dyDescent="0.25"/>
    <row r="1038" customFormat="1" x14ac:dyDescent="0.25"/>
    <row r="1039" customFormat="1" x14ac:dyDescent="0.25"/>
    <row r="1040" customFormat="1" x14ac:dyDescent="0.25"/>
    <row r="1041" customFormat="1" x14ac:dyDescent="0.25"/>
    <row r="1042" customFormat="1" x14ac:dyDescent="0.25"/>
    <row r="1043" customFormat="1" x14ac:dyDescent="0.25"/>
    <row r="1044" customFormat="1" x14ac:dyDescent="0.25"/>
    <row r="1045" customFormat="1" x14ac:dyDescent="0.25"/>
    <row r="1046" customFormat="1" x14ac:dyDescent="0.25"/>
    <row r="1047" customFormat="1" x14ac:dyDescent="0.25"/>
    <row r="1048" customFormat="1" x14ac:dyDescent="0.25"/>
    <row r="1049" customFormat="1" x14ac:dyDescent="0.25"/>
    <row r="1050" customFormat="1" x14ac:dyDescent="0.25"/>
    <row r="1051" customFormat="1" x14ac:dyDescent="0.25"/>
    <row r="1052" customFormat="1" x14ac:dyDescent="0.25"/>
    <row r="1053" customFormat="1" x14ac:dyDescent="0.25"/>
    <row r="1054" customFormat="1" x14ac:dyDescent="0.25"/>
    <row r="1055" customFormat="1" x14ac:dyDescent="0.25"/>
    <row r="1056" customFormat="1" x14ac:dyDescent="0.25"/>
    <row r="1057" customFormat="1" x14ac:dyDescent="0.25"/>
    <row r="1058" customFormat="1" x14ac:dyDescent="0.25"/>
    <row r="1059" customFormat="1" x14ac:dyDescent="0.25"/>
    <row r="1060" customFormat="1" x14ac:dyDescent="0.25"/>
    <row r="1061" customFormat="1" x14ac:dyDescent="0.25"/>
    <row r="1062" customFormat="1" x14ac:dyDescent="0.25"/>
    <row r="1063" customFormat="1" x14ac:dyDescent="0.25"/>
    <row r="1064" customFormat="1" x14ac:dyDescent="0.25"/>
    <row r="1065" customFormat="1" x14ac:dyDescent="0.25"/>
    <row r="1066" customFormat="1" x14ac:dyDescent="0.25"/>
    <row r="1067" customFormat="1" x14ac:dyDescent="0.25"/>
    <row r="1068" customFormat="1" x14ac:dyDescent="0.25"/>
    <row r="1069" customFormat="1" x14ac:dyDescent="0.25"/>
    <row r="1070" customFormat="1" x14ac:dyDescent="0.25"/>
    <row r="1071" customFormat="1" x14ac:dyDescent="0.25"/>
    <row r="1072" customFormat="1" x14ac:dyDescent="0.25"/>
    <row r="1073" customFormat="1" x14ac:dyDescent="0.25"/>
    <row r="1074" customFormat="1" x14ac:dyDescent="0.25"/>
    <row r="1075" customFormat="1" x14ac:dyDescent="0.25"/>
    <row r="1076" customFormat="1" x14ac:dyDescent="0.25"/>
    <row r="1077" customFormat="1" x14ac:dyDescent="0.25"/>
    <row r="1078" customFormat="1" x14ac:dyDescent="0.25"/>
    <row r="1079" customFormat="1" x14ac:dyDescent="0.25"/>
    <row r="1080" customFormat="1" x14ac:dyDescent="0.25"/>
    <row r="1081" customFormat="1" x14ac:dyDescent="0.25"/>
    <row r="1082" customFormat="1" x14ac:dyDescent="0.25"/>
    <row r="1083" customFormat="1" x14ac:dyDescent="0.25"/>
    <row r="1084" customFormat="1" x14ac:dyDescent="0.25"/>
    <row r="1085" customFormat="1" x14ac:dyDescent="0.25"/>
    <row r="1086" customFormat="1" x14ac:dyDescent="0.25"/>
    <row r="1087" customFormat="1" x14ac:dyDescent="0.25"/>
    <row r="1088" customFormat="1" x14ac:dyDescent="0.25"/>
    <row r="1089" customFormat="1" x14ac:dyDescent="0.25"/>
    <row r="1090" customFormat="1" x14ac:dyDescent="0.25"/>
    <row r="1091" customFormat="1" x14ac:dyDescent="0.25"/>
    <row r="1092" customFormat="1" x14ac:dyDescent="0.25"/>
    <row r="1093" customFormat="1" x14ac:dyDescent="0.25"/>
    <row r="1094" customFormat="1" x14ac:dyDescent="0.25"/>
    <row r="1095" customFormat="1" x14ac:dyDescent="0.25"/>
    <row r="1096" customFormat="1" x14ac:dyDescent="0.25"/>
    <row r="1097" customFormat="1" x14ac:dyDescent="0.25"/>
    <row r="1098" customFormat="1" x14ac:dyDescent="0.25"/>
    <row r="1099" customFormat="1" x14ac:dyDescent="0.25"/>
    <row r="1100" customFormat="1" x14ac:dyDescent="0.25"/>
    <row r="1101" customFormat="1" x14ac:dyDescent="0.25"/>
    <row r="1102" customFormat="1" x14ac:dyDescent="0.25"/>
    <row r="1103" customFormat="1" x14ac:dyDescent="0.25"/>
    <row r="1104" customFormat="1" x14ac:dyDescent="0.25"/>
    <row r="1105" customFormat="1" x14ac:dyDescent="0.25"/>
    <row r="1106" customFormat="1" x14ac:dyDescent="0.25"/>
    <row r="1107" customFormat="1" x14ac:dyDescent="0.25"/>
    <row r="1108" customFormat="1" x14ac:dyDescent="0.25"/>
    <row r="1109" customFormat="1" x14ac:dyDescent="0.25"/>
    <row r="1110" customFormat="1" x14ac:dyDescent="0.25"/>
    <row r="1111" customFormat="1" x14ac:dyDescent="0.25"/>
    <row r="1112" customFormat="1" x14ac:dyDescent="0.25"/>
    <row r="1113" customFormat="1" x14ac:dyDescent="0.25"/>
    <row r="1114" customFormat="1" x14ac:dyDescent="0.25"/>
    <row r="1115" customFormat="1" x14ac:dyDescent="0.25"/>
    <row r="1116" customFormat="1" x14ac:dyDescent="0.25"/>
    <row r="1117" customFormat="1" x14ac:dyDescent="0.25"/>
    <row r="1118" customFormat="1" x14ac:dyDescent="0.25"/>
    <row r="1119" customFormat="1" x14ac:dyDescent="0.25"/>
    <row r="1120" customFormat="1" x14ac:dyDescent="0.25"/>
    <row r="1121" customFormat="1" x14ac:dyDescent="0.25"/>
    <row r="1122" customFormat="1" x14ac:dyDescent="0.25"/>
    <row r="1123" customFormat="1" x14ac:dyDescent="0.25"/>
    <row r="1124" customFormat="1" x14ac:dyDescent="0.25"/>
    <row r="1125" customFormat="1" x14ac:dyDescent="0.25"/>
    <row r="1126" customFormat="1" x14ac:dyDescent="0.25"/>
    <row r="1127" customFormat="1" x14ac:dyDescent="0.25"/>
    <row r="1128" customFormat="1" x14ac:dyDescent="0.25"/>
    <row r="1129" customFormat="1" x14ac:dyDescent="0.25"/>
    <row r="1130" customFormat="1" x14ac:dyDescent="0.25"/>
    <row r="1131" customFormat="1" x14ac:dyDescent="0.25"/>
    <row r="1132" customFormat="1" x14ac:dyDescent="0.25"/>
    <row r="1133" customFormat="1" x14ac:dyDescent="0.25"/>
    <row r="1134" customFormat="1" x14ac:dyDescent="0.25"/>
    <row r="1135" customFormat="1" x14ac:dyDescent="0.25"/>
    <row r="1136" customFormat="1" x14ac:dyDescent="0.25"/>
    <row r="1137" customFormat="1" x14ac:dyDescent="0.25"/>
    <row r="1138" customFormat="1" x14ac:dyDescent="0.25"/>
    <row r="1139" customFormat="1" x14ac:dyDescent="0.25"/>
    <row r="1140" customFormat="1" x14ac:dyDescent="0.25"/>
    <row r="1141" customFormat="1" x14ac:dyDescent="0.25"/>
    <row r="1142" customFormat="1" x14ac:dyDescent="0.25"/>
    <row r="1143" customFormat="1" x14ac:dyDescent="0.25"/>
    <row r="1144" customFormat="1" x14ac:dyDescent="0.25"/>
    <row r="1145" customFormat="1" x14ac:dyDescent="0.25"/>
    <row r="1146" customFormat="1" x14ac:dyDescent="0.25"/>
    <row r="1147" customFormat="1" x14ac:dyDescent="0.25"/>
    <row r="1148" customFormat="1" x14ac:dyDescent="0.25"/>
    <row r="1149" customFormat="1" x14ac:dyDescent="0.25"/>
    <row r="1150" customFormat="1" x14ac:dyDescent="0.25"/>
    <row r="1151" customFormat="1" x14ac:dyDescent="0.25"/>
    <row r="1152" customFormat="1" x14ac:dyDescent="0.25"/>
    <row r="1153" customFormat="1" x14ac:dyDescent="0.25"/>
    <row r="1154" customFormat="1" x14ac:dyDescent="0.25"/>
    <row r="1155" customFormat="1" x14ac:dyDescent="0.25"/>
    <row r="1156" customFormat="1" x14ac:dyDescent="0.25"/>
    <row r="1157" customFormat="1" x14ac:dyDescent="0.25"/>
    <row r="1158" customFormat="1" x14ac:dyDescent="0.25"/>
    <row r="1159" customFormat="1" x14ac:dyDescent="0.25"/>
    <row r="1160" customFormat="1" x14ac:dyDescent="0.25"/>
    <row r="1161" customFormat="1" x14ac:dyDescent="0.25"/>
    <row r="1162" customFormat="1" x14ac:dyDescent="0.25"/>
    <row r="1163" customFormat="1" x14ac:dyDescent="0.25"/>
    <row r="1164" customFormat="1" x14ac:dyDescent="0.25"/>
    <row r="1165" customFormat="1" x14ac:dyDescent="0.25"/>
    <row r="1166" customFormat="1" x14ac:dyDescent="0.25"/>
    <row r="1167" customFormat="1" x14ac:dyDescent="0.25"/>
    <row r="1168" customFormat="1" x14ac:dyDescent="0.25"/>
    <row r="1169" customFormat="1" x14ac:dyDescent="0.25"/>
    <row r="1170" customFormat="1" x14ac:dyDescent="0.25"/>
    <row r="1171" customFormat="1" x14ac:dyDescent="0.25"/>
    <row r="1172" customFormat="1" x14ac:dyDescent="0.25"/>
    <row r="1173" customFormat="1" x14ac:dyDescent="0.25"/>
    <row r="1174" customFormat="1" x14ac:dyDescent="0.25"/>
    <row r="1175" customFormat="1" x14ac:dyDescent="0.25"/>
    <row r="1176" customFormat="1" x14ac:dyDescent="0.25"/>
    <row r="1177" customFormat="1" x14ac:dyDescent="0.25"/>
    <row r="1178" customFormat="1" x14ac:dyDescent="0.25"/>
    <row r="1179" customFormat="1" x14ac:dyDescent="0.25"/>
    <row r="1180" customFormat="1" x14ac:dyDescent="0.25"/>
    <row r="1181" customFormat="1" x14ac:dyDescent="0.25"/>
    <row r="1182" customFormat="1" x14ac:dyDescent="0.25"/>
    <row r="1183" customFormat="1" x14ac:dyDescent="0.25"/>
    <row r="1184" customFormat="1" x14ac:dyDescent="0.25"/>
    <row r="1185" customFormat="1" x14ac:dyDescent="0.25"/>
    <row r="1186" customFormat="1" x14ac:dyDescent="0.25"/>
    <row r="1187" customFormat="1" x14ac:dyDescent="0.25"/>
    <row r="1188" customFormat="1" x14ac:dyDescent="0.25"/>
    <row r="1189" customFormat="1" x14ac:dyDescent="0.25"/>
    <row r="1190" customFormat="1" x14ac:dyDescent="0.25"/>
    <row r="1191" customFormat="1" x14ac:dyDescent="0.25"/>
    <row r="1192" customFormat="1" x14ac:dyDescent="0.25"/>
    <row r="1193" customFormat="1" x14ac:dyDescent="0.25"/>
    <row r="1194" customFormat="1" x14ac:dyDescent="0.25"/>
    <row r="1195" customFormat="1" x14ac:dyDescent="0.25"/>
    <row r="1196" customFormat="1" x14ac:dyDescent="0.25"/>
    <row r="1197" customFormat="1" x14ac:dyDescent="0.25"/>
    <row r="1198" customFormat="1" x14ac:dyDescent="0.25"/>
    <row r="1199" customFormat="1" x14ac:dyDescent="0.25"/>
    <row r="1200" customFormat="1" x14ac:dyDescent="0.25"/>
    <row r="1201" customFormat="1" x14ac:dyDescent="0.25"/>
    <row r="1202" customFormat="1" x14ac:dyDescent="0.25"/>
    <row r="1203" customFormat="1" x14ac:dyDescent="0.25"/>
    <row r="1204" customFormat="1" x14ac:dyDescent="0.25"/>
    <row r="1205" customFormat="1" x14ac:dyDescent="0.25"/>
    <row r="1206" customFormat="1" x14ac:dyDescent="0.25"/>
    <row r="1207" customFormat="1" x14ac:dyDescent="0.25"/>
    <row r="1208" customFormat="1" x14ac:dyDescent="0.25"/>
    <row r="1209" customFormat="1" x14ac:dyDescent="0.25"/>
    <row r="1210" customFormat="1" x14ac:dyDescent="0.25"/>
    <row r="1211" customFormat="1" x14ac:dyDescent="0.25"/>
    <row r="1212" customFormat="1" x14ac:dyDescent="0.25"/>
    <row r="1213" customFormat="1" x14ac:dyDescent="0.25"/>
    <row r="1214" customFormat="1" x14ac:dyDescent="0.25"/>
    <row r="1215" customFormat="1" x14ac:dyDescent="0.25"/>
    <row r="1216" customFormat="1" x14ac:dyDescent="0.25"/>
    <row r="1217" customFormat="1" x14ac:dyDescent="0.25"/>
    <row r="1218" customFormat="1" x14ac:dyDescent="0.25"/>
    <row r="1219" customFormat="1" x14ac:dyDescent="0.25"/>
    <row r="1220" customFormat="1" x14ac:dyDescent="0.25"/>
    <row r="1221" customFormat="1" x14ac:dyDescent="0.25"/>
    <row r="1222" customFormat="1" x14ac:dyDescent="0.25"/>
    <row r="1223" customFormat="1" x14ac:dyDescent="0.25"/>
    <row r="1224" customFormat="1" x14ac:dyDescent="0.25"/>
    <row r="1225" customFormat="1" x14ac:dyDescent="0.25"/>
    <row r="1226" customFormat="1" x14ac:dyDescent="0.25"/>
    <row r="1227" customFormat="1" x14ac:dyDescent="0.25"/>
    <row r="1228" customFormat="1" x14ac:dyDescent="0.25"/>
    <row r="1229" customFormat="1" x14ac:dyDescent="0.25"/>
    <row r="1230" customFormat="1" x14ac:dyDescent="0.25"/>
    <row r="1231" customFormat="1" x14ac:dyDescent="0.25"/>
    <row r="1232" customFormat="1" x14ac:dyDescent="0.25"/>
    <row r="1233" customFormat="1" x14ac:dyDescent="0.25"/>
    <row r="1234" customFormat="1" x14ac:dyDescent="0.25"/>
    <row r="1235" customFormat="1" x14ac:dyDescent="0.25"/>
    <row r="1236" customFormat="1" x14ac:dyDescent="0.25"/>
    <row r="1237" customFormat="1" x14ac:dyDescent="0.25"/>
    <row r="1238" customFormat="1" x14ac:dyDescent="0.25"/>
    <row r="1239" customFormat="1" x14ac:dyDescent="0.25"/>
    <row r="1240" customFormat="1" x14ac:dyDescent="0.25"/>
    <row r="1241" customFormat="1" x14ac:dyDescent="0.25"/>
    <row r="1242" customFormat="1" x14ac:dyDescent="0.25"/>
    <row r="1243" customFormat="1" x14ac:dyDescent="0.25"/>
    <row r="1244" customFormat="1" x14ac:dyDescent="0.25"/>
    <row r="1245" customFormat="1" x14ac:dyDescent="0.25"/>
    <row r="1246" customFormat="1" x14ac:dyDescent="0.25"/>
    <row r="1247" customFormat="1" x14ac:dyDescent="0.25"/>
    <row r="1248" customFormat="1" x14ac:dyDescent="0.25"/>
    <row r="1249" customFormat="1" x14ac:dyDescent="0.25"/>
    <row r="1250" customFormat="1" x14ac:dyDescent="0.25"/>
    <row r="1251" customFormat="1" x14ac:dyDescent="0.25"/>
    <row r="1252" customFormat="1" x14ac:dyDescent="0.25"/>
    <row r="1253" customFormat="1" x14ac:dyDescent="0.25"/>
    <row r="1254" customFormat="1" x14ac:dyDescent="0.25"/>
    <row r="1255" customFormat="1" x14ac:dyDescent="0.25"/>
    <row r="1256" customFormat="1" x14ac:dyDescent="0.25"/>
    <row r="1257" customFormat="1" x14ac:dyDescent="0.25"/>
    <row r="1258" customFormat="1" x14ac:dyDescent="0.25"/>
    <row r="1259" customFormat="1" x14ac:dyDescent="0.25"/>
    <row r="1260" customFormat="1" x14ac:dyDescent="0.25"/>
    <row r="1261" customFormat="1" x14ac:dyDescent="0.25"/>
    <row r="1262" customFormat="1" x14ac:dyDescent="0.25"/>
    <row r="1263" customFormat="1" x14ac:dyDescent="0.25"/>
    <row r="1264" customFormat="1" x14ac:dyDescent="0.25"/>
    <row r="1265" customFormat="1" x14ac:dyDescent="0.25"/>
    <row r="1266" customFormat="1" x14ac:dyDescent="0.25"/>
    <row r="1267" customFormat="1" x14ac:dyDescent="0.25"/>
    <row r="1268" customFormat="1" x14ac:dyDescent="0.25"/>
    <row r="1269" customFormat="1" x14ac:dyDescent="0.25"/>
    <row r="1270" customFormat="1" x14ac:dyDescent="0.25"/>
    <row r="1271" customFormat="1" x14ac:dyDescent="0.25"/>
    <row r="1272" customFormat="1" x14ac:dyDescent="0.25"/>
    <row r="1273" customFormat="1" x14ac:dyDescent="0.25"/>
    <row r="1274" customFormat="1" x14ac:dyDescent="0.25"/>
    <row r="1275" customFormat="1" x14ac:dyDescent="0.25"/>
    <row r="1276" customFormat="1" x14ac:dyDescent="0.25"/>
    <row r="1277" customFormat="1" x14ac:dyDescent="0.25"/>
    <row r="1278" customFormat="1" x14ac:dyDescent="0.25"/>
    <row r="1279" customFormat="1" x14ac:dyDescent="0.25"/>
    <row r="1280" customFormat="1" x14ac:dyDescent="0.25"/>
    <row r="1281" customFormat="1" x14ac:dyDescent="0.25"/>
    <row r="1282" customFormat="1" x14ac:dyDescent="0.25"/>
    <row r="1283" customFormat="1" x14ac:dyDescent="0.25"/>
    <row r="1284" customFormat="1" x14ac:dyDescent="0.25"/>
    <row r="1285" customFormat="1" x14ac:dyDescent="0.25"/>
    <row r="1286" customFormat="1" x14ac:dyDescent="0.25"/>
    <row r="1287" customFormat="1" x14ac:dyDescent="0.25"/>
    <row r="1288" customFormat="1" x14ac:dyDescent="0.25"/>
    <row r="1289" customFormat="1" x14ac:dyDescent="0.25"/>
    <row r="1290" customFormat="1" x14ac:dyDescent="0.25"/>
    <row r="1291" customFormat="1" x14ac:dyDescent="0.25"/>
    <row r="1292" customFormat="1" x14ac:dyDescent="0.25"/>
    <row r="1293" customFormat="1" x14ac:dyDescent="0.25"/>
    <row r="1294" customFormat="1" x14ac:dyDescent="0.25"/>
    <row r="1295" customFormat="1" x14ac:dyDescent="0.25"/>
    <row r="1296" customFormat="1" x14ac:dyDescent="0.25"/>
    <row r="1297" customFormat="1" x14ac:dyDescent="0.25"/>
    <row r="1298" customFormat="1" x14ac:dyDescent="0.25"/>
    <row r="1299" customFormat="1" x14ac:dyDescent="0.25"/>
    <row r="1300" customFormat="1" x14ac:dyDescent="0.25"/>
    <row r="1301" customFormat="1" x14ac:dyDescent="0.25"/>
    <row r="1302" customFormat="1" x14ac:dyDescent="0.25"/>
    <row r="1303" customFormat="1" x14ac:dyDescent="0.25"/>
    <row r="1304" customFormat="1" x14ac:dyDescent="0.25"/>
    <row r="1305" customFormat="1" x14ac:dyDescent="0.25"/>
    <row r="1306" customFormat="1" x14ac:dyDescent="0.25"/>
    <row r="1307" customFormat="1" x14ac:dyDescent="0.25"/>
    <row r="1308" customFormat="1" x14ac:dyDescent="0.25"/>
    <row r="1309" customFormat="1" x14ac:dyDescent="0.25"/>
    <row r="1310" customFormat="1" x14ac:dyDescent="0.25"/>
    <row r="1311" customFormat="1" x14ac:dyDescent="0.25"/>
    <row r="1312" customFormat="1" x14ac:dyDescent="0.25"/>
    <row r="1313" customFormat="1" x14ac:dyDescent="0.25"/>
    <row r="1314" customFormat="1" x14ac:dyDescent="0.25"/>
    <row r="1315" customFormat="1" x14ac:dyDescent="0.25"/>
    <row r="1316" customFormat="1" x14ac:dyDescent="0.25"/>
    <row r="1317" customFormat="1" x14ac:dyDescent="0.25"/>
    <row r="1318" customFormat="1" x14ac:dyDescent="0.25"/>
    <row r="1319" customFormat="1" x14ac:dyDescent="0.25"/>
    <row r="1320" customFormat="1" x14ac:dyDescent="0.25"/>
    <row r="1321" customFormat="1" x14ac:dyDescent="0.25"/>
    <row r="1322" customFormat="1" x14ac:dyDescent="0.25"/>
    <row r="1323" customFormat="1" x14ac:dyDescent="0.25"/>
    <row r="1324" customFormat="1" x14ac:dyDescent="0.25"/>
    <row r="1325" customFormat="1" x14ac:dyDescent="0.25"/>
    <row r="1326" customFormat="1" x14ac:dyDescent="0.25"/>
    <row r="1327" customFormat="1" x14ac:dyDescent="0.25"/>
    <row r="1328" customFormat="1" x14ac:dyDescent="0.25"/>
    <row r="1329" customFormat="1" x14ac:dyDescent="0.25"/>
    <row r="1330" customFormat="1" x14ac:dyDescent="0.25"/>
    <row r="1331" customFormat="1" x14ac:dyDescent="0.25"/>
    <row r="1332" customFormat="1" x14ac:dyDescent="0.25"/>
    <row r="1333" customFormat="1" x14ac:dyDescent="0.25"/>
    <row r="1334" customFormat="1" x14ac:dyDescent="0.25"/>
    <row r="1335" customFormat="1" x14ac:dyDescent="0.25"/>
    <row r="1336" customFormat="1" x14ac:dyDescent="0.25"/>
    <row r="1337" customFormat="1" x14ac:dyDescent="0.25"/>
    <row r="1338" customFormat="1" x14ac:dyDescent="0.25"/>
    <row r="1339" customFormat="1" x14ac:dyDescent="0.25"/>
    <row r="1340" customFormat="1" x14ac:dyDescent="0.25"/>
    <row r="1341" customFormat="1" x14ac:dyDescent="0.25"/>
    <row r="1342" customFormat="1" x14ac:dyDescent="0.25"/>
    <row r="1343" customFormat="1" x14ac:dyDescent="0.25"/>
    <row r="1344" customFormat="1" x14ac:dyDescent="0.25"/>
    <row r="1345" customFormat="1" x14ac:dyDescent="0.25"/>
    <row r="1346" customFormat="1" x14ac:dyDescent="0.25"/>
    <row r="1347" customFormat="1" x14ac:dyDescent="0.25"/>
    <row r="1348" customFormat="1" x14ac:dyDescent="0.25"/>
    <row r="1349" customFormat="1" x14ac:dyDescent="0.25"/>
    <row r="1350" customFormat="1" x14ac:dyDescent="0.25"/>
    <row r="1351" customFormat="1" x14ac:dyDescent="0.25"/>
    <row r="1352" customFormat="1" x14ac:dyDescent="0.25"/>
    <row r="1353" customFormat="1" x14ac:dyDescent="0.25"/>
    <row r="1354" customFormat="1" x14ac:dyDescent="0.25"/>
    <row r="1355" customFormat="1" x14ac:dyDescent="0.25"/>
    <row r="1356" customFormat="1" x14ac:dyDescent="0.25"/>
    <row r="1357" customFormat="1" x14ac:dyDescent="0.25"/>
    <row r="1358" customFormat="1" x14ac:dyDescent="0.25"/>
    <row r="1359" customFormat="1" x14ac:dyDescent="0.25"/>
    <row r="1360" customFormat="1" x14ac:dyDescent="0.25"/>
    <row r="1361" customFormat="1" x14ac:dyDescent="0.25"/>
    <row r="1362" customFormat="1" x14ac:dyDescent="0.25"/>
    <row r="1363" customFormat="1" x14ac:dyDescent="0.25"/>
    <row r="1364" customFormat="1" x14ac:dyDescent="0.25"/>
    <row r="1365" customFormat="1" x14ac:dyDescent="0.25"/>
    <row r="1366" customFormat="1" x14ac:dyDescent="0.25"/>
    <row r="1367" customFormat="1" x14ac:dyDescent="0.25"/>
    <row r="1368" customFormat="1" x14ac:dyDescent="0.25"/>
    <row r="1369" customFormat="1" x14ac:dyDescent="0.25"/>
    <row r="1370" customFormat="1" x14ac:dyDescent="0.25"/>
    <row r="1371" customFormat="1" x14ac:dyDescent="0.25"/>
    <row r="1372" customFormat="1" x14ac:dyDescent="0.25"/>
    <row r="1373" customFormat="1" x14ac:dyDescent="0.25"/>
    <row r="1374" customFormat="1" x14ac:dyDescent="0.25"/>
    <row r="1375" customFormat="1" x14ac:dyDescent="0.25"/>
    <row r="1376" customFormat="1" x14ac:dyDescent="0.25"/>
    <row r="1377" customFormat="1" x14ac:dyDescent="0.25"/>
    <row r="1378" customFormat="1" x14ac:dyDescent="0.25"/>
    <row r="1379" customFormat="1" x14ac:dyDescent="0.25"/>
    <row r="1380" customFormat="1" x14ac:dyDescent="0.25"/>
    <row r="1381" customFormat="1" x14ac:dyDescent="0.25"/>
    <row r="1382" customFormat="1" x14ac:dyDescent="0.25"/>
    <row r="1383" customFormat="1" x14ac:dyDescent="0.25"/>
    <row r="1384" customFormat="1" x14ac:dyDescent="0.25"/>
    <row r="1385" customFormat="1" x14ac:dyDescent="0.25"/>
    <row r="1386" customFormat="1" x14ac:dyDescent="0.25"/>
    <row r="1387" customFormat="1" x14ac:dyDescent="0.25"/>
    <row r="1388" customFormat="1" x14ac:dyDescent="0.25"/>
    <row r="1389" customFormat="1" x14ac:dyDescent="0.25"/>
    <row r="1390" customFormat="1" x14ac:dyDescent="0.25"/>
    <row r="1391" customFormat="1" x14ac:dyDescent="0.25"/>
    <row r="1392" customFormat="1" x14ac:dyDescent="0.25"/>
    <row r="1393" customFormat="1" x14ac:dyDescent="0.25"/>
    <row r="1394" customFormat="1" x14ac:dyDescent="0.25"/>
    <row r="1395" customFormat="1" x14ac:dyDescent="0.25"/>
    <row r="1396" customFormat="1" x14ac:dyDescent="0.25"/>
    <row r="1397" customFormat="1" x14ac:dyDescent="0.25"/>
    <row r="1398" customFormat="1" x14ac:dyDescent="0.25"/>
    <row r="1399" customFormat="1" x14ac:dyDescent="0.25"/>
    <row r="1400" customFormat="1" x14ac:dyDescent="0.25"/>
    <row r="1401" customFormat="1" x14ac:dyDescent="0.25"/>
    <row r="1402" customFormat="1" x14ac:dyDescent="0.25"/>
    <row r="1403" customFormat="1" x14ac:dyDescent="0.25"/>
    <row r="1404" customFormat="1" x14ac:dyDescent="0.25"/>
    <row r="1405" customFormat="1" x14ac:dyDescent="0.25"/>
    <row r="1406" customFormat="1" x14ac:dyDescent="0.25"/>
    <row r="1407" customFormat="1" x14ac:dyDescent="0.25"/>
    <row r="1408" customFormat="1" x14ac:dyDescent="0.25"/>
    <row r="1409" customFormat="1" x14ac:dyDescent="0.25"/>
    <row r="1410" customFormat="1" x14ac:dyDescent="0.25"/>
    <row r="1411" customFormat="1" x14ac:dyDescent="0.25"/>
    <row r="1412" customFormat="1" x14ac:dyDescent="0.25"/>
    <row r="1413" customFormat="1" x14ac:dyDescent="0.25"/>
    <row r="1414" customFormat="1" x14ac:dyDescent="0.25"/>
    <row r="1415" customFormat="1" x14ac:dyDescent="0.25"/>
    <row r="1416" customFormat="1" x14ac:dyDescent="0.25"/>
    <row r="1417" customFormat="1" x14ac:dyDescent="0.25"/>
    <row r="1418" customFormat="1" x14ac:dyDescent="0.25"/>
    <row r="1419" customFormat="1" x14ac:dyDescent="0.25"/>
    <row r="1420" customFormat="1" x14ac:dyDescent="0.25"/>
    <row r="1421" customFormat="1" x14ac:dyDescent="0.25"/>
    <row r="1422" customFormat="1" x14ac:dyDescent="0.25"/>
    <row r="1423" customFormat="1" x14ac:dyDescent="0.25"/>
    <row r="1424" customFormat="1" x14ac:dyDescent="0.25"/>
    <row r="1425" customFormat="1" x14ac:dyDescent="0.25"/>
    <row r="1426" customFormat="1" x14ac:dyDescent="0.25"/>
    <row r="1427" customFormat="1" x14ac:dyDescent="0.25"/>
    <row r="1428" customFormat="1" x14ac:dyDescent="0.25"/>
    <row r="1429" customFormat="1" x14ac:dyDescent="0.25"/>
    <row r="1430" customFormat="1" x14ac:dyDescent="0.25"/>
    <row r="1431" customFormat="1" x14ac:dyDescent="0.25"/>
    <row r="1432" customFormat="1" x14ac:dyDescent="0.25"/>
    <row r="1433" customFormat="1" x14ac:dyDescent="0.25"/>
    <row r="1434" customFormat="1" x14ac:dyDescent="0.25"/>
    <row r="1435" customFormat="1" x14ac:dyDescent="0.25"/>
    <row r="1436" customFormat="1" x14ac:dyDescent="0.25"/>
    <row r="1437" customFormat="1" x14ac:dyDescent="0.25"/>
    <row r="1438" customFormat="1" x14ac:dyDescent="0.25"/>
    <row r="1439" customFormat="1" x14ac:dyDescent="0.25"/>
    <row r="1440" customFormat="1" x14ac:dyDescent="0.25"/>
    <row r="1441" customFormat="1" x14ac:dyDescent="0.25"/>
    <row r="1442" customFormat="1" x14ac:dyDescent="0.25"/>
    <row r="1443" customFormat="1" x14ac:dyDescent="0.25"/>
    <row r="1444" customFormat="1" x14ac:dyDescent="0.25"/>
    <row r="1445" customFormat="1" x14ac:dyDescent="0.25"/>
    <row r="1446" customFormat="1" x14ac:dyDescent="0.25"/>
    <row r="1447" customFormat="1" x14ac:dyDescent="0.25"/>
    <row r="1448" customFormat="1" x14ac:dyDescent="0.25"/>
    <row r="1449" customFormat="1" x14ac:dyDescent="0.25"/>
    <row r="1450" customFormat="1" x14ac:dyDescent="0.25"/>
    <row r="1451" customFormat="1" x14ac:dyDescent="0.25"/>
    <row r="1452" customFormat="1" x14ac:dyDescent="0.25"/>
    <row r="1453" customFormat="1" x14ac:dyDescent="0.25"/>
    <row r="1454" customFormat="1" x14ac:dyDescent="0.25"/>
    <row r="1455" customFormat="1" x14ac:dyDescent="0.25"/>
    <row r="1456" customFormat="1" x14ac:dyDescent="0.25"/>
    <row r="1457" customFormat="1" x14ac:dyDescent="0.25"/>
    <row r="1458" customFormat="1" x14ac:dyDescent="0.25"/>
    <row r="1459" customFormat="1" x14ac:dyDescent="0.25"/>
    <row r="1460" customFormat="1" x14ac:dyDescent="0.25"/>
    <row r="1461" customFormat="1" x14ac:dyDescent="0.25"/>
    <row r="1462" customFormat="1" x14ac:dyDescent="0.25"/>
    <row r="1463" customFormat="1" x14ac:dyDescent="0.25"/>
    <row r="1464" customFormat="1" x14ac:dyDescent="0.25"/>
    <row r="1465" customFormat="1" x14ac:dyDescent="0.25"/>
    <row r="1466" customFormat="1" x14ac:dyDescent="0.25"/>
    <row r="1467" customFormat="1" x14ac:dyDescent="0.25"/>
    <row r="1468" customFormat="1" x14ac:dyDescent="0.25"/>
    <row r="1469" customFormat="1" x14ac:dyDescent="0.25"/>
    <row r="1470" customFormat="1" x14ac:dyDescent="0.25"/>
    <row r="1471" customFormat="1" x14ac:dyDescent="0.25"/>
    <row r="1472" customFormat="1" x14ac:dyDescent="0.25"/>
    <row r="1473" customFormat="1" x14ac:dyDescent="0.25"/>
    <row r="1474" customFormat="1" x14ac:dyDescent="0.25"/>
    <row r="1475" customFormat="1" x14ac:dyDescent="0.25"/>
    <row r="1476" customFormat="1" x14ac:dyDescent="0.25"/>
    <row r="1477" customFormat="1" x14ac:dyDescent="0.25"/>
    <row r="1478" customFormat="1" x14ac:dyDescent="0.25"/>
    <row r="1479" customFormat="1" x14ac:dyDescent="0.25"/>
    <row r="1480" customFormat="1" x14ac:dyDescent="0.25"/>
    <row r="1481" customFormat="1" x14ac:dyDescent="0.25"/>
    <row r="1482" customFormat="1" x14ac:dyDescent="0.25"/>
    <row r="1483" customFormat="1" x14ac:dyDescent="0.25"/>
    <row r="1484" customFormat="1" x14ac:dyDescent="0.25"/>
    <row r="1485" customFormat="1" x14ac:dyDescent="0.25"/>
    <row r="1486" customFormat="1" x14ac:dyDescent="0.25"/>
    <row r="1487" customFormat="1" x14ac:dyDescent="0.25"/>
    <row r="1488" customFormat="1" x14ac:dyDescent="0.25"/>
    <row r="1489" customFormat="1" x14ac:dyDescent="0.25"/>
    <row r="1490" customFormat="1" x14ac:dyDescent="0.25"/>
    <row r="1491" customFormat="1" x14ac:dyDescent="0.25"/>
    <row r="1492" customFormat="1" x14ac:dyDescent="0.25"/>
    <row r="1493" customFormat="1" x14ac:dyDescent="0.25"/>
    <row r="1494" customFormat="1" x14ac:dyDescent="0.25"/>
    <row r="1495" customFormat="1" x14ac:dyDescent="0.25"/>
    <row r="1496" customFormat="1" x14ac:dyDescent="0.25"/>
    <row r="1497" customFormat="1" x14ac:dyDescent="0.25"/>
    <row r="1498" customFormat="1" x14ac:dyDescent="0.25"/>
    <row r="1499" customFormat="1" x14ac:dyDescent="0.25"/>
    <row r="1500" customFormat="1" x14ac:dyDescent="0.25"/>
    <row r="1501" customFormat="1" x14ac:dyDescent="0.25"/>
    <row r="1502" customFormat="1" x14ac:dyDescent="0.25"/>
    <row r="1503" customFormat="1" x14ac:dyDescent="0.25"/>
    <row r="1504" customFormat="1" x14ac:dyDescent="0.25"/>
    <row r="1505" customFormat="1" x14ac:dyDescent="0.25"/>
    <row r="1506" customFormat="1" x14ac:dyDescent="0.25"/>
    <row r="1507" customFormat="1" x14ac:dyDescent="0.25"/>
    <row r="1508" customFormat="1" x14ac:dyDescent="0.25"/>
    <row r="1509" customFormat="1" x14ac:dyDescent="0.25"/>
    <row r="1510" customFormat="1" x14ac:dyDescent="0.25"/>
    <row r="1511" customFormat="1" x14ac:dyDescent="0.25"/>
    <row r="1512" customFormat="1" x14ac:dyDescent="0.25"/>
    <row r="1513" customFormat="1" x14ac:dyDescent="0.25"/>
    <row r="1514" customFormat="1" x14ac:dyDescent="0.25"/>
    <row r="1515" customFormat="1" x14ac:dyDescent="0.25"/>
    <row r="1516" customFormat="1" x14ac:dyDescent="0.25"/>
    <row r="1517" customFormat="1" x14ac:dyDescent="0.25"/>
    <row r="1518" customFormat="1" x14ac:dyDescent="0.25"/>
    <row r="1519" customFormat="1" x14ac:dyDescent="0.25"/>
    <row r="1520" customFormat="1" x14ac:dyDescent="0.25"/>
    <row r="1521" customFormat="1" x14ac:dyDescent="0.25"/>
    <row r="1522" customFormat="1" x14ac:dyDescent="0.25"/>
    <row r="1523" customFormat="1" x14ac:dyDescent="0.25"/>
    <row r="1524" customFormat="1" x14ac:dyDescent="0.25"/>
    <row r="1525" customFormat="1" x14ac:dyDescent="0.25"/>
    <row r="1526" customFormat="1" x14ac:dyDescent="0.25"/>
    <row r="1527" customFormat="1" x14ac:dyDescent="0.25"/>
    <row r="1528" customFormat="1" x14ac:dyDescent="0.25"/>
    <row r="1529" customFormat="1" x14ac:dyDescent="0.25"/>
    <row r="1530" customFormat="1" x14ac:dyDescent="0.25"/>
    <row r="1531" customFormat="1" x14ac:dyDescent="0.25"/>
    <row r="1532" customFormat="1" x14ac:dyDescent="0.25"/>
    <row r="1533" customFormat="1" x14ac:dyDescent="0.25"/>
    <row r="1534" customFormat="1" x14ac:dyDescent="0.25"/>
    <row r="1535" customFormat="1" x14ac:dyDescent="0.25"/>
    <row r="1536" customFormat="1" x14ac:dyDescent="0.25"/>
    <row r="1537" customFormat="1" x14ac:dyDescent="0.25"/>
    <row r="1538" customFormat="1" x14ac:dyDescent="0.25"/>
    <row r="1539" customFormat="1" x14ac:dyDescent="0.25"/>
    <row r="1540" customFormat="1" x14ac:dyDescent="0.25"/>
    <row r="1541" customFormat="1" x14ac:dyDescent="0.25"/>
    <row r="1542" customFormat="1" x14ac:dyDescent="0.25"/>
    <row r="1543" customFormat="1" x14ac:dyDescent="0.25"/>
    <row r="1544" customFormat="1" x14ac:dyDescent="0.25"/>
    <row r="1545" customFormat="1" x14ac:dyDescent="0.25"/>
    <row r="1546" customFormat="1" x14ac:dyDescent="0.25"/>
    <row r="1547" customFormat="1" x14ac:dyDescent="0.25"/>
    <row r="1548" customFormat="1" x14ac:dyDescent="0.25"/>
    <row r="1549" customFormat="1" x14ac:dyDescent="0.25"/>
    <row r="1550" customFormat="1" x14ac:dyDescent="0.25"/>
    <row r="1551" customFormat="1" x14ac:dyDescent="0.25"/>
    <row r="1552" customFormat="1" x14ac:dyDescent="0.25"/>
    <row r="1553" customFormat="1" x14ac:dyDescent="0.25"/>
    <row r="1554" customFormat="1" x14ac:dyDescent="0.25"/>
    <row r="1555" customFormat="1" x14ac:dyDescent="0.25"/>
    <row r="1556" customFormat="1" x14ac:dyDescent="0.25"/>
    <row r="1557" customFormat="1" x14ac:dyDescent="0.25"/>
    <row r="1558" customFormat="1" x14ac:dyDescent="0.25"/>
    <row r="1559" customFormat="1" x14ac:dyDescent="0.25"/>
    <row r="1560" customFormat="1" x14ac:dyDescent="0.25"/>
    <row r="1561" customFormat="1" x14ac:dyDescent="0.25"/>
    <row r="1562" customFormat="1" x14ac:dyDescent="0.25"/>
    <row r="1563" customFormat="1" x14ac:dyDescent="0.25"/>
    <row r="1564" customFormat="1" x14ac:dyDescent="0.25"/>
    <row r="1565" customFormat="1" x14ac:dyDescent="0.25"/>
    <row r="1566" customFormat="1" x14ac:dyDescent="0.25"/>
    <row r="1567" customFormat="1" x14ac:dyDescent="0.25"/>
    <row r="1568" customFormat="1" x14ac:dyDescent="0.25"/>
    <row r="1569" customFormat="1" x14ac:dyDescent="0.25"/>
    <row r="1570" customFormat="1" x14ac:dyDescent="0.25"/>
    <row r="1571" customFormat="1" x14ac:dyDescent="0.25"/>
    <row r="1572" customFormat="1" x14ac:dyDescent="0.25"/>
    <row r="1573" customFormat="1" x14ac:dyDescent="0.25"/>
    <row r="1574" customFormat="1" x14ac:dyDescent="0.25"/>
    <row r="1575" customFormat="1" x14ac:dyDescent="0.25"/>
    <row r="1576" customFormat="1" x14ac:dyDescent="0.25"/>
    <row r="1577" customFormat="1" x14ac:dyDescent="0.25"/>
    <row r="1578" customFormat="1" x14ac:dyDescent="0.25"/>
    <row r="1579" customFormat="1" x14ac:dyDescent="0.25"/>
    <row r="1580" customFormat="1" x14ac:dyDescent="0.25"/>
    <row r="1581" customFormat="1" x14ac:dyDescent="0.25"/>
    <row r="1582" customFormat="1" x14ac:dyDescent="0.25"/>
    <row r="1583" customFormat="1" x14ac:dyDescent="0.25"/>
    <row r="1584" customFormat="1" x14ac:dyDescent="0.25"/>
    <row r="1585" customFormat="1" x14ac:dyDescent="0.25"/>
    <row r="1586" customFormat="1" x14ac:dyDescent="0.25"/>
    <row r="1587" customFormat="1" x14ac:dyDescent="0.25"/>
    <row r="1588" customFormat="1" x14ac:dyDescent="0.25"/>
    <row r="1589" customFormat="1" x14ac:dyDescent="0.25"/>
    <row r="1590" customFormat="1" x14ac:dyDescent="0.25"/>
    <row r="1591" customFormat="1" x14ac:dyDescent="0.25"/>
    <row r="1592" customFormat="1" x14ac:dyDescent="0.25"/>
    <row r="1593" customFormat="1" x14ac:dyDescent="0.25"/>
    <row r="1594" customFormat="1" x14ac:dyDescent="0.25"/>
    <row r="1595" customFormat="1" x14ac:dyDescent="0.25"/>
    <row r="1596" customFormat="1" x14ac:dyDescent="0.25"/>
    <row r="1597" customFormat="1" x14ac:dyDescent="0.25"/>
    <row r="1598" customFormat="1" x14ac:dyDescent="0.25"/>
    <row r="1599" customFormat="1" x14ac:dyDescent="0.25"/>
    <row r="1600" customFormat="1" x14ac:dyDescent="0.25"/>
    <row r="1601" customFormat="1" x14ac:dyDescent="0.25"/>
    <row r="1602" customFormat="1" x14ac:dyDescent="0.25"/>
    <row r="1603" customFormat="1" x14ac:dyDescent="0.25"/>
    <row r="1604" customFormat="1" x14ac:dyDescent="0.25"/>
    <row r="1605" customFormat="1" x14ac:dyDescent="0.25"/>
    <row r="1606" customFormat="1" x14ac:dyDescent="0.25"/>
    <row r="1607" customFormat="1" x14ac:dyDescent="0.25"/>
    <row r="1608" customFormat="1" x14ac:dyDescent="0.25"/>
    <row r="1609" customFormat="1" x14ac:dyDescent="0.25"/>
    <row r="1610" customFormat="1" x14ac:dyDescent="0.25"/>
    <row r="1611" customFormat="1" x14ac:dyDescent="0.25"/>
    <row r="1612" customFormat="1" x14ac:dyDescent="0.25"/>
    <row r="1613" customFormat="1" x14ac:dyDescent="0.25"/>
    <row r="1614" customFormat="1" x14ac:dyDescent="0.25"/>
    <row r="1615" customFormat="1" x14ac:dyDescent="0.25"/>
    <row r="1616" customFormat="1" x14ac:dyDescent="0.25"/>
    <row r="1617" customFormat="1" x14ac:dyDescent="0.25"/>
    <row r="1618" customFormat="1" x14ac:dyDescent="0.25"/>
    <row r="1619" customFormat="1" x14ac:dyDescent="0.25"/>
    <row r="1620" customFormat="1" x14ac:dyDescent="0.25"/>
    <row r="1621" customFormat="1" x14ac:dyDescent="0.25"/>
    <row r="1622" customFormat="1" x14ac:dyDescent="0.25"/>
    <row r="1623" customFormat="1" x14ac:dyDescent="0.25"/>
    <row r="1624" customFormat="1" x14ac:dyDescent="0.25"/>
    <row r="1625" customFormat="1" x14ac:dyDescent="0.25"/>
    <row r="1626" customFormat="1" x14ac:dyDescent="0.25"/>
    <row r="1627" customFormat="1" x14ac:dyDescent="0.25"/>
    <row r="1628" customFormat="1" x14ac:dyDescent="0.25"/>
    <row r="1629" customFormat="1" x14ac:dyDescent="0.25"/>
    <row r="1630" customFormat="1" x14ac:dyDescent="0.25"/>
    <row r="1631" customFormat="1" x14ac:dyDescent="0.25"/>
    <row r="1632" customFormat="1" x14ac:dyDescent="0.25"/>
    <row r="1633" customFormat="1" x14ac:dyDescent="0.25"/>
    <row r="1634" customFormat="1" x14ac:dyDescent="0.25"/>
    <row r="1635" customFormat="1" x14ac:dyDescent="0.25"/>
    <row r="1636" customFormat="1" x14ac:dyDescent="0.25"/>
    <row r="1637" customFormat="1" x14ac:dyDescent="0.25"/>
    <row r="1638" customFormat="1" x14ac:dyDescent="0.25"/>
    <row r="1639" customFormat="1" x14ac:dyDescent="0.25"/>
    <row r="1640" customFormat="1" x14ac:dyDescent="0.25"/>
    <row r="1641" customFormat="1" x14ac:dyDescent="0.25"/>
    <row r="1642" customFormat="1" x14ac:dyDescent="0.25"/>
    <row r="1643" customFormat="1" x14ac:dyDescent="0.25"/>
    <row r="1644" customFormat="1" x14ac:dyDescent="0.25"/>
    <row r="1645" customFormat="1" x14ac:dyDescent="0.25"/>
    <row r="1646" customFormat="1" x14ac:dyDescent="0.25"/>
    <row r="1647" customFormat="1" x14ac:dyDescent="0.25"/>
    <row r="1648" customFormat="1" x14ac:dyDescent="0.25"/>
    <row r="1649" customFormat="1" x14ac:dyDescent="0.25"/>
    <row r="1650" customFormat="1" x14ac:dyDescent="0.25"/>
    <row r="1651" customFormat="1" x14ac:dyDescent="0.25"/>
    <row r="1652" customFormat="1" x14ac:dyDescent="0.25"/>
    <row r="1653" customFormat="1" x14ac:dyDescent="0.25"/>
    <row r="1654" customFormat="1" x14ac:dyDescent="0.25"/>
    <row r="1655" customFormat="1" x14ac:dyDescent="0.25"/>
    <row r="1656" customFormat="1" x14ac:dyDescent="0.25"/>
    <row r="1657" customFormat="1" x14ac:dyDescent="0.25"/>
    <row r="1658" customFormat="1" x14ac:dyDescent="0.25"/>
    <row r="1659" customFormat="1" x14ac:dyDescent="0.25"/>
    <row r="1660" customFormat="1" x14ac:dyDescent="0.25"/>
    <row r="1661" customFormat="1" x14ac:dyDescent="0.25"/>
    <row r="1662" customFormat="1" x14ac:dyDescent="0.25"/>
    <row r="1663" customFormat="1" x14ac:dyDescent="0.25"/>
    <row r="1664" customFormat="1" x14ac:dyDescent="0.25"/>
    <row r="1665" customFormat="1" x14ac:dyDescent="0.25"/>
    <row r="1666" customFormat="1" x14ac:dyDescent="0.25"/>
    <row r="1667" customFormat="1" x14ac:dyDescent="0.25"/>
    <row r="1668" customFormat="1" x14ac:dyDescent="0.25"/>
    <row r="1669" customFormat="1" x14ac:dyDescent="0.25"/>
    <row r="1670" customFormat="1" x14ac:dyDescent="0.25"/>
    <row r="1671" customFormat="1" x14ac:dyDescent="0.25"/>
    <row r="1672" customFormat="1" x14ac:dyDescent="0.25"/>
    <row r="1673" customFormat="1" x14ac:dyDescent="0.25"/>
    <row r="1674" customFormat="1" x14ac:dyDescent="0.25"/>
    <row r="1675" customFormat="1" x14ac:dyDescent="0.25"/>
    <row r="1676" customFormat="1" x14ac:dyDescent="0.25"/>
    <row r="1677" customFormat="1" x14ac:dyDescent="0.25"/>
    <row r="1678" customFormat="1" x14ac:dyDescent="0.25"/>
    <row r="1679" customFormat="1" x14ac:dyDescent="0.25"/>
    <row r="1680" customFormat="1" x14ac:dyDescent="0.25"/>
    <row r="1681" customFormat="1" x14ac:dyDescent="0.25"/>
    <row r="1682" customFormat="1" x14ac:dyDescent="0.25"/>
    <row r="1683" customFormat="1" x14ac:dyDescent="0.25"/>
    <row r="1684" customFormat="1" x14ac:dyDescent="0.25"/>
    <row r="1685" customFormat="1" x14ac:dyDescent="0.25"/>
    <row r="1686" customFormat="1" x14ac:dyDescent="0.25"/>
    <row r="1687" customFormat="1" x14ac:dyDescent="0.25"/>
    <row r="1688" customFormat="1" x14ac:dyDescent="0.25"/>
    <row r="1689" customFormat="1" x14ac:dyDescent="0.25"/>
    <row r="1690" customFormat="1" x14ac:dyDescent="0.25"/>
    <row r="1691" customFormat="1" x14ac:dyDescent="0.25"/>
    <row r="1692" customFormat="1" x14ac:dyDescent="0.25"/>
    <row r="1693" customFormat="1" x14ac:dyDescent="0.25"/>
    <row r="1694" customFormat="1" x14ac:dyDescent="0.25"/>
    <row r="1695" customFormat="1" x14ac:dyDescent="0.25"/>
    <row r="1696" customFormat="1" x14ac:dyDescent="0.25"/>
    <row r="1697" customFormat="1" x14ac:dyDescent="0.25"/>
    <row r="1698" customFormat="1" x14ac:dyDescent="0.25"/>
    <row r="1699" customFormat="1" x14ac:dyDescent="0.25"/>
    <row r="1700" customFormat="1" x14ac:dyDescent="0.25"/>
    <row r="1701" customFormat="1" x14ac:dyDescent="0.25"/>
    <row r="1702" customFormat="1" x14ac:dyDescent="0.25"/>
    <row r="1703" customFormat="1" x14ac:dyDescent="0.25"/>
    <row r="1704" customFormat="1" x14ac:dyDescent="0.25"/>
    <row r="1705" customFormat="1" x14ac:dyDescent="0.25"/>
    <row r="1706" customFormat="1" x14ac:dyDescent="0.25"/>
    <row r="1707" customFormat="1" x14ac:dyDescent="0.25"/>
    <row r="1708" customFormat="1" x14ac:dyDescent="0.25"/>
    <row r="1709" customFormat="1" x14ac:dyDescent="0.25"/>
    <row r="1710" customFormat="1" x14ac:dyDescent="0.25"/>
    <row r="1711" customFormat="1" x14ac:dyDescent="0.25"/>
    <row r="1712" customFormat="1" x14ac:dyDescent="0.25"/>
    <row r="1713" customFormat="1" x14ac:dyDescent="0.25"/>
    <row r="1714" customFormat="1" x14ac:dyDescent="0.25"/>
    <row r="1715" customFormat="1" x14ac:dyDescent="0.25"/>
    <row r="1716" customFormat="1" x14ac:dyDescent="0.25"/>
    <row r="1717" customFormat="1" x14ac:dyDescent="0.25"/>
    <row r="1718" customFormat="1" x14ac:dyDescent="0.25"/>
    <row r="1719" customFormat="1" x14ac:dyDescent="0.25"/>
    <row r="1720" customFormat="1" x14ac:dyDescent="0.25"/>
    <row r="1721" customFormat="1" x14ac:dyDescent="0.25"/>
    <row r="1722" customFormat="1" x14ac:dyDescent="0.25"/>
    <row r="1723" customFormat="1" x14ac:dyDescent="0.25"/>
    <row r="1724" customFormat="1" x14ac:dyDescent="0.25"/>
    <row r="1725" customFormat="1" x14ac:dyDescent="0.25"/>
    <row r="1726" customFormat="1" x14ac:dyDescent="0.25"/>
    <row r="1727" customFormat="1" x14ac:dyDescent="0.25"/>
    <row r="1728" customFormat="1" x14ac:dyDescent="0.25"/>
    <row r="1729" customFormat="1" x14ac:dyDescent="0.25"/>
    <row r="1730" customFormat="1" x14ac:dyDescent="0.25"/>
    <row r="1731" customFormat="1" x14ac:dyDescent="0.25"/>
    <row r="1732" customFormat="1" x14ac:dyDescent="0.25"/>
    <row r="1733" customFormat="1" x14ac:dyDescent="0.25"/>
    <row r="1734" customFormat="1" x14ac:dyDescent="0.25"/>
    <row r="1735" customFormat="1" x14ac:dyDescent="0.25"/>
    <row r="1736" customFormat="1" x14ac:dyDescent="0.25"/>
    <row r="1737" customFormat="1" x14ac:dyDescent="0.25"/>
    <row r="1738" customFormat="1" x14ac:dyDescent="0.25"/>
    <row r="1739" customFormat="1" x14ac:dyDescent="0.25"/>
    <row r="1740" customFormat="1" x14ac:dyDescent="0.25"/>
    <row r="1741" customFormat="1" x14ac:dyDescent="0.25"/>
    <row r="1742" customFormat="1" x14ac:dyDescent="0.25"/>
    <row r="1743" customFormat="1" x14ac:dyDescent="0.25"/>
    <row r="1744" customFormat="1" x14ac:dyDescent="0.25"/>
    <row r="1745" customFormat="1" x14ac:dyDescent="0.25"/>
    <row r="1746" customFormat="1" x14ac:dyDescent="0.25"/>
    <row r="1747" customFormat="1" x14ac:dyDescent="0.25"/>
    <row r="1748" customFormat="1" x14ac:dyDescent="0.25"/>
    <row r="1749" customFormat="1" x14ac:dyDescent="0.25"/>
    <row r="1750" customFormat="1" x14ac:dyDescent="0.25"/>
    <row r="1751" customFormat="1" x14ac:dyDescent="0.25"/>
    <row r="1752" customFormat="1" x14ac:dyDescent="0.25"/>
    <row r="1753" customFormat="1" x14ac:dyDescent="0.25"/>
    <row r="1754" customFormat="1" x14ac:dyDescent="0.25"/>
    <row r="1755" customFormat="1" x14ac:dyDescent="0.25"/>
    <row r="1756" customFormat="1" x14ac:dyDescent="0.25"/>
    <row r="1757" customFormat="1" x14ac:dyDescent="0.25"/>
    <row r="1758" customFormat="1" x14ac:dyDescent="0.25"/>
    <row r="1759" customFormat="1" x14ac:dyDescent="0.25"/>
    <row r="1760" customFormat="1" x14ac:dyDescent="0.25"/>
    <row r="1761" customFormat="1" x14ac:dyDescent="0.25"/>
    <row r="1762" customFormat="1" x14ac:dyDescent="0.25"/>
    <row r="1763" customFormat="1" x14ac:dyDescent="0.25"/>
    <row r="1764" customFormat="1" x14ac:dyDescent="0.25"/>
    <row r="1765" customFormat="1" x14ac:dyDescent="0.25"/>
    <row r="1766" customFormat="1" x14ac:dyDescent="0.25"/>
    <row r="1767" customFormat="1" x14ac:dyDescent="0.25"/>
    <row r="1768" customFormat="1" x14ac:dyDescent="0.25"/>
    <row r="1769" customFormat="1" x14ac:dyDescent="0.25"/>
    <row r="1770" customFormat="1" x14ac:dyDescent="0.25"/>
    <row r="1771" customFormat="1" x14ac:dyDescent="0.25"/>
    <row r="1772" customFormat="1" x14ac:dyDescent="0.25"/>
    <row r="1773" customFormat="1" x14ac:dyDescent="0.25"/>
    <row r="1774" customFormat="1" x14ac:dyDescent="0.25"/>
    <row r="1775" customFormat="1" x14ac:dyDescent="0.25"/>
    <row r="1776" customFormat="1" x14ac:dyDescent="0.25"/>
    <row r="1777" customFormat="1" x14ac:dyDescent="0.25"/>
    <row r="1778" customFormat="1" x14ac:dyDescent="0.25"/>
    <row r="1779" customFormat="1" x14ac:dyDescent="0.25"/>
    <row r="1780" customFormat="1" x14ac:dyDescent="0.25"/>
    <row r="1781" customFormat="1" x14ac:dyDescent="0.25"/>
    <row r="1782" customFormat="1" x14ac:dyDescent="0.25"/>
    <row r="1783" customFormat="1" x14ac:dyDescent="0.25"/>
    <row r="1784" customFormat="1" x14ac:dyDescent="0.25"/>
    <row r="1785" customFormat="1" x14ac:dyDescent="0.25"/>
    <row r="1786" customFormat="1" x14ac:dyDescent="0.25"/>
    <row r="1787" customFormat="1" x14ac:dyDescent="0.25"/>
    <row r="1788" customFormat="1" x14ac:dyDescent="0.25"/>
    <row r="1789" customFormat="1" x14ac:dyDescent="0.25"/>
    <row r="1790" customFormat="1" x14ac:dyDescent="0.25"/>
    <row r="1791" customFormat="1" x14ac:dyDescent="0.25"/>
    <row r="1792" customFormat="1" x14ac:dyDescent="0.25"/>
    <row r="1793" customFormat="1" x14ac:dyDescent="0.25"/>
    <row r="1794" customFormat="1" x14ac:dyDescent="0.25"/>
    <row r="1795" customFormat="1" x14ac:dyDescent="0.25"/>
    <row r="1796" customFormat="1" x14ac:dyDescent="0.25"/>
    <row r="1797" customFormat="1" x14ac:dyDescent="0.25"/>
    <row r="1798" customFormat="1" x14ac:dyDescent="0.25"/>
    <row r="1799" customFormat="1" x14ac:dyDescent="0.25"/>
    <row r="1800" customFormat="1" x14ac:dyDescent="0.25"/>
    <row r="1801" customFormat="1" x14ac:dyDescent="0.25"/>
    <row r="1802" customFormat="1" x14ac:dyDescent="0.25"/>
    <row r="1803" customFormat="1" x14ac:dyDescent="0.25"/>
    <row r="1804" customFormat="1" x14ac:dyDescent="0.25"/>
    <row r="1805" customFormat="1" x14ac:dyDescent="0.25"/>
    <row r="1806" customFormat="1" x14ac:dyDescent="0.25"/>
    <row r="1807" customFormat="1" x14ac:dyDescent="0.25"/>
    <row r="1808" customFormat="1" x14ac:dyDescent="0.25"/>
    <row r="1809" customFormat="1" x14ac:dyDescent="0.25"/>
    <row r="1810" customFormat="1" x14ac:dyDescent="0.25"/>
    <row r="1811" customFormat="1" x14ac:dyDescent="0.25"/>
    <row r="1812" customFormat="1" x14ac:dyDescent="0.25"/>
    <row r="1813" customFormat="1" x14ac:dyDescent="0.25"/>
    <row r="1814" customFormat="1" x14ac:dyDescent="0.25"/>
    <row r="1815" customFormat="1" x14ac:dyDescent="0.25"/>
    <row r="1816" customFormat="1" x14ac:dyDescent="0.25"/>
    <row r="1817" customFormat="1" x14ac:dyDescent="0.25"/>
    <row r="1818" customFormat="1" x14ac:dyDescent="0.25"/>
    <row r="1819" customFormat="1" x14ac:dyDescent="0.25"/>
    <row r="1820" customFormat="1" x14ac:dyDescent="0.25"/>
    <row r="1821" customFormat="1" x14ac:dyDescent="0.25"/>
    <row r="1822" customFormat="1" x14ac:dyDescent="0.25"/>
    <row r="1823" customFormat="1" x14ac:dyDescent="0.25"/>
    <row r="1824" customFormat="1" x14ac:dyDescent="0.25"/>
    <row r="1825" customFormat="1" x14ac:dyDescent="0.25"/>
    <row r="1826" customFormat="1" x14ac:dyDescent="0.25"/>
    <row r="1827" customFormat="1" x14ac:dyDescent="0.25"/>
    <row r="1828" customFormat="1" x14ac:dyDescent="0.25"/>
    <row r="1829" customFormat="1" x14ac:dyDescent="0.25"/>
    <row r="1830" customFormat="1" x14ac:dyDescent="0.25"/>
    <row r="1831" customFormat="1" x14ac:dyDescent="0.25"/>
    <row r="1832" customFormat="1" x14ac:dyDescent="0.25"/>
    <row r="1833" customFormat="1" x14ac:dyDescent="0.25"/>
    <row r="1834" customFormat="1" x14ac:dyDescent="0.25"/>
    <row r="1835" customFormat="1" x14ac:dyDescent="0.25"/>
    <row r="1836" customFormat="1" x14ac:dyDescent="0.25"/>
    <row r="1837" customFormat="1" x14ac:dyDescent="0.25"/>
    <row r="1838" customFormat="1" x14ac:dyDescent="0.25"/>
    <row r="1839" customFormat="1" x14ac:dyDescent="0.25"/>
    <row r="1840" customFormat="1" x14ac:dyDescent="0.25"/>
    <row r="1841" customFormat="1" x14ac:dyDescent="0.25"/>
    <row r="1842" customFormat="1" x14ac:dyDescent="0.25"/>
    <row r="1843" customFormat="1" x14ac:dyDescent="0.25"/>
    <row r="1844" customFormat="1" x14ac:dyDescent="0.25"/>
    <row r="1845" customFormat="1" x14ac:dyDescent="0.25"/>
    <row r="1846" customFormat="1" x14ac:dyDescent="0.25"/>
    <row r="1847" customFormat="1" x14ac:dyDescent="0.25"/>
    <row r="1848" customFormat="1" x14ac:dyDescent="0.25"/>
    <row r="1849" customFormat="1" x14ac:dyDescent="0.25"/>
    <row r="1850" customFormat="1" x14ac:dyDescent="0.25"/>
    <row r="1851" customFormat="1" x14ac:dyDescent="0.25"/>
    <row r="1852" customFormat="1" x14ac:dyDescent="0.25"/>
    <row r="1853" customFormat="1" x14ac:dyDescent="0.25"/>
    <row r="1854" customFormat="1" x14ac:dyDescent="0.25"/>
    <row r="1855" customFormat="1" x14ac:dyDescent="0.25"/>
    <row r="1856" customFormat="1" x14ac:dyDescent="0.25"/>
    <row r="1857" customFormat="1" x14ac:dyDescent="0.25"/>
    <row r="1858" customFormat="1" x14ac:dyDescent="0.25"/>
    <row r="1859" customFormat="1" x14ac:dyDescent="0.25"/>
    <row r="1860" customFormat="1" x14ac:dyDescent="0.25"/>
    <row r="1861" customFormat="1" x14ac:dyDescent="0.25"/>
    <row r="1862" customFormat="1" x14ac:dyDescent="0.25"/>
    <row r="1863" customFormat="1" x14ac:dyDescent="0.25"/>
    <row r="1864" customFormat="1" x14ac:dyDescent="0.25"/>
    <row r="1865" customFormat="1" x14ac:dyDescent="0.25"/>
    <row r="1866" customFormat="1" x14ac:dyDescent="0.25"/>
    <row r="1867" customFormat="1" x14ac:dyDescent="0.25"/>
    <row r="1868" customFormat="1" x14ac:dyDescent="0.25"/>
    <row r="1869" customFormat="1" x14ac:dyDescent="0.25"/>
    <row r="1870" customFormat="1" x14ac:dyDescent="0.25"/>
    <row r="1871" customFormat="1" x14ac:dyDescent="0.25"/>
    <row r="1872" customFormat="1" x14ac:dyDescent="0.25"/>
    <row r="1873" customFormat="1" x14ac:dyDescent="0.25"/>
    <row r="1874" customFormat="1" x14ac:dyDescent="0.25"/>
    <row r="1875" customFormat="1" x14ac:dyDescent="0.25"/>
    <row r="1876" customFormat="1" x14ac:dyDescent="0.25"/>
    <row r="1877" customFormat="1" x14ac:dyDescent="0.25"/>
    <row r="1878" customFormat="1" x14ac:dyDescent="0.25"/>
    <row r="1879" customFormat="1" x14ac:dyDescent="0.25"/>
    <row r="1880" customFormat="1" x14ac:dyDescent="0.25"/>
    <row r="1881" customFormat="1" x14ac:dyDescent="0.25"/>
    <row r="1882" customFormat="1" x14ac:dyDescent="0.25"/>
    <row r="1883" customFormat="1" x14ac:dyDescent="0.25"/>
    <row r="1884" customFormat="1" x14ac:dyDescent="0.25"/>
    <row r="1885" customFormat="1" x14ac:dyDescent="0.25"/>
    <row r="1886" customFormat="1" x14ac:dyDescent="0.25"/>
    <row r="1887" customFormat="1" x14ac:dyDescent="0.25"/>
    <row r="1888" customFormat="1" x14ac:dyDescent="0.25"/>
    <row r="1889" customFormat="1" x14ac:dyDescent="0.25"/>
    <row r="1890" customFormat="1" x14ac:dyDescent="0.25"/>
    <row r="1891" customFormat="1" x14ac:dyDescent="0.25"/>
    <row r="1892" customFormat="1" x14ac:dyDescent="0.25"/>
    <row r="1893" customFormat="1" x14ac:dyDescent="0.25"/>
    <row r="1894" customFormat="1" x14ac:dyDescent="0.25"/>
    <row r="1895" customFormat="1" x14ac:dyDescent="0.25"/>
    <row r="1896" customFormat="1" x14ac:dyDescent="0.25"/>
    <row r="1897" customFormat="1" x14ac:dyDescent="0.25"/>
    <row r="1898" customFormat="1" x14ac:dyDescent="0.25"/>
    <row r="1899" customFormat="1" x14ac:dyDescent="0.25"/>
    <row r="1900" customFormat="1" x14ac:dyDescent="0.25"/>
    <row r="1901" customFormat="1" x14ac:dyDescent="0.25"/>
    <row r="1902" customFormat="1" x14ac:dyDescent="0.25"/>
    <row r="1903" customFormat="1" x14ac:dyDescent="0.25"/>
    <row r="1904" customFormat="1" x14ac:dyDescent="0.25"/>
    <row r="1905" customFormat="1" x14ac:dyDescent="0.25"/>
    <row r="1906" customFormat="1" x14ac:dyDescent="0.25"/>
    <row r="1907" customFormat="1" x14ac:dyDescent="0.25"/>
    <row r="1908" customFormat="1" x14ac:dyDescent="0.25"/>
    <row r="1909" customFormat="1" x14ac:dyDescent="0.25"/>
    <row r="1910" customFormat="1" x14ac:dyDescent="0.25"/>
    <row r="1911" customFormat="1" x14ac:dyDescent="0.25"/>
    <row r="1912" customFormat="1" x14ac:dyDescent="0.25"/>
    <row r="1913" customFormat="1" x14ac:dyDescent="0.25"/>
    <row r="1914" customFormat="1" x14ac:dyDescent="0.25"/>
    <row r="1915" customFormat="1" x14ac:dyDescent="0.25"/>
    <row r="1916" customFormat="1" x14ac:dyDescent="0.25"/>
    <row r="1917" customFormat="1" x14ac:dyDescent="0.25"/>
    <row r="1918" customFormat="1" x14ac:dyDescent="0.25"/>
    <row r="1919" customFormat="1" x14ac:dyDescent="0.25"/>
    <row r="1920" customFormat="1" x14ac:dyDescent="0.25"/>
    <row r="1921" customFormat="1" x14ac:dyDescent="0.25"/>
    <row r="1922" customFormat="1" x14ac:dyDescent="0.25"/>
    <row r="1923" customFormat="1" x14ac:dyDescent="0.25"/>
    <row r="1924" customFormat="1" x14ac:dyDescent="0.25"/>
    <row r="1925" customFormat="1" x14ac:dyDescent="0.25"/>
    <row r="1926" customFormat="1" x14ac:dyDescent="0.25"/>
    <row r="1927" customFormat="1" x14ac:dyDescent="0.25"/>
    <row r="1928" customFormat="1" x14ac:dyDescent="0.25"/>
    <row r="1929" customFormat="1" x14ac:dyDescent="0.25"/>
    <row r="1930" customFormat="1" x14ac:dyDescent="0.25"/>
    <row r="1931" customFormat="1" x14ac:dyDescent="0.25"/>
    <row r="1932" customFormat="1" x14ac:dyDescent="0.25"/>
    <row r="1933" customFormat="1" x14ac:dyDescent="0.25"/>
    <row r="1934" customFormat="1" x14ac:dyDescent="0.25"/>
    <row r="1935" customFormat="1" x14ac:dyDescent="0.25"/>
    <row r="1936" customFormat="1" x14ac:dyDescent="0.25"/>
    <row r="1937" customFormat="1" x14ac:dyDescent="0.25"/>
    <row r="1938" customFormat="1" x14ac:dyDescent="0.25"/>
    <row r="1939" customFormat="1" x14ac:dyDescent="0.25"/>
    <row r="1940" customFormat="1" x14ac:dyDescent="0.25"/>
    <row r="1941" customFormat="1" x14ac:dyDescent="0.25"/>
    <row r="1942" customFormat="1" x14ac:dyDescent="0.25"/>
    <row r="1943" customFormat="1" x14ac:dyDescent="0.25"/>
    <row r="1944" customFormat="1" x14ac:dyDescent="0.25"/>
    <row r="1945" customFormat="1" x14ac:dyDescent="0.25"/>
    <row r="1946" customFormat="1" x14ac:dyDescent="0.25"/>
    <row r="1947" customFormat="1" x14ac:dyDescent="0.25"/>
    <row r="1948" customFormat="1" x14ac:dyDescent="0.25"/>
    <row r="1949" customFormat="1" x14ac:dyDescent="0.25"/>
    <row r="1950" customFormat="1" x14ac:dyDescent="0.25"/>
    <row r="1951" customFormat="1" x14ac:dyDescent="0.25"/>
    <row r="1952" customFormat="1" x14ac:dyDescent="0.25"/>
    <row r="1953" customFormat="1" x14ac:dyDescent="0.25"/>
    <row r="1954" customFormat="1" x14ac:dyDescent="0.25"/>
    <row r="1955" customFormat="1" x14ac:dyDescent="0.25"/>
    <row r="1956" customFormat="1" x14ac:dyDescent="0.25"/>
    <row r="1957" customFormat="1" x14ac:dyDescent="0.25"/>
    <row r="1958" customFormat="1" x14ac:dyDescent="0.25"/>
    <row r="1959" customFormat="1" x14ac:dyDescent="0.25"/>
    <row r="1960" customFormat="1" x14ac:dyDescent="0.25"/>
    <row r="1961" customFormat="1" x14ac:dyDescent="0.25"/>
    <row r="1962" customFormat="1" x14ac:dyDescent="0.25"/>
    <row r="1963" customFormat="1" x14ac:dyDescent="0.25"/>
    <row r="1964" customFormat="1" x14ac:dyDescent="0.25"/>
    <row r="1965" customFormat="1" x14ac:dyDescent="0.25"/>
    <row r="1966" customFormat="1" x14ac:dyDescent="0.25"/>
    <row r="1967" customFormat="1" x14ac:dyDescent="0.25"/>
    <row r="1968" customFormat="1" x14ac:dyDescent="0.25"/>
    <row r="1969" customFormat="1" x14ac:dyDescent="0.25"/>
    <row r="1970" customFormat="1" x14ac:dyDescent="0.25"/>
    <row r="1971" customFormat="1" x14ac:dyDescent="0.25"/>
    <row r="1972" customFormat="1" x14ac:dyDescent="0.25"/>
    <row r="1973" customFormat="1" x14ac:dyDescent="0.25"/>
    <row r="1974" customFormat="1" x14ac:dyDescent="0.25"/>
    <row r="1975" customFormat="1" x14ac:dyDescent="0.25"/>
    <row r="1976" customFormat="1" x14ac:dyDescent="0.25"/>
    <row r="1977" customFormat="1" x14ac:dyDescent="0.25"/>
    <row r="1978" customFormat="1" x14ac:dyDescent="0.25"/>
    <row r="1979" customFormat="1" x14ac:dyDescent="0.25"/>
    <row r="1980" customFormat="1" x14ac:dyDescent="0.25"/>
    <row r="1981" customFormat="1" x14ac:dyDescent="0.25"/>
    <row r="1982" customFormat="1" x14ac:dyDescent="0.25"/>
    <row r="1983" customFormat="1" x14ac:dyDescent="0.25"/>
    <row r="1984" customFormat="1" x14ac:dyDescent="0.25"/>
    <row r="1985" customFormat="1" x14ac:dyDescent="0.25"/>
    <row r="1986" customFormat="1" x14ac:dyDescent="0.25"/>
    <row r="1987" customFormat="1" x14ac:dyDescent="0.25"/>
    <row r="1988" customFormat="1" x14ac:dyDescent="0.25"/>
    <row r="1989" customFormat="1" x14ac:dyDescent="0.25"/>
    <row r="1990" customFormat="1" x14ac:dyDescent="0.25"/>
    <row r="1991" customFormat="1" x14ac:dyDescent="0.25"/>
    <row r="1992" customFormat="1" x14ac:dyDescent="0.25"/>
    <row r="1993" customFormat="1" x14ac:dyDescent="0.25"/>
    <row r="1994" customFormat="1" x14ac:dyDescent="0.25"/>
    <row r="1995" customFormat="1" x14ac:dyDescent="0.25"/>
    <row r="1996" customFormat="1" x14ac:dyDescent="0.25"/>
    <row r="1997" customFormat="1" x14ac:dyDescent="0.25"/>
    <row r="1998" customFormat="1" x14ac:dyDescent="0.25"/>
    <row r="1999" customFormat="1" x14ac:dyDescent="0.25"/>
    <row r="2000" customFormat="1" x14ac:dyDescent="0.25"/>
  </sheetData>
  <sheetProtection sheet="1" objects="1" formatCells="0" formatColumns="0" formatRows="0" sort="0" autoFilter="0"/>
  <hyperlinks>
    <hyperlink ref="F15" location="'Cover'!A4" display="'" xr:uid="{53A7B14A-A19F-4FFC-B816-E35536FDA54B}"/>
    <hyperlink ref="F16" location="'Version control'!A4" display="'" xr:uid="{0F2E30CA-8A8B-423F-887B-9F40145946A4}"/>
    <hyperlink ref="G16" location="'Version control'!$B$5" display="'Version control'!$B$5" xr:uid="{BF826C1E-E586-4829-87B2-08D30E5FBA4B}"/>
    <hyperlink ref="F17" location="'Version control'!A4" display="'" xr:uid="{212C1034-D5A2-4371-B275-1F7AD809651E}"/>
    <hyperlink ref="G17" location="'Version control'!$B$17" display="'Version control'!$B$17" xr:uid="{961CBF00-D758-49D9-ACC0-AF9F67B0D7C8}"/>
    <hyperlink ref="F18" location="'Version control'!A4" display="'" xr:uid="{3CA67A37-B16B-4A79-A5F4-B472F4A564FE}"/>
    <hyperlink ref="G18" location="'Version control'!$B$31" display="'Version control'!$B$31" xr:uid="{DA1AD7A1-0C7B-45E7-A14B-2CA45E73829D}"/>
    <hyperlink ref="F19" location="'Version control'!A4" display="'" xr:uid="{B7BF3E72-300F-43A1-BBFA-2B673BF9E46F}"/>
    <hyperlink ref="G19" location="'Version control'!$B$63" display="'Version control'!$B$63" xr:uid="{17A42356-7AC2-42C3-BF8C-D467AD72DE11}"/>
    <hyperlink ref="F20" location="'Model map'!A4" display="'" xr:uid="{41631180-5BF7-47C9-A39A-74AD181EB2A7}"/>
    <hyperlink ref="G20" location="'Model map'!$B$5" display="'Model map'!$B$5" xr:uid="{F576D33D-1F7E-46BB-A749-474B22D3ACEB}"/>
    <hyperlink ref="F21" location="'Named ranges'!A4" display="'" xr:uid="{6C03B62C-6905-4033-A657-048922982175}"/>
    <hyperlink ref="G21" location="'Named ranges'!$B$5" display="'Named ranges'!$B$5" xr:uid="{6E0FD90B-A5E9-4BBD-87BA-95E41BFD3C49}"/>
    <hyperlink ref="F22" location="'ARP_DNO commentary'!A4" display="'" xr:uid="{EA527D90-D44A-4A29-BB19-FE52B8CD91DD}"/>
    <hyperlink ref="G22" location="'ARP_DNO commentary'!$B$9" display="'ARP_DNO commentary'!$B$9" xr:uid="{55A9CE2B-DEF9-4485-AB14-13EEF78FDC4B}"/>
    <hyperlink ref="F23" location="'ARP_CDCM timebands'!A4" display="'" xr:uid="{DD79A422-A3FF-40D8-B5E1-EF69518028D6}"/>
    <hyperlink ref="G23" location="'ARP_CDCM timebands'!$B$12" display="'ARP_CDCM timebands'!$B$12" xr:uid="{8C346F60-0B4F-469D-AFE5-B4CD4D1519F2}"/>
    <hyperlink ref="F24" location="'ARP_Load characteristics'!A4" display="'" xr:uid="{6981ABF8-3B17-4257-8C44-73A5F7C5A0F0}"/>
    <hyperlink ref="G24" location="'ARP_Load characteristics'!$B$13" display="'ARP_Load characteristics'!$B$13" xr:uid="{0361BFE2-332B-47B1-9911-7F9B96E29E54}"/>
    <hyperlink ref="F25" location="'ARP_Load characteristics'!A4" display="'" xr:uid="{A3DDF2AA-CB02-4F86-AA41-D63E21E6F5CF}"/>
    <hyperlink ref="G25" location="'ARP_Load characteristics'!$B$20" display="'ARP_Load characteristics'!$B$20" xr:uid="{CFACB908-59DE-49A0-93BE-6BF24E7ABFCE}"/>
    <hyperlink ref="F26" location="'ARP_Peaking probabilities'!A4" display="'" xr:uid="{1F5EC5A2-802C-4CB0-B3CC-E47B4EE92097}"/>
    <hyperlink ref="G26" location="'ARP_Peaking probabilities'!$B$14" display="'ARP_Peaking probabilities'!$B$14" xr:uid="{14704205-11C9-4E3C-9517-E84232FDB96F}"/>
    <hyperlink ref="F27" location="'ARP_Peaking probabilities'!A4" display="'" xr:uid="{2F5EA889-C617-4F8A-B1FC-28EFCDEE22F8}"/>
    <hyperlink ref="G27" location="'ARP_Peaking probabilities'!$B$21" display="'ARP_Peaking probabilities'!$B$21" xr:uid="{FDDBBAFE-09F4-4C81-A5EB-35D872C382EE}"/>
    <hyperlink ref="F28" location="'ARP_User control'!A4" display="'" xr:uid="{D8872DB2-10A6-4453-9D2C-4691FB450574}"/>
    <hyperlink ref="G28" location="'ARP_User control'!$B$10" display="'ARP_User control'!$B$10" xr:uid="{055F335B-5B0E-404E-9B9F-14F801D415DD}"/>
    <hyperlink ref="F29" location="'ARP_User control'!A4" display="'" xr:uid="{9803AE06-7713-4E80-A4CA-E9B757F6A138}"/>
    <hyperlink ref="G29" location="'ARP_User control'!$B$25" display="'ARP_User control'!$B$25" xr:uid="{72C4EFE1-2B7D-480E-BA75-77B0B1D09731}"/>
    <hyperlink ref="F30" location="'ARP_Inputs by customer type'!A4" display="'" xr:uid="{41D915B3-79E2-45FF-9451-1A8C4C37F25A}"/>
    <hyperlink ref="G30" location="'ARP_Inputs by customer type'!$B$14" display="'ARP_Inputs by customer type'!$B$14" xr:uid="{D935288C-C3E8-456B-ABBB-763A4E2EC64B}"/>
    <hyperlink ref="F31" location="'ARP_Inputs by customer type'!A4" display="'" xr:uid="{74C55C8E-E30F-4090-A192-2483DFE073CC}"/>
    <hyperlink ref="G31" location="'ARP_Inputs by customer type'!$B$56" display="'ARP_Inputs by customer type'!$B$56" xr:uid="{09F0EC41-FC23-4644-9B05-DA59C1FCA380}"/>
    <hyperlink ref="F32" location="'ARP_Inputs by customer type'!A4" display="'" xr:uid="{96E7C62E-3C47-4F5F-9E18-AAA220816479}"/>
    <hyperlink ref="G32" location="'ARP_Inputs by customer type'!$B$1998" display="'ARP_Inputs by customer type'!$B$1998" xr:uid="{3740D49F-49D3-4780-9083-4D372C7493D8}"/>
    <hyperlink ref="F33" location="'ARP_Inputs by customer type'!A4" display="'" xr:uid="{33A6E238-E196-4DC6-98C8-9B7712E10B42}"/>
    <hyperlink ref="G33" location="'ARP_Inputs by customer type'!$B$2072" display="'ARP_Inputs by customer type'!$B$2072" xr:uid="{31A488F4-FB02-48CC-A44F-F6A0551B8545}"/>
    <hyperlink ref="F34" location="'ARP_Inputs by network level'!A4" display="'" xr:uid="{448DCF3C-B40C-45CC-8670-BDD1DB603B3B}"/>
    <hyperlink ref="G34" location="'ARP_Inputs by network level'!$B$14" display="'ARP_Inputs by network level'!$B$14" xr:uid="{E6695CB4-7AAC-41C7-9C4A-EEDA735EBAA9}"/>
    <hyperlink ref="F35" location="'ARP_General inputs'!A4" display="'" xr:uid="{84C4201E-A955-4ED4-A78B-0FB6C84727FB}"/>
    <hyperlink ref="G35" location="'ARP_General inputs'!$B$14" display="'ARP_General inputs'!$B$14" xr:uid="{46D88782-09C1-4655-9E4D-D50D8B4916D2}"/>
    <hyperlink ref="F36" location="'Fixed inputs'!A4" display="'" xr:uid="{EB3ECFE0-FC44-4952-99B2-71185A7B811E}"/>
    <hyperlink ref="G36" location="'Fixed inputs'!$B$11" display="'Fixed inputs'!$B$11" xr:uid="{A9388294-D173-42CA-82FB-FF6C14EB51DE}"/>
    <hyperlink ref="F37" location="'Inputs by customer type'!A4" display="'" xr:uid="{F0D496D0-1408-4482-880A-E03298B7E692}"/>
    <hyperlink ref="G37" location="'Inputs by customer type'!$B$14" display="'Inputs by customer type'!$B$14" xr:uid="{05FB7BDE-697E-45F9-B4E7-DA8D339B7019}"/>
    <hyperlink ref="F38" location="'Inputs by network level'!A4" display="'" xr:uid="{E2141D9D-2516-4318-B21F-1B719A8AB935}"/>
    <hyperlink ref="G38" location="'Inputs by network level'!$B$14" display="'Inputs by network level'!$B$14" xr:uid="{0AC6DDB4-7AFA-4153-91BB-2852C73A3D41}"/>
    <hyperlink ref="F39" location="'General inputs'!A4" display="'" xr:uid="{F14C232A-F560-4060-BA0E-C769633BEBCA}"/>
    <hyperlink ref="G39" location="'General inputs'!$B$14" display="'General inputs'!$B$14" xr:uid="{0FC623C7-29A5-4777-97F0-7E664C8C8C6D}"/>
    <hyperlink ref="F40" location="'Standing charge factors'!A4" display="'" xr:uid="{3573748D-70DA-452A-86C3-04C230D92D21}"/>
    <hyperlink ref="G40" location="'Standing charge factors'!$B$17" display="'Standing charge factors'!$B$17" xr:uid="{26DFE58A-CB83-47EC-BE93-D9AF5A3F7866}"/>
    <hyperlink ref="F41" location="'Load &amp; loss characteristics'!A4" display="'" xr:uid="{59F79D66-112B-4E8C-99C7-A9316E2DEA77}"/>
    <hyperlink ref="G41" location="'Load &amp; loss characteristics'!$B$13" display="'Load &amp; loss characteristics'!$B$13" xr:uid="{9D6582F7-D23C-4BA0-ACF0-A6112DF99AB4}"/>
    <hyperlink ref="F42" location="'Load &amp; loss characteristics'!A4" display="'" xr:uid="{8FF3CE03-1C39-48B6-8919-9B46A63C35CB}"/>
    <hyperlink ref="G42" location="'Load &amp; loss characteristics'!$B$31" display="'Load &amp; loss characteristics'!$B$31" xr:uid="{4BAA4B17-3DF9-44A4-B369-A0147C77FFE8}"/>
    <hyperlink ref="F43" location="'Customer contributions'!A4" display="'" xr:uid="{EA44809E-8974-4E60-A02E-FF053E73ED35}"/>
    <hyperlink ref="G43" location="'Customer contributions'!$B$12" display="'Customer contributions'!$B$12" xr:uid="{33913EB9-C1CC-4AA1-A53F-F96983CDF534}"/>
    <hyperlink ref="F44" location="'Volume adjustments'!A4" display="'" xr:uid="{8257A984-D2DE-4CB9-8656-91DD0CF90D82}"/>
    <hyperlink ref="G44" location="'Volume adjustments'!$B$13" display="'Volume adjustments'!$B$13" xr:uid="{81A4C907-7740-41B9-90A7-D4A66AF6547B}"/>
    <hyperlink ref="F45" location="'Volume adjustments'!A4" display="'" xr:uid="{B8033F22-6363-4A66-9081-B626ADF88514}"/>
    <hyperlink ref="G45" location="'Volume adjustments'!$B$51" display="'Volume adjustments'!$B$51" xr:uid="{D2F29A8B-9677-4091-8AF0-22976CF28FE5}"/>
    <hyperlink ref="F46" location="'Volume adjustments'!A4" display="'" xr:uid="{A9C818BD-9465-479E-B699-D7466247466F}"/>
    <hyperlink ref="G46" location="'Volume adjustments'!$B$310" display="'Volume adjustments'!$B$310" xr:uid="{1A914D92-1DCB-43CF-A97E-8AE06235C3A9}"/>
    <hyperlink ref="F47" location="'Pseudo-load coefficients'!A4" display="'" xr:uid="{9E34C515-BB20-4A01-BEEC-1BC147A7F22C}"/>
    <hyperlink ref="G47" location="'Pseudo-load coefficients'!$B$13" display="'Pseudo-load coefficients'!$B$13" xr:uid="{96A090ED-41FF-4ABE-BF13-B2EC4CF7DEA7}"/>
    <hyperlink ref="F48" location="'Pseudo-load coefficients'!A4" display="'" xr:uid="{7D11247E-9263-4ACF-8A1D-A1D2175104A0}"/>
    <hyperlink ref="G48" location="'Pseudo-load coefficients'!$B$56" display="'Pseudo-load coefficients'!$B$56" xr:uid="{5B0C74A4-179F-4DA8-8BAF-46941AC7B8EA}"/>
    <hyperlink ref="F49" location="'Pseudo-load coefficients'!A4" display="'" xr:uid="{3039714A-CB3C-4F65-92F0-CE48E76ADA85}"/>
    <hyperlink ref="G49" location="'Pseudo-load coefficients'!$B$95" display="'Pseudo-load coefficients'!$B$95" xr:uid="{9DE0BD54-FD0C-4DFE-8E7D-0B5D787C93BA}"/>
    <hyperlink ref="F50" location="'Pseudo-load coefficients'!A4" display="'" xr:uid="{D6D53756-63C1-491B-B4FC-98D7FD788A0B}"/>
    <hyperlink ref="G50" location="'Pseudo-load coefficients'!$B$261" display="'Pseudo-load coefficients'!$B$261" xr:uid="{90215D0F-B0B0-49C9-BCD9-F7DC7E4EB532}"/>
    <hyperlink ref="F51" location="'System peak demand'!A4" display="'" xr:uid="{9D5BC9C1-84DF-4D5E-B949-4147FFD53E37}"/>
    <hyperlink ref="G51" location="'System peak demand'!$B$16" display="'System peak demand'!$B$16" xr:uid="{0788EDFA-88A3-4E96-AA85-59CCD1CDD1A3}"/>
    <hyperlink ref="F52" location="'System peak demand'!A4" display="'" xr:uid="{71B88078-DF42-4D91-B22C-313BE6829D88}"/>
    <hyperlink ref="G52" location="'System peak demand'!$B$63" display="'System peak demand'!$B$63" xr:uid="{8198B379-B054-43AC-AEA2-6B677471EE3E}"/>
    <hyperlink ref="F53" location="'System peak demand'!A4" display="'" xr:uid="{390A6181-E9F9-4197-83F9-F2634FA5267D}"/>
    <hyperlink ref="G53" location="'System peak demand'!$B$179" display="'System peak demand'!$B$179" xr:uid="{02ECCC83-43B6-4080-915F-9060BE1D3EA1}"/>
    <hyperlink ref="F54" location="'System peak demand'!A4" display="'" xr:uid="{84D363A6-3BA2-4527-8079-DBE9DB1B1388}"/>
    <hyperlink ref="G54" location="'System peak demand'!$B$262" display="'System peak demand'!$B$262" xr:uid="{6C2EA77D-6E7E-451C-A8C9-1E5B0032C295}"/>
    <hyperlink ref="F55" location="'Service model assets'!A4" display="'" xr:uid="{CA57D93E-A4E0-4CD5-8F9F-8D3834A60929}"/>
    <hyperlink ref="G55" location="'Service model assets'!$B$12" display="'Service model assets'!$B$12" xr:uid="{BD4B5386-1DBF-42FE-8B70-9713A4CA00BB}"/>
    <hyperlink ref="F56" location="'Unit costs'!A4" display="'" xr:uid="{D9EFA37F-8649-404C-9830-D589883BD203}"/>
    <hyperlink ref="G56" location="'Unit costs'!$B$15" display="'Unit costs'!$B$15" xr:uid="{680A37BB-ABD5-4796-871E-985355928629}"/>
    <hyperlink ref="F57" location="'Unit costs'!A4" display="'" xr:uid="{55AF8C89-1493-4353-AF5C-170AFDABDC7F}"/>
    <hyperlink ref="G57" location="'Unit costs'!$B$58" display="'Unit costs'!$B$58" xr:uid="{B91279E7-95CC-4C1D-98DD-230A8CD53B70}"/>
    <hyperlink ref="F58" location="'Unit costs'!A4" display="'" xr:uid="{AF2E57AD-F14A-417F-B348-45F36FE35C4C}"/>
    <hyperlink ref="G58" location="'Unit costs'!$B$102" display="'Unit costs'!$B$102" xr:uid="{57F77C8C-912F-4C6B-A242-F1F5868BD9A5}"/>
    <hyperlink ref="F59" location="'Initial unit rates'!A4" display="'" xr:uid="{8B82AFC6-6BBC-40B6-8ABD-4E70D9A58685}"/>
    <hyperlink ref="G59" location="'Initial unit rates'!$B$11" display="'Initial unit rates'!$B$11" xr:uid="{FDD00546-CFED-4FCB-BCE2-B0814B51FBB5}"/>
    <hyperlink ref="F60" location="'Initial unit rates'!A4" display="'" xr:uid="{A755B3C1-8FD0-48AB-9BC2-FEBA18C34A53}"/>
    <hyperlink ref="G60" location="'Initial unit rates'!$B$116" display="'Initial unit rates'!$B$116" xr:uid="{266DB0EC-6654-4073-A47E-04C7F8D1B52B}"/>
    <hyperlink ref="F61" location="'Service model charges'!A4" display="'" xr:uid="{EE64EEFA-FAE3-48B4-8EE7-59B3170C877A}"/>
    <hyperlink ref="G61" location="'Service model charges'!$B$13" display="'Service model charges'!$B$13" xr:uid="{9C90AA09-9685-4E0E-B2CF-861E904C4756}"/>
    <hyperlink ref="F62" location="'Service model charges'!A4" display="'" xr:uid="{FCA910B7-6A09-4CC3-96DA-E55013402765}"/>
    <hyperlink ref="G62" location="'Service model charges'!$B$29" display="'Service model charges'!$B$29" xr:uid="{5A1EA72B-0560-4CB7-9CA6-051C91D96156}"/>
    <hyperlink ref="F63" location="'Unit rate charges'!A4" display="'" xr:uid="{F90DE450-E8AC-4C27-AA60-CABB5D0F3831}"/>
    <hyperlink ref="G63" location="'Unit rate charges'!$B$15" display="'Unit rate charges'!$B$15" xr:uid="{8A67D807-5709-40A9-A407-7D9B5794EE40}"/>
    <hyperlink ref="F64" location="'Unit rate charges'!A4" display="'" xr:uid="{8CF9838E-F983-453B-82CF-255537C8FBB2}"/>
    <hyperlink ref="G64" location="'Unit rate charges'!$B$122" display="'Unit rate charges'!$B$122" xr:uid="{FD668E01-F820-4260-A3F0-2769A9A4A99C}"/>
    <hyperlink ref="F65" location="'Capacity charges'!A4" display="'" xr:uid="{E19EEE64-9599-4D72-BA53-4DB0F24E2F7D}"/>
    <hyperlink ref="G65" location="'Capacity charges'!$B$17" display="'Capacity charges'!$B$17" xr:uid="{87B0B9D6-6F7C-4C9E-83D6-578A1AB804FF}"/>
    <hyperlink ref="F66" location="'Capacity charges'!A4" display="'" xr:uid="{3C6F1051-0C9E-43C1-9DB5-7D6679827AA6}"/>
    <hyperlink ref="G66" location="'Capacity charges'!$B$125" display="'Capacity charges'!$B$125" xr:uid="{5ACFDA95-8FAE-4632-8C50-D6406D4CC73D}"/>
    <hyperlink ref="F67" location="'Capacity charges'!A4" display="'" xr:uid="{0C731A56-2DAA-468F-BF43-7BB1C9ACC3F3}"/>
    <hyperlink ref="G67" location="'Capacity charges'!$B$249" display="'Capacity charges'!$B$249" xr:uid="{BE09D55D-B1E0-4C24-A253-0EE17C2DD4F8}"/>
    <hyperlink ref="F68" location="'Reactive power charges'!A4" display="'" xr:uid="{5E7E7906-BAD7-4D6F-8BE2-96C3037F2CC5}"/>
    <hyperlink ref="G68" location="'Reactive power charges'!$B$13" display="'Reactive power charges'!$B$13" xr:uid="{210EED59-7C05-45A1-A42E-6E5E2BFC3888}"/>
    <hyperlink ref="F69" location="'Reactive power charges'!A4" display="'" xr:uid="{F9A0F8C2-C7DE-46CA-A065-FF8D66765DE6}"/>
    <hyperlink ref="G69" location="'Reactive power charges'!$B$150" display="'Reactive power charges'!$B$150" xr:uid="{51C567B4-18B5-4A7F-A2FE-BB55D6ECAC1E}"/>
    <hyperlink ref="F70" location="'Reactive power charges'!A4" display="'" xr:uid="{78B75894-C1D3-4D7B-9C6D-7CA60E7E1926}"/>
    <hyperlink ref="G70" location="'Reactive power charges'!$B$185" display="'Reactive power charges'!$B$185" xr:uid="{4FA96B82-27AB-4A8B-9DCB-D7C27C1073D2}"/>
    <hyperlink ref="F71" location="'Fixed charges'!A4" display="'" xr:uid="{4EC04B2A-C2ED-4681-BC1F-EA8F41E581CF}"/>
    <hyperlink ref="G71" location="'Fixed charges'!$B$14" display="'Fixed charges'!$B$14" xr:uid="{4185D4E7-099F-4BB3-BF4D-F6C85AC3FE36}"/>
    <hyperlink ref="F72" location="'Fixed charges'!A4" display="'" xr:uid="{342DBE70-917A-49A1-8246-35CCE9483FFE}"/>
    <hyperlink ref="G72" location="'Fixed charges'!$B$65" display="'Fixed charges'!$B$65" xr:uid="{2E8E1EB4-4AE0-43F0-9F8A-CDCCC008E0D4}"/>
    <hyperlink ref="F73" location="'Fixed charge adder'!A4" display="'" xr:uid="{CDE3CC9D-8AEC-46B0-BE3A-269F7A732D23}"/>
    <hyperlink ref="G73" location="'Fixed charge adder'!$B$12" display="'Fixed charge adder'!$B$12" xr:uid="{818A5014-613E-4978-952B-450953EAAB26}"/>
    <hyperlink ref="F74" location="'Revenue matching'!A4" display="'" xr:uid="{0232B136-94B8-491B-95E9-6C67B5069F84}"/>
    <hyperlink ref="G74" location="'Revenue matching'!$B$13" display="'Revenue matching'!$B$13" xr:uid="{684F4CDC-F22B-4116-9D36-B76951E4F158}"/>
    <hyperlink ref="F75" location="'Revenue matching'!A4" display="'" xr:uid="{52D80E7B-F411-414A-85CB-E243E4FEDE0E}"/>
    <hyperlink ref="G75" location="'Revenue matching'!$B$86" display="'Revenue matching'!$B$86" xr:uid="{67795D7C-E995-41FB-83CB-E6F5FFC9CDC5}"/>
    <hyperlink ref="F76" location="'Revenue matching'!A4" display="'" xr:uid="{D9B8DBC1-EB80-43BC-941D-64BA0970238F}"/>
    <hyperlink ref="G76" location="'Revenue matching'!$B$209" display="'Revenue matching'!$B$209" xr:uid="{B908695E-A84E-4A9E-96B0-1547DCDA9BDB}"/>
    <hyperlink ref="F77" location="'Revenue matching'!A4" display="'" xr:uid="{235B1108-1DA4-4F80-97B2-DA8E27DE8A1B}"/>
    <hyperlink ref="G77" location="'Revenue matching'!$B$407" display="'Revenue matching'!$B$407" xr:uid="{88EA6716-BB59-4B86-876C-7B326EC394D3}"/>
    <hyperlink ref="F78" location="'Rounding'!A4" display="'" xr:uid="{8DD8ECAC-3C97-421C-99C1-C5857FBE0B7A}"/>
    <hyperlink ref="G78" location="'Rounding'!$B$12" display="'Rounding'!$B$12" xr:uid="{7876824A-8ED4-4E97-8AF2-735B08775FCA}"/>
    <hyperlink ref="F79" location="'Rounding'!A4" display="'" xr:uid="{767E5817-0AB1-4A3B-B7F8-3CF08243B693}"/>
    <hyperlink ref="G79" location="'Rounding'!$B$103" display="'Rounding'!$B$103" xr:uid="{4445843D-5CC5-47E2-B01A-50C336BE14FE}"/>
    <hyperlink ref="F80" location="'Net revenue summary'!A4" display="'" xr:uid="{FC05CBF3-6D77-4B1A-ADBB-0B5D416DCB79}"/>
    <hyperlink ref="G80" location="'Net revenue summary'!$B$11" display="'Net revenue summary'!$B$11" xr:uid="{1709C570-8C05-4E49-BA8B-E021EDB9CCF4}"/>
    <hyperlink ref="F81" location="'Net revenue summary'!A4" display="'" xr:uid="{B33A4F83-41B5-4A3F-A4CB-8F5F7C85A158}"/>
    <hyperlink ref="G81" location="'Net revenue summary'!$B$90" display="'Net revenue summary'!$B$90" xr:uid="{2FCFFE64-9B28-4ED8-977A-27BAFBE36E68}"/>
    <hyperlink ref="F82" location="'Tariff summary'!A4" display="'" xr:uid="{5685FB95-1E72-4F60-A7FA-68E952565AFA}"/>
    <hyperlink ref="G82" location="'Tariff summary'!$B$13" display="'Tariff summary'!$B$13" xr:uid="{1665E03D-AEFF-4DDC-BD5A-756871DC7A27}"/>
    <hyperlink ref="F83" location="'Typical bills'!A4" display="'" xr:uid="{5159E822-6615-4F94-A580-BD0023033B4D}"/>
    <hyperlink ref="G83" location="'Typical bills'!$B$13" display="'Typical bills'!$B$13" xr:uid="{ACC97343-ABFE-46BC-A994-36ED065158B0}"/>
    <hyperlink ref="F90" location="'ARP_CDCM timebands'!A4" display="'" xr:uid="{01C99410-2E1B-4B09-9A83-4E9E752F016E}"/>
    <hyperlink ref="G90" location="'ARP_CDCM timebands'!$C$14" display="'ARP_CDCM timebands'!$C$14" xr:uid="{5D516FF9-2611-4C53-9F55-886805A39521}"/>
    <hyperlink ref="F91" location="'ARP_CDCM timebands'!A4" display="'" xr:uid="{71A1B032-E7DC-406A-992F-6DFF70282AC2}"/>
    <hyperlink ref="G91" location="'ARP_CDCM timebands'!$C$26" display="'ARP_CDCM timebands'!$C$26" xr:uid="{BF566195-3330-49E0-B499-EF2EEA68C735}"/>
    <hyperlink ref="F92" location="'ARP_User control'!A4" display="'" xr:uid="{9F94213E-0EB2-4ADF-82EF-E417179D5F2A}"/>
    <hyperlink ref="G92" location="'ARP_User control'!$C$15" display="'ARP_User control'!$C$15" xr:uid="{1D60103C-F6F8-4A4C-9706-697FDAC7FCEA}"/>
    <hyperlink ref="F93" location="'ARP_User control'!A4" display="'" xr:uid="{424822B9-661C-4C62-95E6-22EEE8613F1E}"/>
    <hyperlink ref="G93" location="'ARP_User control'!$C$19" display="'ARP_User control'!$C$19" xr:uid="{729221AD-2E1E-47B2-8246-64C4099B3540}"/>
    <hyperlink ref="F94" location="'ARP_Inputs by customer type'!A4" display="'" xr:uid="{18DEAF1F-B100-4A13-A13E-4F68445B11E6}"/>
    <hyperlink ref="G94" location="'ARP_Inputs by customer type'!$C$16" display="'ARP_Inputs by customer type'!$C$16" xr:uid="{8AD36017-B3AB-48FC-9FED-C9FF95106AB3}"/>
    <hyperlink ref="F95" location="'ARP_Inputs by customer type'!A4" display="'" xr:uid="{9EA2D0D4-0CD7-4C49-B4C8-B775A93C0221}"/>
    <hyperlink ref="G95" location="'ARP_Inputs by customer type'!$C$36" display="'ARP_Inputs by customer type'!$C$36" xr:uid="{B840AAB0-C56B-40FB-B5D7-82AA039C49B8}"/>
    <hyperlink ref="F96" location="'ARP_Inputs by customer type'!A4" display="'" xr:uid="{DFBEF6E8-ED22-4C25-8238-2B53FBBD3933}"/>
    <hyperlink ref="G96" location="'ARP_Inputs by customer type'!$C$58" display="'ARP_Inputs by customer type'!$C$58" xr:uid="{284CB628-BD64-48C7-9ACB-AB08DD303D49}"/>
    <hyperlink ref="F97" location="'ARP_Inputs by customer type'!A4" display="'" xr:uid="{A5D581C2-18C4-430D-9BB2-389167E98184}"/>
    <hyperlink ref="G97" location="'ARP_Inputs by customer type'!$C$186" display="'ARP_Inputs by customer type'!$C$186" xr:uid="{07B952C1-338D-4543-9277-8C5FD40A605D}"/>
    <hyperlink ref="F98" location="'ARP_Inputs by customer type'!A4" display="'" xr:uid="{686EBC4B-E835-40D7-A034-32C8453ADA0E}"/>
    <hyperlink ref="G98" location="'ARP_Inputs by customer type'!$C$314" display="'ARP_Inputs by customer type'!$C$314" xr:uid="{D44F3889-ACEE-4AED-80AF-1C2126C84CCD}"/>
    <hyperlink ref="F99" location="'ARP_Inputs by customer type'!A4" display="'" xr:uid="{E0DBD10C-A646-4974-BBEF-6946932263A8}"/>
    <hyperlink ref="G99" location="'ARP_Inputs by customer type'!$C$442" display="'ARP_Inputs by customer type'!$C$442" xr:uid="{5E03E8F9-CBDB-4A82-B870-D15A2399B008}"/>
    <hyperlink ref="F100" location="'ARP_Inputs by customer type'!A4" display="'" xr:uid="{F8DD4BC5-70F2-46DB-A383-3935ED8484DB}"/>
    <hyperlink ref="G100" location="'ARP_Inputs by customer type'!$C$570" display="'ARP_Inputs by customer type'!$C$570" xr:uid="{C6186AF7-0BEC-4A2D-B831-BB522747A4E4}"/>
    <hyperlink ref="F101" location="'ARP_Inputs by customer type'!A4" display="'" xr:uid="{0F93C6F8-A69D-4C68-88C2-232F25E1C6EA}"/>
    <hyperlink ref="G101" location="'ARP_Inputs by customer type'!$C$698" display="'ARP_Inputs by customer type'!$C$698" xr:uid="{266AF349-7E1A-4760-A07A-EAAC0961551D}"/>
    <hyperlink ref="F102" location="'ARP_Inputs by customer type'!A4" display="'" xr:uid="{9CF6B596-D874-41B7-81AC-A5F2A439F2B5}"/>
    <hyperlink ref="G102" location="'ARP_Inputs by customer type'!$C$826" display="'ARP_Inputs by customer type'!$C$826" xr:uid="{BD99FAAE-F048-4CAE-AF4A-0B5D45D3AE8D}"/>
    <hyperlink ref="F103" location="'ARP_Inputs by customer type'!A4" display="'" xr:uid="{ABECBB55-8090-49F1-A7BC-E6706AEE5AC6}"/>
    <hyperlink ref="G103" location="'ARP_Inputs by customer type'!$C$954" display="'ARP_Inputs by customer type'!$C$954" xr:uid="{73CD858F-4283-4FF9-9603-AF1EE70DCF4D}"/>
    <hyperlink ref="F104" location="'ARP_Inputs by customer type'!A4" display="'" xr:uid="{0C72706A-25A3-4C8C-9CEC-D0FB9E7E453C}"/>
    <hyperlink ref="G104" location="'ARP_Inputs by customer type'!$C$1082" display="'ARP_Inputs by customer type'!$C$1082" xr:uid="{7E1C760D-0B0B-4733-85BD-3CB60478F737}"/>
    <hyperlink ref="F105" location="'ARP_Inputs by customer type'!A4" display="'" xr:uid="{BB09341B-2E72-4E86-8955-FAC729EC0FD3}"/>
    <hyperlink ref="G105" location="'ARP_Inputs by customer type'!$C$1210" display="'ARP_Inputs by customer type'!$C$1210" xr:uid="{DEC7D84F-2949-4AED-8502-3A6F3101A5CF}"/>
    <hyperlink ref="F106" location="'ARP_Inputs by customer type'!A4" display="'" xr:uid="{91BD9B8F-5A44-4CD2-9668-01CA46C02520}"/>
    <hyperlink ref="G106" location="'ARP_Inputs by customer type'!$C$1338" display="'ARP_Inputs by customer type'!$C$1338" xr:uid="{73205FA0-34E2-4E6D-96DE-C52DAD7911C6}"/>
    <hyperlink ref="F107" location="'ARP_Inputs by customer type'!A4" display="'" xr:uid="{F9E0E8B1-22B6-4EF6-8D13-5FB006A8EBE8}"/>
    <hyperlink ref="G107" location="'ARP_Inputs by customer type'!$C$1466" display="'ARP_Inputs by customer type'!$C$1466" xr:uid="{426C938C-CA48-4E34-AA56-9DDB7992F5D0}"/>
    <hyperlink ref="F108" location="'ARP_Inputs by customer type'!A4" display="'" xr:uid="{963FC973-B96B-4747-846D-F34654911EB2}"/>
    <hyperlink ref="G108" location="'ARP_Inputs by customer type'!$C$1594" display="'ARP_Inputs by customer type'!$C$1594" xr:uid="{D294E8F9-2427-4CB6-BD5B-23EBA1920D32}"/>
    <hyperlink ref="F109" location="'ARP_Inputs by customer type'!A4" display="'" xr:uid="{74CDADA5-10FF-4117-B3EB-56B172740170}"/>
    <hyperlink ref="G109" location="'ARP_Inputs by customer type'!$C$1722" display="'ARP_Inputs by customer type'!$C$1722" xr:uid="{980FE298-CE30-476B-B29E-8C1A9956B51B}"/>
    <hyperlink ref="F110" location="'ARP_Inputs by customer type'!A4" display="'" xr:uid="{E16B2A50-A420-4ECE-849B-3933A4CD6825}"/>
    <hyperlink ref="G110" location="'ARP_Inputs by customer type'!$C$1850" display="'ARP_Inputs by customer type'!$C$1850" xr:uid="{EED06AAF-0F8D-49ED-8BA4-3C27E13654D8}"/>
    <hyperlink ref="F111" location="'ARP_Inputs by customer type'!A4" display="'" xr:uid="{7606C1E3-7F54-4D4F-8D41-F958BA7ABC93}"/>
    <hyperlink ref="G111" location="'ARP_Inputs by customer type'!$C$1978" display="'ARP_Inputs by customer type'!$C$1978" xr:uid="{54279DE1-3F78-4A5F-8415-3FB31587C1B9}"/>
    <hyperlink ref="F112" location="'ARP_Inputs by customer type'!A4" display="'" xr:uid="{9AE21B36-EC82-44C4-AF33-6DDE995A4E10}"/>
    <hyperlink ref="G112" location="'ARP_Inputs by customer type'!$C$2003" display="'ARP_Inputs by customer type'!$C$2003" xr:uid="{4741D62D-1B8E-4380-85EA-F57CC7A66308}"/>
    <hyperlink ref="F113" location="'ARP_Inputs by customer type'!A4" display="'" xr:uid="{516532E8-47B4-4865-9257-7D3F0C956BF5}"/>
    <hyperlink ref="G113" location="'ARP_Inputs by customer type'!$C$2026" display="'ARP_Inputs by customer type'!$C$2026" xr:uid="{9E4B62AE-781F-455B-8C03-97E791746C76}"/>
    <hyperlink ref="F114" location="'ARP_Inputs by customer type'!A4" display="'" xr:uid="{9B595AAE-DE6F-4A07-A583-659D0109B1FB}"/>
    <hyperlink ref="G114" location="'ARP_Inputs by customer type'!$C$2049" display="'ARP_Inputs by customer type'!$C$2049" xr:uid="{0C3F1E96-D821-4D2C-9F7D-EB20CA340F8D}"/>
    <hyperlink ref="F115" location="'ARP_Inputs by customer type'!A4" display="'" xr:uid="{EC3AFB33-F8FB-4859-BDA5-A9DB06B9BC45}"/>
    <hyperlink ref="G115" location="'ARP_Inputs by customer type'!$C$2076" display="'ARP_Inputs by customer type'!$C$2076" xr:uid="{3BCC4BE8-C959-4CA2-A720-2443F9F76CFB}"/>
    <hyperlink ref="F116" location="'ARP_Inputs by customer type'!A4" display="'" xr:uid="{41626ECB-12FC-4E77-A957-EB81A0B4D559}"/>
    <hyperlink ref="G116" location="'ARP_Inputs by customer type'!$C$2096" display="'ARP_Inputs by customer type'!$C$2096" xr:uid="{596F2AFB-995B-4135-82EB-BCFEE87392B2}"/>
    <hyperlink ref="F117" location="'ARP_Inputs by customer type'!A4" display="'" xr:uid="{3319A962-D1BD-4853-A4B7-1D96B0F90FBB}"/>
    <hyperlink ref="G117" location="'ARP_Inputs by customer type'!$C$2116" display="'ARP_Inputs by customer type'!$C$2116" xr:uid="{5A8DD53F-27AD-45F5-A4D9-FC87847C53D0}"/>
    <hyperlink ref="F118" location="'ARP_Inputs by network level'!A4" display="'" xr:uid="{522EDB18-BEAB-4F74-84E7-6456097DA426}"/>
    <hyperlink ref="G118" location="'ARP_Inputs by network level'!$C$16" display="'ARP_Inputs by network level'!$C$16" xr:uid="{E3657B43-10E4-4CD7-9199-19E8DD35AB53}"/>
    <hyperlink ref="F119" location="'ARP_Inputs by network level'!A4" display="'" xr:uid="{6482B75A-414F-4AAF-854C-058A66018F58}"/>
    <hyperlink ref="G119" location="'ARP_Inputs by network level'!$C$30" display="'ARP_Inputs by network level'!$C$30" xr:uid="{19578C67-F305-4CA5-9436-C6B357B9DD00}"/>
    <hyperlink ref="F120" location="'ARP_Inputs by network level'!A4" display="'" xr:uid="{16484ECD-0566-45D0-9154-BFB768945C17}"/>
    <hyperlink ref="G120" location="'ARP_Inputs by network level'!$C$44" display="'ARP_Inputs by network level'!$C$44" xr:uid="{174AA8DD-C618-42E7-A869-74459ACF2C90}"/>
    <hyperlink ref="F121" location="'ARP_Inputs by network level'!A4" display="'" xr:uid="{4C0B6B86-D894-465B-AFF8-60A52B3E42E8}"/>
    <hyperlink ref="G121" location="'ARP_Inputs by network level'!$C$58" display="'ARP_Inputs by network level'!$C$58" xr:uid="{39F1A271-76CA-4416-A6BD-2FEE82323549}"/>
    <hyperlink ref="F122" location="'ARP_Inputs by network level'!A4" display="'" xr:uid="{D8C846A5-A65B-43DE-A730-ED5999E1DDF4}"/>
    <hyperlink ref="G122" location="'ARP_Inputs by network level'!$C$72" display="'ARP_Inputs by network level'!$C$72" xr:uid="{88D12FB3-B5CE-4255-9FF4-4EFC45D5DCB1}"/>
    <hyperlink ref="F123" location="'ARP_Inputs by network level'!A4" display="'" xr:uid="{EC05B816-FD61-43D2-867B-980E53B4B804}"/>
    <hyperlink ref="G123" location="'ARP_Inputs by network level'!$C$120" display="'ARP_Inputs by network level'!$C$120" xr:uid="{B738F22E-D0DF-4714-853F-02D4591F44A9}"/>
    <hyperlink ref="F124" location="'ARP_Inputs by network level'!A4" display="'" xr:uid="{B0F4328B-D591-4F1B-81D6-373B047F8173}"/>
    <hyperlink ref="G124" location="'ARP_Inputs by network level'!$C$134" display="'ARP_Inputs by network level'!$C$134" xr:uid="{3AB14BF7-A834-4EB9-ABB9-F4D8B75162BF}"/>
    <hyperlink ref="F125" location="'ARP_General inputs'!A4" display="'" xr:uid="{1B45FB33-80CE-4D7F-AC24-80697EDEC7A5}"/>
    <hyperlink ref="G125" location="'ARP_General inputs'!$C$16" display="'ARP_General inputs'!$C$16" xr:uid="{CC438EA9-746E-4799-B512-FB9924E4A173}"/>
    <hyperlink ref="F126" location="'ARP_General inputs'!A4" display="'" xr:uid="{AD1E15AA-7E83-4ADE-BC0B-1F0AC63EC4C3}"/>
    <hyperlink ref="G126" location="'ARP_General inputs'!$C$28" display="'ARP_General inputs'!$C$28" xr:uid="{88A3BE03-098D-40F5-934F-571354A377B8}"/>
    <hyperlink ref="F127" location="'ARP_General inputs'!A4" display="'" xr:uid="{405E775F-CD5F-4744-B433-2750C23FFC65}"/>
    <hyperlink ref="G127" location="'ARP_General inputs'!$C$38" display="'ARP_General inputs'!$C$38" xr:uid="{93AE8816-FAD4-485B-9A43-F991D53648C7}"/>
    <hyperlink ref="F128" location="'ARP_General inputs'!A4" display="'" xr:uid="{02D98EAD-01C5-4F5B-B0EA-95C3BAA54576}"/>
    <hyperlink ref="G128" location="'ARP_General inputs'!$C$98" display="'ARP_General inputs'!$C$98" xr:uid="{83F29CEB-86CF-4D46-B485-BF27CC626ACB}"/>
    <hyperlink ref="F129" location="'ARP_General inputs'!A4" display="'" xr:uid="{63ECFA57-B9DF-4B2B-BA3E-357E220163DB}"/>
    <hyperlink ref="G129" location="'ARP_General inputs'!$C$103" display="'ARP_General inputs'!$C$103" xr:uid="{03CF6647-E2D8-4719-ACFF-CEECC3DD89B4}"/>
    <hyperlink ref="F130" location="'ARP_General inputs'!A4" display="'" xr:uid="{88152149-FFDC-4C2C-84D4-C1A5BB7E50FD}"/>
    <hyperlink ref="G130" location="'ARP_General inputs'!$C$107" display="'ARP_General inputs'!$C$107" xr:uid="{173AD78E-B94F-4280-B35A-5F6ED6A87C9B}"/>
    <hyperlink ref="F131" location="'Fixed inputs'!A4" display="'" xr:uid="{FA44A7DD-C086-4BA6-B100-FF30E7F68B09}"/>
    <hyperlink ref="G131" location="'Fixed inputs'!$C$13" display="'Fixed inputs'!$C$13" xr:uid="{71539B31-0DA9-4495-9123-8603CEAA0CE1}"/>
    <hyperlink ref="F132" location="'Fixed inputs'!A4" display="'" xr:uid="{18CD0463-B633-4677-AFE3-43C2B0EFC6EB}"/>
    <hyperlink ref="G132" location="'Fixed inputs'!$C$20" display="'Fixed inputs'!$C$20" xr:uid="{386840E4-D24A-429F-A5D8-9139458632CA}"/>
    <hyperlink ref="F133" location="'Fixed inputs'!A4" display="'" xr:uid="{82E0822B-7DA6-40A9-A7FC-855955EA52D2}"/>
    <hyperlink ref="G133" location="'Fixed inputs'!$C$33" display="'Fixed inputs'!$C$33" xr:uid="{3E7E7E52-BE01-46FB-818D-D710D098E5E2}"/>
    <hyperlink ref="F134" location="'Fixed inputs'!A4" display="'" xr:uid="{3E552944-75E8-4B01-A73B-C57F71F969BA}"/>
    <hyperlink ref="G134" location="'Fixed inputs'!$C$43" display="'Fixed inputs'!$C$43" xr:uid="{833515E2-C832-4F21-A08E-2F62F075A61E}"/>
    <hyperlink ref="F135" location="'Fixed inputs'!A4" display="'" xr:uid="{A9C7BF1E-58B3-424C-B512-8568E84F46A1}"/>
    <hyperlink ref="G135" location="'Fixed inputs'!$C$84" display="'Fixed inputs'!$C$84" xr:uid="{A5B4F72F-A0CB-4FA1-9FD8-803CD361B5CD}"/>
    <hyperlink ref="F136" location="'Fixed inputs'!A4" display="'" xr:uid="{617B9355-CC37-417A-BED4-C30593F1987C}"/>
    <hyperlink ref="G136" location="'Fixed inputs'!$C$99" display="'Fixed inputs'!$C$99" xr:uid="{4EE2EE42-BDCC-457D-BFB8-1BF7D0EA0C54}"/>
    <hyperlink ref="F137" location="'Fixed inputs'!A4" display="'" xr:uid="{BE4396FC-1E7C-487F-B6AB-D7B80B59FEC8}"/>
    <hyperlink ref="G137" location="'Fixed inputs'!$C$141" display="'Fixed inputs'!$C$141" xr:uid="{4F3B3BEC-0433-4D1C-90A6-DB8C71A036F3}"/>
    <hyperlink ref="F138" location="'Fixed inputs'!A4" display="'" xr:uid="{E9946DC4-F224-4D96-913D-23C8BAA5F7C9}"/>
    <hyperlink ref="G138" location="'Fixed inputs'!$C$151" display="'Fixed inputs'!$C$151" xr:uid="{5161213E-EED5-41B9-AF89-AF416350F92D}"/>
    <hyperlink ref="F139" location="'Fixed inputs'!A4" display="'" xr:uid="{E2D9154F-CB9F-432C-B7AF-9AB65943B20C}"/>
    <hyperlink ref="G139" location="'Fixed inputs'!$C$155" display="'Fixed inputs'!$C$155" xr:uid="{FBEEC2AC-04AE-48AC-BD8E-DBCF3979EBA8}"/>
    <hyperlink ref="F140" location="'Fixed inputs'!A4" display="'" xr:uid="{31E73878-8747-441D-B507-39429580F1B2}"/>
    <hyperlink ref="G140" location="'Fixed inputs'!$C$161" display="'Fixed inputs'!$C$161" xr:uid="{57C991B6-A5D8-4F24-B880-8688F1C72357}"/>
    <hyperlink ref="F141" location="'Inputs by customer type'!A4" display="'" xr:uid="{33F011F8-13CC-42C6-9E5C-F13DFB3192E3}"/>
    <hyperlink ref="G141" location="'Inputs by customer type'!$C$16" display="'Inputs by customer type'!$C$16" xr:uid="{8D747542-3D80-4D84-8145-680012584919}"/>
    <hyperlink ref="F142" location="'Inputs by customer type'!A4" display="'" xr:uid="{420C6324-9A44-4742-A361-51C50AEE64F3}"/>
    <hyperlink ref="G142" location="'Inputs by customer type'!$C$21" display="'Inputs by customer type'!$C$21" xr:uid="{8392BC22-0BDB-4417-AD3B-AA3D455BB769}"/>
    <hyperlink ref="F143" location="'Inputs by customer type'!A4" display="'" xr:uid="{FF5CB3B3-CF3D-4A11-9736-82927F8CC568}"/>
    <hyperlink ref="G143" location="'Inputs by customer type'!$C$166" display="'Inputs by customer type'!$C$166" xr:uid="{395D9D66-E43A-4408-8DF7-7565BC9F1E34}"/>
    <hyperlink ref="F144" location="'Inputs by customer type'!A4" display="'" xr:uid="{914F778F-2A4F-4E69-911E-4BC20E6468F5}"/>
    <hyperlink ref="G144" location="'Inputs by customer type'!$C$186" display="'Inputs by customer type'!$C$186" xr:uid="{00618798-92E0-49F7-8099-6A3980AE5FB8}"/>
    <hyperlink ref="F145" location="'Inputs by network level'!A4" display="'" xr:uid="{DB1C8533-95F9-49B4-83D5-BFA1DBADB85D}"/>
    <hyperlink ref="G145" location="'Inputs by network level'!$C$16" display="'Inputs by network level'!$C$16" xr:uid="{0FE628CF-2728-4C83-AD1B-181DE40725AD}"/>
    <hyperlink ref="F146" location="'Inputs by network level'!A4" display="'" xr:uid="{4A0B59F9-B41C-48AB-8B5A-9445CCDEBE48}"/>
    <hyperlink ref="G146" location="'Inputs by network level'!$C$26" display="'Inputs by network level'!$C$26" xr:uid="{AD09609B-13C7-4F03-A5CA-57E373D788C5}"/>
    <hyperlink ref="F147" location="'Inputs by network level'!A4" display="'" xr:uid="{AECD4733-9D80-41DE-BE24-28033F47BB93}"/>
    <hyperlink ref="G147" location="'Inputs by network level'!$C$34" display="'Inputs by network level'!$C$34" xr:uid="{C511434A-7439-450A-88A2-D3413DEBEFD7}"/>
    <hyperlink ref="F148" location="'Inputs by network level'!A4" display="'" xr:uid="{C6A0614A-AF0E-4600-9CB5-4F3C14CC9F07}"/>
    <hyperlink ref="G148" location="'Inputs by network level'!$C$38" display="'Inputs by network level'!$C$38" xr:uid="{DAAA670C-C5C9-4B3E-98D6-FA96B755A438}"/>
    <hyperlink ref="F149" location="'General inputs'!A4" display="'" xr:uid="{CE3B5207-9DF7-4650-8CD1-302C62AD2BA3}"/>
    <hyperlink ref="G149" location="'General inputs'!$C$16" display="'General inputs'!$C$16" xr:uid="{6921D242-1A3E-41B4-9864-B73A2FAC1A24}"/>
    <hyperlink ref="F150" location="'General inputs'!A4" display="'" xr:uid="{ABC87377-0BAD-4C63-8676-8C4623BB8737}"/>
    <hyperlink ref="G150" location="'General inputs'!$C$28" display="'General inputs'!$C$28" xr:uid="{4881F029-25ED-4816-A2FF-4E5D03245F4A}"/>
    <hyperlink ref="F151" location="'General inputs'!A4" display="'" xr:uid="{588B5EED-C8D9-487C-A0B5-7718CC47AF37}"/>
    <hyperlink ref="G151" location="'General inputs'!$C$38" display="'General inputs'!$C$38" xr:uid="{41D3264A-725B-49C6-93A4-73152F8B4106}"/>
    <hyperlink ref="F152" location="'General inputs'!A4" display="'" xr:uid="{9C261308-5D15-4D79-AF40-AF4FB888C122}"/>
    <hyperlink ref="G152" location="'General inputs'!$C$92" display="'General inputs'!$C$92" xr:uid="{F23C46BC-22B5-4AFC-B496-8228B3FFCD60}"/>
    <hyperlink ref="F153" location="'General inputs'!A4" display="'" xr:uid="{AE2C49C0-738F-489A-8F12-3296D6BCCCFC}"/>
    <hyperlink ref="G153" location="'General inputs'!$C$98" display="'General inputs'!$C$98" xr:uid="{3C499698-6771-4FF9-8D17-3437126BB97E}"/>
    <hyperlink ref="F154" location="'General inputs'!A4" display="'" xr:uid="{55F34449-1B66-477C-A88C-BA188DE5DE99}"/>
    <hyperlink ref="G154" location="'General inputs'!$C$102" display="'General inputs'!$C$102" xr:uid="{46698229-3423-4D97-B789-3A78A74D7E35}"/>
    <hyperlink ref="F155" location="'Standing charge factors'!A4" display="'" xr:uid="{D6FD6A7E-400F-4C5C-9219-F849EAA87279}"/>
    <hyperlink ref="G155" location="'Standing charge factors'!$C$19" display="'Standing charge factors'!$C$19" xr:uid="{6E24D646-F22A-4BF1-A8FC-FBC347B05C26}"/>
    <hyperlink ref="F156" location="'Load &amp; loss characteristics'!A4" display="'" xr:uid="{29D9278B-9E28-4E34-AE9C-A0C3C1C793B5}"/>
    <hyperlink ref="G156" location="'Load &amp; loss characteristics'!$C$17" display="'Load &amp; loss characteristics'!$C$17" xr:uid="{4856CE18-C6FE-4413-9F62-4FD464CFC58C}"/>
    <hyperlink ref="F157" location="'Load &amp; loss characteristics'!A4" display="'" xr:uid="{670623A8-7159-49F0-9714-83DBD73C8897}"/>
    <hyperlink ref="G157" location="'Load &amp; loss characteristics'!$C$25" display="'Load &amp; loss characteristics'!$C$25" xr:uid="{5BA8AD2B-16E1-41E5-A7EB-F4BC29F4E951}"/>
    <hyperlink ref="F158" location="'Load &amp; loss characteristics'!A4" display="'" xr:uid="{88601173-4E38-44AD-89D5-39B80C3298B0}"/>
    <hyperlink ref="G158" location="'Load &amp; loss characteristics'!$C$35" display="'Load &amp; loss characteristics'!$C$35" xr:uid="{CB4927CC-EE26-4333-B5FF-E40639DBA382}"/>
    <hyperlink ref="F159" location="'Load &amp; loss characteristics'!A4" display="'" xr:uid="{DDA12876-D4BA-4F7C-BF82-F5CDB7EAA226}"/>
    <hyperlink ref="G159" location="'Load &amp; loss characteristics'!$C$40" display="'Load &amp; loss characteristics'!$C$40" xr:uid="{699BD9EA-F584-441B-AD16-3EDBC2BDA69A}"/>
    <hyperlink ref="F160" location="'Load &amp; loss characteristics'!A4" display="'" xr:uid="{E0A3772C-FF5B-4A83-9A48-F8F066819E58}"/>
    <hyperlink ref="G160" location="'Load &amp; loss characteristics'!$C$121" display="'Load &amp; loss characteristics'!$C$121" xr:uid="{F932FC3B-BB96-4176-AAD5-E97DEF4863E8}"/>
    <hyperlink ref="F161" location="'Customer contributions'!A4" display="'" xr:uid="{8884161E-02E0-4E11-AD5B-F2B9517B3DD8}"/>
    <hyperlink ref="G161" location="'Customer contributions'!$C$16" display="'Customer contributions'!$C$16" xr:uid="{168151CD-F0BC-49D3-A27E-A5DBC68CE325}"/>
    <hyperlink ref="F162" location="'Customer contributions'!A4" display="'" xr:uid="{19FCD966-3126-4E63-B40E-F532888C0494}"/>
    <hyperlink ref="G162" location="'Customer contributions'!$C$38" display="'Customer contributions'!$C$38" xr:uid="{5490C9E5-CF06-49F1-BD3B-52E200DA97EC}"/>
    <hyperlink ref="F163" location="'Volume adjustments'!A4" display="'" xr:uid="{95731B91-A008-4EFC-97B8-AD904BCE77A1}"/>
    <hyperlink ref="G163" location="'Volume adjustments'!$C$15" display="'Volume adjustments'!$C$15" xr:uid="{1B4B31FD-F8D5-4BC0-9720-27E36ADCD1CB}"/>
    <hyperlink ref="F164" location="'Volume adjustments'!A4" display="'" xr:uid="{91530935-96CF-4388-BA3C-A298A4DDDD4D}"/>
    <hyperlink ref="G164" location="'Volume adjustments'!$C$53" display="'Volume adjustments'!$C$53" xr:uid="{B59B280D-FAAD-4926-B080-C0AB87B35697}"/>
    <hyperlink ref="F165" location="'Volume adjustments'!A4" display="'" xr:uid="{4108D746-4300-43DE-8AF8-54F5876B0FDC}"/>
    <hyperlink ref="G165" location="'Volume adjustments'!$C$225" display="'Volume adjustments'!$C$225" xr:uid="{9D6A5B70-43A8-4C60-B439-F6678E85BF17}"/>
    <hyperlink ref="F166" location="'Volume adjustments'!A4" display="'" xr:uid="{B5556FDA-1358-4B2D-897B-A399B7A912CF}"/>
    <hyperlink ref="G166" location="'Volume adjustments'!$C$332" display="'Volume adjustments'!$C$332" xr:uid="{FAF8834A-0C62-4CC5-A92F-3B8DFCD8B152}"/>
    <hyperlink ref="F167" location="'Volume adjustments'!A4" display="'" xr:uid="{E9277F31-192B-4C20-B695-C0373620CBAA}"/>
    <hyperlink ref="G167" location="'Volume adjustments'!$C$361" display="'Volume adjustments'!$C$361" xr:uid="{77720E7B-6A5C-4BCB-84B6-F3F668C71B90}"/>
    <hyperlink ref="F168" location="'Volume adjustments'!A4" display="'" xr:uid="{CC582441-CD59-4A5C-BB0D-A95024DC36E8}"/>
    <hyperlink ref="G168" location="'Volume adjustments'!$C$390" display="'Volume adjustments'!$C$390" xr:uid="{81BFD1EF-3F5B-4B63-BE73-48C70DCE93AE}"/>
    <hyperlink ref="F169" location="'Volume adjustments'!A4" display="'" xr:uid="{53A8CAB0-E56E-40DA-BFEF-B7EB05149BCF}"/>
    <hyperlink ref="G169" location="'Volume adjustments'!$C$419" display="'Volume adjustments'!$C$419" xr:uid="{0C17615C-379E-4D96-8A48-414C10818A3A}"/>
    <hyperlink ref="F170" location="'Volume adjustments'!A4" display="'" xr:uid="{89EB3851-1686-4DD3-A645-A11095C753AD}"/>
    <hyperlink ref="G170" location="'Volume adjustments'!$C$448" display="'Volume adjustments'!$C$448" xr:uid="{22457C2D-DF4A-46DB-86C8-AE98CC12D694}"/>
    <hyperlink ref="F171" location="'Volume adjustments'!A4" display="'" xr:uid="{D7630670-FB68-4F39-B440-5E3BD9CA0FED}"/>
    <hyperlink ref="G171" location="'Volume adjustments'!$C$477" display="'Volume adjustments'!$C$477" xr:uid="{0934CCB1-994A-4A5A-B6D3-3C2B40CCC520}"/>
    <hyperlink ref="F172" location="'Volume adjustments'!A4" display="'" xr:uid="{24716D6E-2591-4285-96BC-2E731BEB7E4B}"/>
    <hyperlink ref="G172" location="'Volume adjustments'!$C$523" display="'Volume adjustments'!$C$523" xr:uid="{77484255-24D9-4847-8F89-F85E1A42E451}"/>
    <hyperlink ref="F173" location="'Volume adjustments'!A4" display="'" xr:uid="{4DF4916E-C169-4B17-B1A8-31B96ED7F704}"/>
    <hyperlink ref="G173" location="'Volume adjustments'!$C$657" display="'Volume adjustments'!$C$657" xr:uid="{22DB980F-7054-4D5F-9CFB-5A5124DE7AD7}"/>
    <hyperlink ref="F174" location="'Pseudo-load coefficients'!A4" display="'" xr:uid="{CA141CED-8CF2-4A94-9216-CB384584B6B4}"/>
    <hyperlink ref="G174" location="'Pseudo-load coefficients'!$C$18" display="'Pseudo-load coefficients'!$C$18" xr:uid="{0FA4919B-74C4-481F-A120-4A8139A2AE11}"/>
    <hyperlink ref="F175" location="'Pseudo-load coefficients'!A4" display="'" xr:uid="{49EB9299-06AB-482C-9203-5799F40C230D}"/>
    <hyperlink ref="G175" location="'Pseudo-load coefficients'!$C$28" display="'Pseudo-load coefficients'!$C$28" xr:uid="{B052DFDE-7E69-4953-8669-05DCFF112CF9}"/>
    <hyperlink ref="F176" location="'Pseudo-load coefficients'!A4" display="'" xr:uid="{86F5BA81-05C2-4282-B449-EE55B3FEB83A}"/>
    <hyperlink ref="G176" location="'Pseudo-load coefficients'!$C$36" display="'Pseudo-load coefficients'!$C$36" xr:uid="{98781428-79B6-4335-B06D-F900E1435E93}"/>
    <hyperlink ref="F177" location="'Pseudo-load coefficients'!A4" display="'" xr:uid="{92D5F117-BC89-487B-B07F-42DCAE37CC54}"/>
    <hyperlink ref="G177" location="'Pseudo-load coefficients'!$C$52" display="'Pseudo-load coefficients'!$C$52" xr:uid="{3F4CCE45-CB09-4A6E-8061-97A5E06296AC}"/>
    <hyperlink ref="F178" location="'Pseudo-load coefficients'!A4" display="'" xr:uid="{63F1EB9C-6EC1-47D9-BF07-DA1E031902DC}"/>
    <hyperlink ref="G178" location="'Pseudo-load coefficients'!$C$60" display="'Pseudo-load coefficients'!$C$60" xr:uid="{74C1197F-85C1-449A-916C-968347AA8FC7}"/>
    <hyperlink ref="F179" location="'Pseudo-load coefficients'!A4" display="'" xr:uid="{482AE2E2-ECFB-4968-98B8-A4E8B33CA7BE}"/>
    <hyperlink ref="G179" location="'Pseudo-load coefficients'!$C$65" display="'Pseudo-load coefficients'!$C$65" xr:uid="{A6189E67-5620-47A6-A913-57CC4A9B1B82}"/>
    <hyperlink ref="F180" location="'Pseudo-load coefficients'!A4" display="'" xr:uid="{7C963D8F-4045-45D1-8BE5-3E585D980BD3}"/>
    <hyperlink ref="G180" location="'Pseudo-load coefficients'!$C$87" display="'Pseudo-load coefficients'!$C$87" xr:uid="{6CEC9FE1-A1FE-41C8-8618-844237EE8CCD}"/>
    <hyperlink ref="F181" location="'Pseudo-load coefficients'!A4" display="'" xr:uid="{5CDE8D43-ED55-41F4-9062-6901E7C1A89F}"/>
    <hyperlink ref="G181" location="'Pseudo-load coefficients'!$C$100" display="'Pseudo-load coefficients'!$C$100" xr:uid="{0919C6AB-D1A4-48C5-A51A-5A98A0C635E4}"/>
    <hyperlink ref="F182" location="'Pseudo-load coefficients'!A4" display="'" xr:uid="{CB9D91B0-8FBD-4B47-BF23-59C756303267}"/>
    <hyperlink ref="G182" location="'Pseudo-load coefficients'!$C$174" display="'Pseudo-load coefficients'!$C$174" xr:uid="{76ACF9FF-9595-400F-AB94-55E0FF37EC7A}"/>
    <hyperlink ref="F183" location="'Pseudo-load coefficients'!A4" display="'" xr:uid="{02EE59FA-3B07-4A50-80B9-11DC4C4098E2}"/>
    <hyperlink ref="G183" location="'Pseudo-load coefficients'!$C$221" display="'Pseudo-load coefficients'!$C$221" xr:uid="{BBC40A33-0898-448C-B484-DB48DF5E4CB8}"/>
    <hyperlink ref="F184" location="'Pseudo-load coefficients'!A4" display="'" xr:uid="{D3E1FF9A-80D5-4A24-9843-B11EB4FDB5EE}"/>
    <hyperlink ref="G184" location="'Pseudo-load coefficients'!$C$265" display="'Pseudo-load coefficients'!$C$265" xr:uid="{5C1B7550-4FFA-4DFD-8DAE-27D3C63B210E}"/>
    <hyperlink ref="F185" location="'Pseudo-load coefficients'!A4" display="'" xr:uid="{3BA203F3-E26E-4BC5-8A6B-DF71E0AC12A9}"/>
    <hyperlink ref="G185" location="'Pseudo-load coefficients'!$C$269" display="'Pseudo-load coefficients'!$C$269" xr:uid="{2582A4ED-FE5A-486A-8D8B-295EB7F5C570}"/>
    <hyperlink ref="F186" location="'System peak demand'!A4" display="'" xr:uid="{CC59CB6C-8950-4A8E-A5E6-136E9015A047}"/>
    <hyperlink ref="G186" location="'System peak demand'!$C$18" display="'System peak demand'!$C$18" xr:uid="{0239B38F-0442-4FC2-8C05-E05C0BD5D354}"/>
    <hyperlink ref="F187" location="'System peak demand'!A4" display="'" xr:uid="{53BA02F8-B856-4281-987F-56E785F463F0}"/>
    <hyperlink ref="G187" location="'System peak demand'!$C$67" display="'System peak demand'!$C$67" xr:uid="{4EAA7695-0A15-4001-A108-93270B1D6877}"/>
    <hyperlink ref="F188" location="'System peak demand'!A4" display="'" xr:uid="{D1E82AFD-B6A8-4BA2-BEFC-CFE471032DB2}"/>
    <hyperlink ref="G188" location="'System peak demand'!$C$138" display="'System peak demand'!$C$138" xr:uid="{44670A74-0121-43B5-B5ED-58BD4FE8C534}"/>
    <hyperlink ref="F189" location="'System peak demand'!A4" display="'" xr:uid="{CB24291D-1C2F-491E-8CC8-E14D6E55634C}"/>
    <hyperlink ref="G189" location="'System peak demand'!$C$164" display="'System peak demand'!$C$164" xr:uid="{1410FEB6-CF03-430F-A3D4-38D0A3C821C3}"/>
    <hyperlink ref="F190" location="'System peak demand'!A4" display="'" xr:uid="{C4ABB022-F3FF-458C-8A80-DEAE8EDF026F}"/>
    <hyperlink ref="G190" location="'System peak demand'!$C$184" display="'System peak demand'!$C$184" xr:uid="{83766E25-9208-4217-AE23-D3B5118570DD}"/>
    <hyperlink ref="F191" location="'System peak demand'!A4" display="'" xr:uid="{20E6309C-73E8-442B-AA00-FEE07E4C0B17}"/>
    <hyperlink ref="G191" location="'System peak demand'!$C$194" display="'System peak demand'!$C$194" xr:uid="{0AE9C5D0-3C10-4870-827C-BD3F20D14ECF}"/>
    <hyperlink ref="F192" location="'System peak demand'!A4" display="'" xr:uid="{EC0D7C04-6E9C-455D-ACA7-457B3BE11D8E}"/>
    <hyperlink ref="G192" location="'System peak demand'!$C$236" display="'System peak demand'!$C$236" xr:uid="{D8C24219-6D8A-4431-8899-8AE3B539A5D0}"/>
    <hyperlink ref="F193" location="'System peak demand'!A4" display="'" xr:uid="{972270E3-47A7-4CBF-A175-6DC5C453B80D}"/>
    <hyperlink ref="G193" location="'System peak demand'!$C$249" display="'System peak demand'!$C$249" xr:uid="{858D399B-6DEA-4C78-B1A2-3A5AB8A281D0}"/>
    <hyperlink ref="F194" location="'System peak demand'!A4" display="'" xr:uid="{7B4EF82E-91BD-41EA-B9E1-EF7BADCACF3D}"/>
    <hyperlink ref="G194" location="'System peak demand'!$C$266" display="'System peak demand'!$C$266" xr:uid="{AC873898-2A8A-4012-9230-C26F9EA73551}"/>
    <hyperlink ref="F195" location="'Service model assets'!A4" display="'" xr:uid="{CB84ABBB-BD4A-4BD5-B567-E08DCB72CE2B}"/>
    <hyperlink ref="G195" location="'Service model assets'!$C$14" display="'Service model assets'!$C$14" xr:uid="{968FBB7C-14DE-41CF-9C1D-C406635B5F4A}"/>
    <hyperlink ref="F196" location="'Unit costs'!A4" display="'" xr:uid="{EEC0185E-93DC-428D-A04D-9822CD0FDF36}"/>
    <hyperlink ref="G196" location="'Unit costs'!$C$19" display="'Unit costs'!$C$19" xr:uid="{D7BC359B-FD00-4FBE-9DFA-374097C691BC}"/>
    <hyperlink ref="F197" location="'Unit costs'!A4" display="'" xr:uid="{45A9B0B3-E0B7-49AB-809C-96D32586D528}"/>
    <hyperlink ref="G197" location="'Unit costs'!$C$27" display="'Unit costs'!$C$27" xr:uid="{0BC1F229-23DC-4ACF-BBFC-0671C21673A8}"/>
    <hyperlink ref="F198" location="'Unit costs'!A4" display="'" xr:uid="{BF8DD7CF-7FCA-4415-BC7E-FC3938416AE5}"/>
    <hyperlink ref="G198" location="'Unit costs'!$C$35" display="'Unit costs'!$C$35" xr:uid="{5695B7A3-B484-416F-BC00-29DDEB3E5AF1}"/>
    <hyperlink ref="F199" location="'Unit costs'!A4" display="'" xr:uid="{A29D5847-EAB3-47C1-81A9-FFB79098D123}"/>
    <hyperlink ref="G199" location="'Unit costs'!$C$42" display="'Unit costs'!$C$42" xr:uid="{26078204-7616-439B-8A75-559F4A436F5E}"/>
    <hyperlink ref="F200" location="'Unit costs'!A4" display="'" xr:uid="{BA35560C-35F8-44FF-96E2-A2419DD226AB}"/>
    <hyperlink ref="G200" location="'Unit costs'!$C$50" display="'Unit costs'!$C$50" xr:uid="{B7649835-A204-42A2-8BE0-0F96182C769B}"/>
    <hyperlink ref="F201" location="'Unit costs'!A4" display="'" xr:uid="{57783FC0-5157-47D2-92FE-7E1646005300}"/>
    <hyperlink ref="G201" location="'Unit costs'!$C$62" display="'Unit costs'!$C$62" xr:uid="{0BB8A10C-46D6-481A-9C13-DD5BE4DDFE27}"/>
    <hyperlink ref="F202" location="'Unit costs'!A4" display="'" xr:uid="{06B574C6-6719-4433-90BC-49EF6FFBFB63}"/>
    <hyperlink ref="G202" location="'Unit costs'!$C$69" display="'Unit costs'!$C$69" xr:uid="{4DC7723F-1A55-45C2-8BCA-2896ACDBF849}"/>
    <hyperlink ref="F203" location="'Unit costs'!A4" display="'" xr:uid="{D0FB4A66-C61E-4574-A0E4-DF0168B6D360}"/>
    <hyperlink ref="G203" location="'Unit costs'!$C$80" display="'Unit costs'!$C$80" xr:uid="{BFCFB9A8-47A9-443E-8CF0-13AEF2E1C51F}"/>
    <hyperlink ref="F204" location="'Unit costs'!A4" display="'" xr:uid="{8A765D5E-3BA3-4C13-B737-0C764A04BD4B}"/>
    <hyperlink ref="G204" location="'Unit costs'!$C$92" display="'Unit costs'!$C$92" xr:uid="{20170814-600A-4511-8BD4-594B62155C93}"/>
    <hyperlink ref="F205" location="'Unit costs'!A4" display="'" xr:uid="{BE326AA9-8F4B-44A2-AAFF-16DC6B03E8F7}"/>
    <hyperlink ref="G205" location="'Unit costs'!$C$104" display="'Unit costs'!$C$104" xr:uid="{3821C7A4-A4B0-4EB1-A513-F6DBDB30FAD1}"/>
    <hyperlink ref="F206" location="'Unit costs'!A4" display="'" xr:uid="{1B2B8627-8C9F-46CA-A22F-D82F0C18D210}"/>
    <hyperlink ref="G206" location="'Unit costs'!$C$110" display="'Unit costs'!$C$110" xr:uid="{AC94BDCA-95BB-41CA-9119-AA30BB04FDB9}"/>
    <hyperlink ref="F207" location="'Unit costs'!A4" display="'" xr:uid="{F1FF35F3-E229-4854-9530-DFFECC326BFB}"/>
    <hyperlink ref="G207" location="'Unit costs'!$C$117" display="'Unit costs'!$C$117" xr:uid="{111672E3-5B2E-48B5-A605-6AAC9C2591B5}"/>
    <hyperlink ref="F208" location="'Initial unit rates'!A4" display="'" xr:uid="{8953767F-44D3-4EDA-8D02-4369D1E0A19A}"/>
    <hyperlink ref="G208" location="'Initial unit rates'!$C$13" display="'Initial unit rates'!$C$13" xr:uid="{3E6376FE-225C-43D5-B32D-3F73D20A937C}"/>
    <hyperlink ref="F209" location="'Initial unit rates'!A4" display="'" xr:uid="{179A5405-8624-4D2A-A41E-4C8F73D54A7A}"/>
    <hyperlink ref="G209" location="'Initial unit rates'!$C$118" display="'Initial unit rates'!$C$118" xr:uid="{EFDFEC9D-C2D1-4448-9E0F-A438E87E60B6}"/>
    <hyperlink ref="F210" location="'Initial unit rates'!A4" display="'" xr:uid="{6688691A-3A1D-4D0E-B9AD-316A322FD8B5}"/>
    <hyperlink ref="G210" location="'Initial unit rates'!$C$146" display="'Initial unit rates'!$C$146" xr:uid="{FDE93221-B901-42FC-81FA-30A8BBBC4F3A}"/>
    <hyperlink ref="F211" location="'Initial unit rates'!A4" display="'" xr:uid="{72AABCBD-43CC-4F52-AA01-BEED8BAD67A5}"/>
    <hyperlink ref="G211" location="'Initial unit rates'!$C$175" display="'Initial unit rates'!$C$175" xr:uid="{E37BB912-EA16-409A-BF5F-126A4767751D}"/>
    <hyperlink ref="F212" location="'Initial unit rates'!A4" display="'" xr:uid="{B7B4F4D9-5108-4EE0-9EA2-142EB7FA4F21}"/>
    <hyperlink ref="G212" location="'Initial unit rates'!$C$204" display="'Initial unit rates'!$C$204" xr:uid="{A01E12D0-0628-4492-A916-B61836AF8DA0}"/>
    <hyperlink ref="F213" location="'Service model charges'!A4" display="'" xr:uid="{92937B10-1994-401A-A521-2D1108CB4663}"/>
    <hyperlink ref="G213" location="'Service model charges'!$C$17" display="'Service model charges'!$C$17" xr:uid="{136DB5C1-C139-4400-8E6D-9211C64E51DB}"/>
    <hyperlink ref="F214" location="'Service model charges'!A4" display="'" xr:uid="{9829CC1B-05D1-4EB2-B689-1E7124E744E1}"/>
    <hyperlink ref="G214" location="'Service model charges'!$C$33" display="'Service model charges'!$C$33" xr:uid="{19BB0B0F-DE64-4516-83E0-E75F2281EB8B}"/>
    <hyperlink ref="F215" location="'Service model charges'!A4" display="'" xr:uid="{5A13E777-E9D3-4B3E-87D7-0D40DACD1FEA}"/>
    <hyperlink ref="G215" location="'Service model charges'!$C$37" display="'Service model charges'!$C$37" xr:uid="{38F9EE69-F6C4-4B0E-B55C-99166E8049F0}"/>
    <hyperlink ref="F216" location="'Unit rate charges'!A4" display="'" xr:uid="{0195D7FC-45BB-4C01-868C-69B6BE412C85}"/>
    <hyperlink ref="G216" location="'Unit rate charges'!$C$19" display="'Unit rate charges'!$C$19" xr:uid="{43DC6246-CEF1-42E3-8AD7-CBA497FF829E}"/>
    <hyperlink ref="F217" location="'Unit rate charges'!A4" display="'" xr:uid="{86880C7A-B197-45BF-82A4-300B7DB34BBC}"/>
    <hyperlink ref="G217" location="'Unit rate charges'!$C$49" display="'Unit rate charges'!$C$49" xr:uid="{3F3CFEDA-7F23-4115-B543-435798B48D60}"/>
    <hyperlink ref="F218" location="'Unit rate charges'!A4" display="'" xr:uid="{ADCA6598-D8CB-4A2B-BE15-3983BF3348A5}"/>
    <hyperlink ref="G218" location="'Unit rate charges'!$C$79" display="'Unit rate charges'!$C$79" xr:uid="{1BA96313-1F9E-48BC-9018-D12348B7468F}"/>
    <hyperlink ref="F219" location="'Unit rate charges'!A4" display="'" xr:uid="{2C45F49C-AC8E-4F98-BB34-E7BFC5386A84}"/>
    <hyperlink ref="G219" location="'Unit rate charges'!$C$109" display="'Unit rate charges'!$C$109" xr:uid="{35407695-F979-4F50-83FA-FDBA7A6ADA49}"/>
    <hyperlink ref="F220" location="'Unit rate charges'!A4" display="'" xr:uid="{3A12703C-77E5-4E87-9508-9383AD87CE14}"/>
    <hyperlink ref="G220" location="'Unit rate charges'!$C$124" display="'Unit rate charges'!$C$124" xr:uid="{3770D210-87F0-4C0D-ABFA-ED42133CA8A4}"/>
    <hyperlink ref="F221" location="'Unit rate charges'!A4" display="'" xr:uid="{9E70CAA3-83F1-4391-BF6B-E45026646954}"/>
    <hyperlink ref="G221" location="'Unit rate charges'!$C$154" display="'Unit rate charges'!$C$154" xr:uid="{4F5DA887-7C56-4323-998D-B4489F1660B2}"/>
    <hyperlink ref="F222" location="'Unit rate charges'!A4" display="'" xr:uid="{1FBBAA38-39F5-4453-A500-1CF3436412B2}"/>
    <hyperlink ref="G222" location="'Unit rate charges'!$C$184" display="'Unit rate charges'!$C$184" xr:uid="{7CFFAB29-861C-4C97-B5E6-B2024FDE8673}"/>
    <hyperlink ref="F223" location="'Unit rate charges'!A4" display="'" xr:uid="{1611EA16-13E8-43D4-9C5E-08FCA029F8FD}"/>
    <hyperlink ref="G223" location="'Unit rate charges'!$C$214" display="'Unit rate charges'!$C$214" xr:uid="{F6647470-A8F7-4F2C-9BF3-760DC43B3E93}"/>
    <hyperlink ref="F224" location="'Capacity charges'!A4" display="'" xr:uid="{A7F4EFA2-52E7-4101-9EBA-A6759DFBDDCD}"/>
    <hyperlink ref="G224" location="'Capacity charges'!$C$19" display="'Capacity charges'!$C$19" xr:uid="{E0BA6B7F-9B1A-4893-9636-878790996AB8}"/>
    <hyperlink ref="F225" location="'Capacity charges'!A4" display="'" xr:uid="{E926D414-7637-4252-AF1D-51129BAFCD60}"/>
    <hyperlink ref="G225" location="'Capacity charges'!$C$129" display="'Capacity charges'!$C$129" xr:uid="{6714ACE4-BCED-48DC-85D1-1148061B8C7C}"/>
    <hyperlink ref="F226" location="'Capacity charges'!A4" display="'" xr:uid="{6B18B49A-F7FE-499F-8DF6-7D09FC4AD359}"/>
    <hyperlink ref="G226" location="'Capacity charges'!$C$159" display="'Capacity charges'!$C$159" xr:uid="{D35BB624-DE93-485D-B46E-A6ABB1F5489B}"/>
    <hyperlink ref="F227" location="'Capacity charges'!A4" display="'" xr:uid="{CA07FA0F-7504-488C-BAAC-B52FC949C075}"/>
    <hyperlink ref="G227" location="'Capacity charges'!$C$189" display="'Capacity charges'!$C$189" xr:uid="{A0756803-EA49-4E71-8F08-F71A87097AF1}"/>
    <hyperlink ref="F228" location="'Capacity charges'!A4" display="'" xr:uid="{4BCF8830-9585-4D27-BAEF-0F6C4E2830B3}"/>
    <hyperlink ref="G228" location="'Capacity charges'!$C$219" display="'Capacity charges'!$C$219" xr:uid="{BF8079F0-8006-436D-A638-86239B4B80B0}"/>
    <hyperlink ref="F229" location="'Capacity charges'!A4" display="'" xr:uid="{59CB75C0-8E48-48C8-B088-CFC513F8BD1E}"/>
    <hyperlink ref="G229" location="'Capacity charges'!$C$254" display="'Capacity charges'!$C$254" xr:uid="{9BD5DF78-9BBF-45A7-8A2E-71E14773B4C3}"/>
    <hyperlink ref="F230" location="'Capacity charges'!A4" display="'" xr:uid="{88819228-46F4-4548-A2AE-F4FC6761C35B}"/>
    <hyperlink ref="G230" location="'Capacity charges'!$C$259" display="'Capacity charges'!$C$259" xr:uid="{7B3973D8-BF84-4AD3-AAA5-8A9018BD9BF0}"/>
    <hyperlink ref="F231" location="'Reactive power charges'!A4" display="'" xr:uid="{1DD3DE69-8B04-47FD-93B6-91DEA5D70CFF}"/>
    <hyperlink ref="G231" location="'Reactive power charges'!$C$17" display="'Reactive power charges'!$C$17" xr:uid="{7D091827-0CB5-4544-A731-184C287E8718}"/>
    <hyperlink ref="F232" location="'Reactive power charges'!A4" display="'" xr:uid="{690F070D-EB13-41D6-B2BD-AC0A44BF61F2}"/>
    <hyperlink ref="G232" location="'Reactive power charges'!$C$120" display="'Reactive power charges'!$C$120" xr:uid="{375A3F1B-315C-4FEA-BD52-3E72516A0D96}"/>
    <hyperlink ref="F233" location="'Reactive power charges'!A4" display="'" xr:uid="{C6AA29E7-A488-4D87-988E-DE52DA1F0950}"/>
    <hyperlink ref="G233" location="'Reactive power charges'!$C$155" display="'Reactive power charges'!$C$155" xr:uid="{1CA31AB6-C903-4B3D-9CE0-D7BBB8DEF064}"/>
    <hyperlink ref="F234" location="'Reactive power charges'!A4" display="'" xr:uid="{7E98D0BD-068F-4402-80C7-655E43370A20}"/>
    <hyperlink ref="G234" location="'Reactive power charges'!$C$190" display="'Reactive power charges'!$C$190" xr:uid="{4028F9A5-EB89-4204-B301-F439260EAF74}"/>
    <hyperlink ref="F235" location="'Reactive power charges'!A4" display="'" xr:uid="{C6A1DD7B-9E23-48B1-A5B5-BD68A78CCAB5}"/>
    <hyperlink ref="G235" location="'Reactive power charges'!$C$220" display="'Reactive power charges'!$C$220" xr:uid="{683BA4E5-D000-4E54-9197-B3A84B86B6BE}"/>
    <hyperlink ref="F236" location="'Fixed charges'!A4" display="'" xr:uid="{83D5B98F-B2C1-4A13-B60B-D4F95798225A}"/>
    <hyperlink ref="G236" location="'Fixed charges'!$C$16" display="'Fixed charges'!$C$16" xr:uid="{A530E0A7-9268-4150-AFFB-D7198C889B93}"/>
    <hyperlink ref="F237" location="'Fixed charges'!A4" display="'" xr:uid="{42BD06C2-8EBF-4B31-8F76-ED80B1D7F683}"/>
    <hyperlink ref="G237" location="'Fixed charges'!$C$22" display="'Fixed charges'!$C$22" xr:uid="{927D8A73-7389-49DA-874A-6CB87EE0492F}"/>
    <hyperlink ref="F238" location="'Fixed charges'!A4" display="'" xr:uid="{6D0E1185-5386-4210-80D6-0EB68A2EDEC8}"/>
    <hyperlink ref="G238" location="'Fixed charges'!$C$52" display="'Fixed charges'!$C$52" xr:uid="{B48D9A89-2293-4961-97F3-899F8A36F8A2}"/>
    <hyperlink ref="F239" location="'Fixed charges'!A4" display="'" xr:uid="{84A4E348-880B-4E18-9392-1E2A0E35C0C9}"/>
    <hyperlink ref="G239" location="'Fixed charges'!$C$58" display="'Fixed charges'!$C$58" xr:uid="{FF52AE05-5597-4A7C-8441-2A46A804DA7F}"/>
    <hyperlink ref="F240" location="'Fixed charges'!A4" display="'" xr:uid="{45E2E1EE-27C1-4A17-9248-1FFDC47FABC3}"/>
    <hyperlink ref="G240" location="'Fixed charges'!$C$67" display="'Fixed charges'!$C$67" xr:uid="{32999016-6AA4-4C7B-BA4F-255A6E8EB843}"/>
    <hyperlink ref="F241" location="'Fixed charges'!A4" display="'" xr:uid="{A0F9036B-A9DC-4467-96BB-3BF9CCAB2203}"/>
    <hyperlink ref="G241" location="'Fixed charges'!$C$97" display="'Fixed charges'!$C$97" xr:uid="{BED30AC5-B12B-4D62-8F44-877F772C4A12}"/>
    <hyperlink ref="F242" location="'Fixed charges'!A4" display="'" xr:uid="{47A9FCFB-06D5-4C17-82BE-0D23D460EF16}"/>
    <hyperlink ref="G242" location="'Fixed charges'!$C$127" display="'Fixed charges'!$C$127" xr:uid="{3F11F6DE-1351-48D6-B94C-31D957C31741}"/>
    <hyperlink ref="F243" location="'Fixed charges'!A4" display="'" xr:uid="{7096A93C-3CAD-404A-B71D-A107BC7E9877}"/>
    <hyperlink ref="G243" location="'Fixed charges'!$C$159" display="'Fixed charges'!$C$159" xr:uid="{A8EDEB87-21C5-4965-831D-1C4C134B4F71}"/>
    <hyperlink ref="F244" location="'Fixed charge adder'!A4" display="'" xr:uid="{B2267F05-938B-4852-ADAA-B32D54CE93B8}"/>
    <hyperlink ref="G244" location="'Fixed charge adder'!$C$16" display="'Fixed charge adder'!$C$16" xr:uid="{BABE66E6-AC81-4CB8-A4B8-818364298BA2}"/>
    <hyperlink ref="F245" location="'Fixed charge adder'!A4" display="'" xr:uid="{E09D59AF-4652-4FC5-9173-2991D31A3230}"/>
    <hyperlink ref="G245" location="'Fixed charge adder'!$C$33" display="'Fixed charge adder'!$C$33" xr:uid="{82C26406-FC87-4F4E-8E8A-EEA1B65EBA5C}"/>
    <hyperlink ref="F246" location="'Fixed charge adder'!A4" display="'" xr:uid="{8A063F69-7C45-4561-9047-A9E50A18D30E}"/>
    <hyperlink ref="G246" location="'Fixed charge adder'!$C$48" display="'Fixed charge adder'!$C$48" xr:uid="{2C7E061F-87C7-427D-8354-89DCF727B169}"/>
    <hyperlink ref="F247" location="'Revenue matching'!A4" display="'" xr:uid="{CFE44C4D-8B21-469A-9F46-BBD17D0FE7A2}"/>
    <hyperlink ref="G247" location="'Revenue matching'!$C$15" display="'Revenue matching'!$C$15" xr:uid="{65448941-B811-46DB-B2C1-837CE56643B7}"/>
    <hyperlink ref="F248" location="'Revenue matching'!A4" display="'" xr:uid="{A3DC99A8-604B-40F9-94C6-FA712A613CE5}"/>
    <hyperlink ref="G248" location="'Revenue matching'!$C$69" display="'Revenue matching'!$C$69" xr:uid="{A4BF25A8-0036-4C58-9BA1-0531BBC96F49}"/>
    <hyperlink ref="F249" location="'Revenue matching'!A4" display="'" xr:uid="{F1A7FF1D-54B0-4D0F-B7F2-FAD075D93F0C}"/>
    <hyperlink ref="G249" location="'Revenue matching'!$C$88" display="'Revenue matching'!$C$88" xr:uid="{A967F32E-3CE8-4DE1-B408-EEDFD1C575D3}"/>
    <hyperlink ref="F250" location="'Revenue matching'!A4" display="'" xr:uid="{9CABAB14-6C0F-464F-9965-5568D707F82D}"/>
    <hyperlink ref="G250" location="'Revenue matching'!$C$151" display="'Revenue matching'!$C$151" xr:uid="{EA9B5DE2-45E2-45C0-BFE0-3B5EA7F73CF0}"/>
    <hyperlink ref="F251" location="'Revenue matching'!A4" display="'" xr:uid="{24E722D9-419D-4BF5-A695-3668427163AC}"/>
    <hyperlink ref="G251" location="'Revenue matching'!$C$159" display="'Revenue matching'!$C$159" xr:uid="{980AAAD9-A347-467A-8656-22E497D844A7}"/>
    <hyperlink ref="F252" location="'Revenue matching'!A4" display="'" xr:uid="{C844A2DE-C574-47E9-B026-96A0C6A577F0}"/>
    <hyperlink ref="G252" location="'Revenue matching'!$C$176" display="'Revenue matching'!$C$176" xr:uid="{F213EFBD-9892-41C9-838A-63EEDFF88464}"/>
    <hyperlink ref="F253" location="'Revenue matching'!A4" display="'" xr:uid="{D4202B60-D684-46BB-B881-7C0CC6BF2B5D}"/>
    <hyperlink ref="G253" location="'Revenue matching'!$C$192" display="'Revenue matching'!$C$192" xr:uid="{28AF1DD2-9B96-4080-88F0-3FD83660625F}"/>
    <hyperlink ref="F254" location="'Revenue matching'!A4" display="'" xr:uid="{BC2ED718-C5B9-4502-8F86-490550742910}"/>
    <hyperlink ref="G254" location="'Revenue matching'!$C$200" display="'Revenue matching'!$C$200" xr:uid="{F96ED2ED-275C-4C8B-A213-1196361F85AE}"/>
    <hyperlink ref="F255" location="'Revenue matching'!A4" display="'" xr:uid="{BCC58CF5-1104-4841-BC29-874E67330236}"/>
    <hyperlink ref="G255" location="'Revenue matching'!$C$213" display="'Revenue matching'!$C$213" xr:uid="{19AF96BD-DCD0-413A-9B02-DC3FEF34589F}"/>
    <hyperlink ref="F256" location="'Revenue matching'!A4" display="'" xr:uid="{0D0CD349-5BEE-4513-9E70-D449158D4C45}"/>
    <hyperlink ref="G256" location="'Revenue matching'!$C$232" display="'Revenue matching'!$C$232" xr:uid="{02B3F541-D3B7-4C2C-9AE7-642CF3AC7190}"/>
    <hyperlink ref="F257" location="'Revenue matching'!A4" display="'" xr:uid="{FAEC2966-7566-45CB-95C7-CD101079FD51}"/>
    <hyperlink ref="G257" location="'Revenue matching'!$C$286" display="'Revenue matching'!$C$286" xr:uid="{E6EC4FC3-9337-44C5-88CC-3B7B32F6BA02}"/>
    <hyperlink ref="F258" location="'Revenue matching'!A4" display="'" xr:uid="{B88D5784-8018-4C4E-8B10-25DE3CB40C17}"/>
    <hyperlink ref="G258" location="'Revenue matching'!$C$313" display="'Revenue matching'!$C$313" xr:uid="{CE4DF588-F405-4AF8-B781-A73F8F4ED4F4}"/>
    <hyperlink ref="F259" location="'Revenue matching'!A4" display="'" xr:uid="{55878EC8-08FC-4B02-819E-6980648D766C}"/>
    <hyperlink ref="G259" location="'Revenue matching'!$C$345" display="'Revenue matching'!$C$345" xr:uid="{B93FC5E5-DD55-4037-937E-9FDAB90D902F}"/>
    <hyperlink ref="F260" location="'Revenue matching'!A4" display="'" xr:uid="{CAACE6BF-E16B-44CD-85DA-5E6D9F33737C}"/>
    <hyperlink ref="G260" location="'Revenue matching'!$C$377" display="'Revenue matching'!$C$377" xr:uid="{2AFC1316-52C8-4523-B438-76849F9B7382}"/>
    <hyperlink ref="F261" location="'Revenue matching'!A4" display="'" xr:uid="{A2CD8BE1-FDFB-4934-BA37-A5CC8697E3F0}"/>
    <hyperlink ref="G261" location="'Revenue matching'!$C$409" display="'Revenue matching'!$C$409" xr:uid="{19E45DA2-B267-4F1E-BA39-9DA74A7D61BF}"/>
    <hyperlink ref="F262" location="'Rounding'!A4" display="'" xr:uid="{C6008963-698E-43D7-BDD4-4CBDD9F29F41}"/>
    <hyperlink ref="G262" location="'Rounding'!$C$16" display="'Rounding'!$C$16" xr:uid="{00B8E593-9621-4B37-8A08-E072A186F7FD}"/>
    <hyperlink ref="F263" location="'Rounding'!A4" display="'" xr:uid="{76F0EB68-3617-495E-B371-759BB2A245D9}"/>
    <hyperlink ref="G263" location="'Rounding'!$C$28" display="'Rounding'!$C$28" xr:uid="{4C2EB031-411C-47AB-A609-895B6D4197C7}"/>
    <hyperlink ref="F264" location="'Rounding'!A4" display="'" xr:uid="{B5AA0A3D-757F-48FC-9B67-53E3CB37EDA0}"/>
    <hyperlink ref="G264" location="'Rounding'!$C$40" display="'Rounding'!$C$40" xr:uid="{ADA14F29-3F3E-4F85-8F95-F23D9B7580C0}"/>
    <hyperlink ref="F265" location="'Rounding'!A4" display="'" xr:uid="{EA34FE17-03DA-4ED4-A702-0CB91AB8561C}"/>
    <hyperlink ref="G265" location="'Rounding'!$C$52" display="'Rounding'!$C$52" xr:uid="{B6CEF4BD-D731-43F8-B62C-FDB0F80B3652}"/>
    <hyperlink ref="F266" location="'Rounding'!A4" display="'" xr:uid="{8DA05138-93D3-40CF-9CA4-05E41BE5001C}"/>
    <hyperlink ref="G266" location="'Rounding'!$C$92" display="'Rounding'!$C$92" xr:uid="{AF29C659-07EC-4522-A4C2-4C756CA74D5C}"/>
    <hyperlink ref="F267" location="'Rounding'!A4" display="'" xr:uid="{DCEE9A27-AFC6-4B1B-94FE-20139625F7D6}"/>
    <hyperlink ref="G267" location="'Rounding'!$C$107" display="'Rounding'!$C$107" xr:uid="{47F3364A-ED64-48B2-827B-E22CDF4F18A2}"/>
    <hyperlink ref="F268" location="'Rounding'!A4" display="'" xr:uid="{02851993-8BBD-4629-92CA-41376F0C6527}"/>
    <hyperlink ref="G268" location="'Rounding'!$C$118" display="'Rounding'!$C$118" xr:uid="{F00DCF03-93EC-4A0B-B628-1723A3E6121D}"/>
    <hyperlink ref="F269" location="'Rounding'!A4" display="'" xr:uid="{9AC7C7CA-6192-42C2-A265-077CD0DCFE64}"/>
    <hyperlink ref="G269" location="'Rounding'!$C$147" display="'Rounding'!$C$147" xr:uid="{293B6533-34E0-4607-B8A2-E13A76C51EC5}"/>
    <hyperlink ref="F270" location="'Net revenue summary'!A4" display="'" xr:uid="{8FBD7418-FE13-4C38-898E-4D0E03F67CFD}"/>
    <hyperlink ref="G270" location="'Net revenue summary'!$C$13" display="'Net revenue summary'!$C$13" xr:uid="{DA03608C-51F2-438E-AD58-A9F1D6672F77}"/>
    <hyperlink ref="F271" location="'Net revenue summary'!A4" display="'" xr:uid="{C95FCBAC-E0FC-4882-802D-47AA1ACC83DD}"/>
    <hyperlink ref="G271" location="'Net revenue summary'!$C$52" display="'Net revenue summary'!$C$52" xr:uid="{C80085B3-6790-4B56-9920-8F2841285B1C}"/>
    <hyperlink ref="F272" location="'Net revenue summary'!A4" display="'" xr:uid="{8CE8A702-42F8-4D4D-90DF-AF9D10F9983C}"/>
    <hyperlink ref="G272" location="'Net revenue summary'!$C$81" display="'Net revenue summary'!$C$81" xr:uid="{F62F6424-E2E9-487E-A958-4C4829577233}"/>
    <hyperlink ref="F273" location="'Net revenue summary'!A4" display="'" xr:uid="{4F93A90A-4F52-42ED-A8DA-7F799F9266B0}"/>
    <hyperlink ref="G273" location="'Net revenue summary'!$C$92" display="'Net revenue summary'!$C$92" xr:uid="{87CD756B-AA5D-4DB8-9A0D-CACBBAB4452A}"/>
    <hyperlink ref="F274" location="'Net revenue summary'!A4" display="'" xr:uid="{00FE232B-D610-48B5-A54D-1E76E33E41BA}"/>
    <hyperlink ref="G274" location="'Net revenue summary'!$C$124" display="'Net revenue summary'!$C$124" xr:uid="{641C103C-A2E0-4F31-A513-59A3651888EE}"/>
    <hyperlink ref="F275" location="'Net revenue summary'!A4" display="'" xr:uid="{9FF29CC3-479B-489E-8B8A-6FD94A912854}"/>
    <hyperlink ref="G275" location="'Net revenue summary'!$C$138" display="'Net revenue summary'!$C$138" xr:uid="{FD05AB30-565C-439B-A625-514857693EB7}"/>
    <hyperlink ref="F276" location="'Tariff summary'!A4" display="'" xr:uid="{BDCEEFD2-3FFB-4E24-B0B1-18DE6CA595AB}"/>
    <hyperlink ref="G276" location="'Tariff summary'!$C$15" display="'Tariff summary'!$C$15" xr:uid="{94628B49-397D-4B70-8CE8-CCE5E125D111}"/>
    <hyperlink ref="F277" location="'Tariff summary'!A4" display="'" xr:uid="{EED72285-BF96-4777-B31F-93C0A5B13195}"/>
    <hyperlink ref="G277" location="'Tariff summary'!$C$119" display="'Tariff summary'!$C$119" xr:uid="{79A358BA-9B7E-4BA9-B3CA-65316F4C1DE5}"/>
    <hyperlink ref="F278" location="'Tariff summary'!A4" display="'" xr:uid="{66A33F36-6C4B-4BFB-B2BD-901E86D49EAC}"/>
    <hyperlink ref="G278" location="'Tariff summary'!$C$223" display="'Tariff summary'!$C$223" xr:uid="{3777A85A-CA5C-4BB7-8030-C59834274ED0}"/>
    <hyperlink ref="F279" location="'Tariff summary'!A4" display="'" xr:uid="{3011A42A-42BD-4CA5-87A3-241180C9BA42}"/>
    <hyperlink ref="G279" location="'Tariff summary'!$C$327" display="'Tariff summary'!$C$327" xr:uid="{7E2C19DC-2047-4F4C-AA2D-8EB53081C7FD}"/>
    <hyperlink ref="F280" location="'Tariff summary'!A4" display="'" xr:uid="{BABA99C2-21BB-4832-B66F-22BDC8BD383D}"/>
    <hyperlink ref="G280" location="'Tariff summary'!$C$431" display="'Tariff summary'!$C$431" xr:uid="{1C3611C7-B38F-4FD0-84DF-582434AA8D6B}"/>
    <hyperlink ref="F281" location="'Tariff summary'!A4" display="'" xr:uid="{85196E76-8215-4A47-8680-AC8F0AB9799C}"/>
    <hyperlink ref="G281" location="'Tariff summary'!$C$535" display="'Tariff summary'!$C$535" xr:uid="{60D8F9B6-870D-4F28-84B6-C12F964D61C3}"/>
    <hyperlink ref="F282" location="'Typical bills'!A4" display="'" xr:uid="{1065A213-4246-4E89-927B-9D9C0030634D}"/>
    <hyperlink ref="G282" location="'Typical bills'!$C$15" display="'Typical bills'!$C$15" xr:uid="{325C9B29-81B3-4BF0-B53E-65422681D805}"/>
  </hyperlink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9">
    <tabColor theme="6" tint="0.39997558519241921"/>
  </sheetPr>
  <dimension ref="A1:AA32"/>
  <sheetViews>
    <sheetView showGridLines="0" zoomScale="80" zoomScaleNormal="80" workbookViewId="0">
      <pane ySplit="3" topLeftCell="A4" activePane="bottomLeft" state="frozen"/>
      <selection pane="bottomLeft" activeCell="G1" sqref="G1"/>
    </sheetView>
  </sheetViews>
  <sheetFormatPr defaultColWidth="0" defaultRowHeight="15" x14ac:dyDescent="0.25"/>
  <cols>
    <col min="1" max="5" width="2.5703125" style="85" customWidth="1"/>
    <col min="6" max="6" width="59.5703125" style="85" customWidth="1"/>
    <col min="7" max="7" width="90.42578125" style="85" customWidth="1"/>
    <col min="8" max="8" width="20.5703125" style="85" customWidth="1"/>
    <col min="9" max="9" width="2.5703125" style="85" customWidth="1"/>
    <col min="10" max="16" width="15.42578125" style="85" hidden="1" customWidth="1"/>
    <col min="17" max="17" width="2.5703125" style="85" hidden="1" customWidth="1"/>
    <col min="18" max="27" width="0" style="85" hidden="1" customWidth="1"/>
    <col min="28" max="16384" width="9.140625" style="85" hidden="1"/>
  </cols>
  <sheetData>
    <row r="1" spans="1:8" s="10" customFormat="1" x14ac:dyDescent="0.25">
      <c r="A1" s="10" t="str">
        <f ca="1">MID(CELL("filename",A1),FIND("]",CELL("filename",A1))+1,255)</f>
        <v>Named ranges</v>
      </c>
    </row>
    <row r="2" spans="1:8" s="10" customFormat="1" x14ac:dyDescent="0.25">
      <c r="A2" s="10" t="str">
        <f>Cover!D21&amp;" - "&amp;Cover!D23</f>
        <v>Southern Electric Power Distribution plc - Final</v>
      </c>
    </row>
    <row r="3" spans="1:8" s="46" customFormat="1" x14ac:dyDescent="0.25">
      <c r="A3" s="46" t="str">
        <f>Cover!D2&amp;" - "&amp;Cover!D8&amp;" v"&amp;Cover!D10&amp;" - "&amp;Cover!D19</f>
        <v>ARP model - Release for charge setting v7 - 2023/24</v>
      </c>
    </row>
    <row r="5" spans="1:8" x14ac:dyDescent="0.25">
      <c r="B5" s="51" t="s">
        <v>429</v>
      </c>
      <c r="C5" s="51"/>
      <c r="D5" s="51"/>
      <c r="E5" s="51"/>
      <c r="F5" s="52"/>
      <c r="G5" s="52"/>
      <c r="H5" s="52"/>
    </row>
    <row r="6" spans="1:8" x14ac:dyDescent="0.25">
      <c r="B6" s="120"/>
      <c r="C6" s="120"/>
      <c r="D6" s="120"/>
      <c r="E6" s="120"/>
      <c r="F6" s="121"/>
      <c r="G6" s="120"/>
      <c r="H6" s="120"/>
    </row>
    <row r="7" spans="1:8" s="195" customFormat="1" x14ac:dyDescent="0.25">
      <c r="F7" s="205" t="s">
        <v>855</v>
      </c>
      <c r="G7" s="195" t="s">
        <v>854</v>
      </c>
      <c r="H7" s="195" t="s">
        <v>595</v>
      </c>
    </row>
    <row r="8" spans="1:8" s="293" customFormat="1" x14ac:dyDescent="0.25">
      <c r="F8" s="205" t="s">
        <v>857</v>
      </c>
      <c r="G8" s="293" t="s">
        <v>856</v>
      </c>
      <c r="H8" s="293" t="s">
        <v>596</v>
      </c>
    </row>
    <row r="9" spans="1:8" s="293" customFormat="1" x14ac:dyDescent="0.25">
      <c r="F9" s="205" t="s">
        <v>859</v>
      </c>
      <c r="G9" s="293" t="s">
        <v>858</v>
      </c>
      <c r="H9" s="293" t="s">
        <v>428</v>
      </c>
    </row>
    <row r="10" spans="1:8" s="293" customFormat="1" x14ac:dyDescent="0.25">
      <c r="F10" s="205" t="s">
        <v>860</v>
      </c>
      <c r="G10" s="293" t="s">
        <v>41</v>
      </c>
      <c r="H10" s="293" t="s">
        <v>552</v>
      </c>
    </row>
    <row r="11" spans="1:8" s="293" customFormat="1" x14ac:dyDescent="0.25">
      <c r="F11" s="205" t="s">
        <v>862</v>
      </c>
      <c r="G11" s="293" t="s">
        <v>861</v>
      </c>
      <c r="H11" s="293" t="s">
        <v>595</v>
      </c>
    </row>
    <row r="12" spans="1:8" s="293" customFormat="1" x14ac:dyDescent="0.25">
      <c r="F12" s="205" t="s">
        <v>863</v>
      </c>
      <c r="G12" s="293" t="s">
        <v>133</v>
      </c>
      <c r="H12" s="293" t="s">
        <v>428</v>
      </c>
    </row>
    <row r="13" spans="1:8" s="293" customFormat="1" x14ac:dyDescent="0.25">
      <c r="F13" s="205" t="s">
        <v>865</v>
      </c>
      <c r="G13" s="293" t="s">
        <v>864</v>
      </c>
      <c r="H13" s="293" t="s">
        <v>552</v>
      </c>
    </row>
    <row r="14" spans="1:8" s="293" customFormat="1" x14ac:dyDescent="0.25">
      <c r="F14" s="205" t="s">
        <v>867</v>
      </c>
      <c r="G14" s="293" t="s">
        <v>866</v>
      </c>
      <c r="H14" s="293" t="s">
        <v>428</v>
      </c>
    </row>
    <row r="15" spans="1:8" s="293" customFormat="1" x14ac:dyDescent="0.25">
      <c r="F15" s="205" t="s">
        <v>869</v>
      </c>
      <c r="G15" s="293" t="s">
        <v>868</v>
      </c>
      <c r="H15" s="293" t="s">
        <v>483</v>
      </c>
    </row>
    <row r="16" spans="1:8" s="293" customFormat="1" x14ac:dyDescent="0.25">
      <c r="F16" s="205" t="s">
        <v>871</v>
      </c>
      <c r="G16" s="293" t="s">
        <v>870</v>
      </c>
      <c r="H16" s="293" t="s">
        <v>436</v>
      </c>
    </row>
    <row r="17" spans="2:8" s="293" customFormat="1" x14ac:dyDescent="0.25">
      <c r="F17" s="205" t="s">
        <v>873</v>
      </c>
      <c r="G17" s="293" t="s">
        <v>872</v>
      </c>
      <c r="H17" s="293" t="s">
        <v>428</v>
      </c>
    </row>
    <row r="18" spans="2:8" s="293" customFormat="1" x14ac:dyDescent="0.25">
      <c r="F18" s="205" t="s">
        <v>875</v>
      </c>
      <c r="G18" s="293" t="s">
        <v>874</v>
      </c>
      <c r="H18" s="293" t="s">
        <v>483</v>
      </c>
    </row>
    <row r="19" spans="2:8" s="293" customFormat="1" x14ac:dyDescent="0.25">
      <c r="F19" s="205" t="s">
        <v>877</v>
      </c>
      <c r="G19" s="293" t="s">
        <v>876</v>
      </c>
      <c r="H19" s="293" t="s">
        <v>436</v>
      </c>
    </row>
    <row r="20" spans="2:8" s="293" customFormat="1" x14ac:dyDescent="0.25">
      <c r="F20" s="205" t="s">
        <v>879</v>
      </c>
      <c r="G20" s="293" t="s">
        <v>878</v>
      </c>
      <c r="H20" s="293" t="s">
        <v>483</v>
      </c>
    </row>
    <row r="21" spans="2:8" s="293" customFormat="1" x14ac:dyDescent="0.25">
      <c r="F21" s="205" t="s">
        <v>881</v>
      </c>
      <c r="G21" s="293" t="s">
        <v>880</v>
      </c>
      <c r="H21" s="293" t="s">
        <v>436</v>
      </c>
    </row>
    <row r="22" spans="2:8" s="293" customFormat="1" x14ac:dyDescent="0.25">
      <c r="F22" s="205" t="s">
        <v>883</v>
      </c>
      <c r="G22" s="293" t="s">
        <v>882</v>
      </c>
      <c r="H22" s="293" t="s">
        <v>483</v>
      </c>
    </row>
    <row r="23" spans="2:8" s="293" customFormat="1" x14ac:dyDescent="0.25">
      <c r="F23" s="205" t="s">
        <v>885</v>
      </c>
      <c r="G23" s="293" t="s">
        <v>884</v>
      </c>
      <c r="H23" s="293" t="s">
        <v>436</v>
      </c>
    </row>
    <row r="24" spans="2:8" s="293" customFormat="1" x14ac:dyDescent="0.25">
      <c r="F24" s="205" t="s">
        <v>887</v>
      </c>
      <c r="G24" s="293" t="s">
        <v>886</v>
      </c>
      <c r="H24" s="293" t="s">
        <v>483</v>
      </c>
    </row>
    <row r="25" spans="2:8" s="293" customFormat="1" x14ac:dyDescent="0.25">
      <c r="F25" s="205" t="s">
        <v>889</v>
      </c>
      <c r="G25" s="293" t="s">
        <v>888</v>
      </c>
      <c r="H25" s="293" t="s">
        <v>436</v>
      </c>
    </row>
    <row r="26" spans="2:8" s="293" customFormat="1" x14ac:dyDescent="0.25">
      <c r="F26" s="205" t="s">
        <v>891</v>
      </c>
      <c r="G26" s="293" t="s">
        <v>890</v>
      </c>
      <c r="H26" s="293" t="s">
        <v>483</v>
      </c>
    </row>
    <row r="27" spans="2:8" s="293" customFormat="1" x14ac:dyDescent="0.25">
      <c r="F27" s="205" t="s">
        <v>893</v>
      </c>
      <c r="G27" s="293" t="s">
        <v>892</v>
      </c>
      <c r="H27" s="293" t="s">
        <v>436</v>
      </c>
    </row>
    <row r="28" spans="2:8" s="293" customFormat="1" x14ac:dyDescent="0.25">
      <c r="F28" s="205" t="s">
        <v>895</v>
      </c>
      <c r="G28" s="293" t="s">
        <v>894</v>
      </c>
      <c r="H28" s="293" t="s">
        <v>428</v>
      </c>
    </row>
    <row r="29" spans="2:8" s="293" customFormat="1" x14ac:dyDescent="0.25">
      <c r="F29" s="205" t="s">
        <v>897</v>
      </c>
      <c r="G29" s="293" t="s">
        <v>896</v>
      </c>
      <c r="H29" s="293" t="s">
        <v>428</v>
      </c>
    </row>
    <row r="30" spans="2:8" s="293" customFormat="1" x14ac:dyDescent="0.25">
      <c r="F30" s="205" t="s">
        <v>899</v>
      </c>
      <c r="G30" s="293" t="s">
        <v>898</v>
      </c>
      <c r="H30" s="293" t="s">
        <v>596</v>
      </c>
    </row>
    <row r="31" spans="2:8" s="293" customFormat="1" x14ac:dyDescent="0.25">
      <c r="F31" s="205"/>
    </row>
    <row r="32" spans="2:8" s="195" customFormat="1" x14ac:dyDescent="0.25">
      <c r="B32" s="51" t="s">
        <v>110</v>
      </c>
      <c r="C32" s="51"/>
      <c r="D32" s="51"/>
      <c r="E32" s="51"/>
      <c r="F32" s="52"/>
      <c r="G32" s="52"/>
      <c r="H32" s="52"/>
    </row>
  </sheetData>
  <sheetProtection sheet="1" objects="1" formatCells="0" formatColumns="0" formatRows="0" sort="0" autoFilter="0"/>
  <hyperlinks>
    <hyperlink ref="F7" location="Cover!$D$19" display="charging_year" xr:uid="{00000000-0004-0000-0400-000000000000}"/>
    <hyperlink ref="F8" location="'ARP_User control'!$G$17" display="charging_year_selected" xr:uid="{FDDC4EC7-1FD4-46E5-A358-89706A16C7B8}"/>
    <hyperlink ref="F9" location="'Fixed inputs'!$H$154" display="check_decimals" xr:uid="{7B069BE3-7CB0-45EB-BB35-EC951AEA50A1}"/>
    <hyperlink ref="F10" location="'General inputs'!$H$93" display="days_in_year" xr:uid="{3A9D738F-D6AD-4888-A61C-031D3D900312}"/>
    <hyperlink ref="F11" location="Cover!$D$21" display="DNO_name" xr:uid="{EBA49594-2B2F-40F1-A272-6EC2747DBCDE}"/>
    <hyperlink ref="F12" location="'Fixed inputs'!$H$15" display="hours_in_day" xr:uid="{68241BBA-7D0C-48C8-BEA2-15710E3D06DA}"/>
    <hyperlink ref="F13" location="'General inputs'!$H$94" display="hours_in_year" xr:uid="{2B2C583E-820D-4A54-88BB-1E0270E3DEC3}"/>
    <hyperlink ref="F14" location="'Fixed inputs'!$H$17" display="hundred" xr:uid="{519AF28B-0B2A-469C-A20B-0881311BB16C}"/>
    <hyperlink ref="F15" location="'Typical bills'!$J$18:$J$69" display="live_results_bills" xr:uid="{0B40C4B7-D49F-4DF9-8757-7FCC2855D13E}"/>
    <hyperlink ref="F16" location="'Tariff summary'!$J$18:$P$69" display="live_results_tariffs" xr:uid="{D4090111-AE38-465D-945D-44CA07B57F48}"/>
    <hyperlink ref="F17" location="'Fixed inputs'!$H$37" display="PowerFactor" xr:uid="{658AA905-673B-40F7-BEFC-EB9A67C5290C}"/>
    <hyperlink ref="F18" location="'Typical bills'!$L$18:$L$69" display="results_4_bills" xr:uid="{223A0433-6EF6-4FC4-AEBE-D9F93C6A0973}"/>
    <hyperlink ref="F19" location="'Tariff summary'!$J$74:$P$125" display="results_4_tariffs" xr:uid="{2C1EECD8-5A68-4F23-8A0B-A3FD34CF61BC}"/>
    <hyperlink ref="F20" location="'Typical bills'!$M$18:$M$69" display="results_5_bills" xr:uid="{0F1BDDB1-DFE3-4263-B65A-4FC4D934334C}"/>
    <hyperlink ref="F21" location="'Tariff summary'!$J$130:$P$181" display="results_5_tariffs" xr:uid="{5A079B36-6726-484F-B237-4829D245CFAD}"/>
    <hyperlink ref="F22" location="'Typical bills'!$N$18:$N$69" display="results_6_bills" xr:uid="{ABC786EE-9970-4A14-82F4-B1B2A7E0AB55}"/>
    <hyperlink ref="F23" location="'Tariff summary'!$J$186:$P$237" display="results_6_tariffs" xr:uid="{FFD5A12B-7392-41E4-B314-67BCE8A8CD6D}"/>
    <hyperlink ref="F24" location="'Typical bills'!$O$18:$O$69" display="results_7_bills" xr:uid="{BF681701-7FB4-484F-B760-07658527FE5D}"/>
    <hyperlink ref="F25" location="'Tariff summary'!$J$242:$P$293" display="results_7_tariffs" xr:uid="{F0037C2B-0CAA-4354-8289-5955CDE394A6}"/>
    <hyperlink ref="F26" location="'Typical bills'!$P$18:$P$69" display="results_8_bills" xr:uid="{7CEE4325-7361-4936-9BED-B0EEB4F39F36}"/>
    <hyperlink ref="F27" location="'Tariff summary'!$J$298:$P$349" display="results_8_tariffs" xr:uid="{16A486AA-15A7-4036-BAF5-A9FC7037ABA0}"/>
    <hyperlink ref="F28" location="'Fixed inputs'!$H$16" display="ten" xr:uid="{B667B213-8A9F-4168-9983-6DF1E87B383E}"/>
    <hyperlink ref="F29" location="'Fixed inputs'!$H$18" display="thousand" xr:uid="{195C68BC-273C-4085-B210-D84C2B411E6E}"/>
    <hyperlink ref="F30" location="'ARP_User control'!$G$36" display="year_selection" xr:uid="{D105D668-AB7A-4561-8471-EE77B00D76AA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43">
    <tabColor theme="6" tint="0.39997558519241921"/>
  </sheetPr>
  <dimension ref="A1:AA20"/>
  <sheetViews>
    <sheetView showGridLines="0" zoomScale="80" zoomScaleNormal="80" workbookViewId="0">
      <pane ySplit="3" topLeftCell="A4" activePane="bottomLeft" state="frozen"/>
      <selection pane="bottomLeft" activeCell="F1" sqref="F1"/>
    </sheetView>
  </sheetViews>
  <sheetFormatPr defaultColWidth="0" defaultRowHeight="15" x14ac:dyDescent="0.25"/>
  <cols>
    <col min="1" max="5" width="2.5703125" style="85" customWidth="1"/>
    <col min="6" max="6" width="149.42578125" style="85" customWidth="1"/>
    <col min="7" max="7" width="2.5703125" style="85" customWidth="1"/>
    <col min="8" max="14" width="15.42578125" style="85" hidden="1" customWidth="1"/>
    <col min="15" max="15" width="2.5703125" style="85" hidden="1" customWidth="1"/>
    <col min="16" max="27" width="0" style="85" hidden="1" customWidth="1"/>
    <col min="28" max="16384" width="9.140625" style="85" hidden="1"/>
  </cols>
  <sheetData>
    <row r="1" spans="1:6" s="10" customFormat="1" x14ac:dyDescent="0.25">
      <c r="A1" s="10" t="str">
        <f ca="1">MID(CELL("filename",A1),FIND("]",CELL("filename",A1))+1,255)</f>
        <v>ARP_DNO commentary</v>
      </c>
    </row>
    <row r="2" spans="1:6" s="10" customFormat="1" x14ac:dyDescent="0.25">
      <c r="A2" s="10" t="str">
        <f>Cover!D21&amp;" - "&amp;Cover!D23</f>
        <v>Southern Electric Power Distribution plc - Final</v>
      </c>
    </row>
    <row r="3" spans="1:6" s="46" customFormat="1" x14ac:dyDescent="0.25">
      <c r="A3" s="46" t="str">
        <f>Cover!D2&amp;" - "&amp;Cover!D8&amp;" v"&amp;Cover!D10&amp;" - "&amp;Cover!D19</f>
        <v>ARP model - Release for charge setting v7 - 2023/24</v>
      </c>
    </row>
    <row r="5" spans="1:6" x14ac:dyDescent="0.25">
      <c r="B5" s="51" t="s">
        <v>90</v>
      </c>
      <c r="C5" s="51"/>
      <c r="D5" s="51"/>
      <c r="E5" s="51"/>
      <c r="F5" s="52"/>
    </row>
    <row r="6" spans="1:6" x14ac:dyDescent="0.25">
      <c r="B6" s="120"/>
      <c r="C6" s="120"/>
      <c r="D6" s="120"/>
      <c r="E6" s="120"/>
      <c r="F6" s="120"/>
    </row>
    <row r="7" spans="1:6" x14ac:dyDescent="0.25">
      <c r="C7" s="82" t="s">
        <v>746</v>
      </c>
      <c r="D7" s="123"/>
      <c r="E7" s="120"/>
      <c r="F7" s="120"/>
    </row>
    <row r="9" spans="1:6" x14ac:dyDescent="0.25">
      <c r="B9" s="51" t="s">
        <v>452</v>
      </c>
      <c r="C9" s="51"/>
      <c r="D9" s="51"/>
      <c r="E9" s="51"/>
      <c r="F9" s="52"/>
    </row>
    <row r="10" spans="1:6" x14ac:dyDescent="0.25">
      <c r="B10" s="120"/>
      <c r="C10" s="120"/>
      <c r="D10" s="120"/>
      <c r="E10" s="120"/>
      <c r="F10" s="120"/>
    </row>
    <row r="11" spans="1:6" x14ac:dyDescent="0.25">
      <c r="B11" s="122"/>
      <c r="C11" s="123"/>
      <c r="E11" s="122"/>
      <c r="F11" s="564" t="s">
        <v>1259</v>
      </c>
    </row>
    <row r="12" spans="1:6" x14ac:dyDescent="0.25">
      <c r="B12" s="122"/>
      <c r="C12" s="123"/>
      <c r="E12" s="122"/>
      <c r="F12" s="565"/>
    </row>
    <row r="13" spans="1:6" x14ac:dyDescent="0.25">
      <c r="B13" s="122"/>
      <c r="C13" s="123"/>
      <c r="E13" s="122"/>
      <c r="F13" s="565"/>
    </row>
    <row r="14" spans="1:6" x14ac:dyDescent="0.25">
      <c r="B14" s="122"/>
      <c r="C14" s="123"/>
      <c r="E14" s="122"/>
      <c r="F14" s="565"/>
    </row>
    <row r="15" spans="1:6" x14ac:dyDescent="0.25">
      <c r="B15" s="122"/>
      <c r="C15" s="123"/>
      <c r="E15" s="122"/>
      <c r="F15" s="565"/>
    </row>
    <row r="16" spans="1:6" x14ac:dyDescent="0.25">
      <c r="B16" s="122"/>
      <c r="C16" s="123"/>
      <c r="E16" s="122"/>
      <c r="F16" s="565"/>
    </row>
    <row r="17" spans="2:6" x14ac:dyDescent="0.25">
      <c r="B17" s="122"/>
      <c r="C17" s="123"/>
      <c r="E17" s="122"/>
      <c r="F17" s="565"/>
    </row>
    <row r="18" spans="2:6" x14ac:dyDescent="0.25">
      <c r="B18" s="122"/>
      <c r="C18" s="123"/>
      <c r="D18" s="120"/>
      <c r="E18" s="122"/>
      <c r="F18" s="566"/>
    </row>
    <row r="19" spans="2:6" x14ac:dyDescent="0.25">
      <c r="B19" s="120"/>
      <c r="C19" s="120"/>
      <c r="D19" s="120"/>
      <c r="E19" s="122"/>
      <c r="F19" s="120"/>
    </row>
    <row r="20" spans="2:6" x14ac:dyDescent="0.25">
      <c r="B20" s="51" t="s">
        <v>110</v>
      </c>
      <c r="C20" s="51"/>
      <c r="D20" s="51"/>
      <c r="E20" s="51"/>
      <c r="F20" s="52"/>
    </row>
  </sheetData>
  <sheetProtection sheet="1" objects="1" formatCells="0" formatColumns="0" formatRows="0" sort="0" autoFilter="0"/>
  <mergeCells count="1">
    <mergeCell ref="F11:F18"/>
  </mergeCell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44">
    <tabColor theme="6" tint="0.39997558519241921"/>
    <pageSetUpPr fitToPage="1"/>
  </sheetPr>
  <dimension ref="A1:JG43"/>
  <sheetViews>
    <sheetView showGridLines="0" zoomScale="80" zoomScaleNormal="80" workbookViewId="0">
      <pane xSplit="9" ySplit="5" topLeftCell="J6" activePane="bottomRight" state="frozen"/>
      <selection pane="topRight"/>
      <selection pane="bottomLeft"/>
      <selection pane="bottomRight" activeCell="G1" sqref="G1"/>
    </sheetView>
  </sheetViews>
  <sheetFormatPr defaultColWidth="0" defaultRowHeight="15" x14ac:dyDescent="0.25"/>
  <cols>
    <col min="1" max="5" width="2.5703125" style="85" customWidth="1"/>
    <col min="6" max="6" width="59.5703125" style="85" customWidth="1"/>
    <col min="7" max="7" width="15.42578125" style="85" customWidth="1"/>
    <col min="8" max="8" width="19.85546875" style="85" bestFit="1" customWidth="1"/>
    <col min="9" max="9" width="2.42578125" style="85" customWidth="1"/>
    <col min="10" max="10" width="21.28515625" style="85" customWidth="1"/>
    <col min="11" max="14" width="14.85546875" style="85" bestFit="1" customWidth="1"/>
    <col min="15" max="15" width="2.42578125" style="85" customWidth="1"/>
    <col min="16" max="267" width="20.5703125" style="85" hidden="1" customWidth="1"/>
    <col min="268" max="16384" width="9.140625" style="85" hidden="1"/>
  </cols>
  <sheetData>
    <row r="1" spans="1:14" s="10" customFormat="1" x14ac:dyDescent="0.25">
      <c r="A1" s="10" t="str">
        <f ca="1">MID(CELL("filename",A1),FIND("]",CELL("filename",A1))+1,255)</f>
        <v>ARP_CDCM timebands</v>
      </c>
    </row>
    <row r="2" spans="1:14" s="10" customFormat="1" x14ac:dyDescent="0.25">
      <c r="A2" s="10" t="str">
        <f>Cover!D21&amp;" - "&amp;Cover!D23</f>
        <v>Southern Electric Power Distribution plc - Final</v>
      </c>
    </row>
    <row r="3" spans="1:14" s="46" customFormat="1" x14ac:dyDescent="0.25">
      <c r="A3" s="46" t="str">
        <f>Cover!D2&amp;" - "&amp;Cover!D8&amp;" v"&amp;Cover!D10&amp;" - "&amp;Cover!D19</f>
        <v>ARP model - Release for charge setting v7 - 2023/24</v>
      </c>
    </row>
    <row r="5" spans="1:14" x14ac:dyDescent="0.25">
      <c r="B5" s="134" t="s">
        <v>451</v>
      </c>
      <c r="C5" s="9"/>
      <c r="D5" s="9"/>
      <c r="E5" s="9"/>
      <c r="F5" s="9"/>
      <c r="G5" s="1" t="s">
        <v>91</v>
      </c>
      <c r="H5" s="2" t="s">
        <v>92</v>
      </c>
      <c r="J5" s="35" t="str">
        <f t="array" ref="J5:N5">TRANSPOSE('ARP_User control'!G31:G35)</f>
        <v>2023/24</v>
      </c>
      <c r="K5" s="35" t="str">
        <v>2024/25</v>
      </c>
      <c r="L5" s="35" t="str">
        <v>2025/26</v>
      </c>
      <c r="M5" s="35" t="str">
        <v>2026/27</v>
      </c>
      <c r="N5" s="35" t="str">
        <v>2027/28</v>
      </c>
    </row>
    <row r="7" spans="1:14" x14ac:dyDescent="0.25">
      <c r="B7" s="95" t="s">
        <v>90</v>
      </c>
      <c r="C7" s="95"/>
      <c r="D7" s="95"/>
      <c r="E7" s="95"/>
      <c r="F7" s="95"/>
      <c r="G7" s="95"/>
      <c r="H7" s="95"/>
      <c r="I7" s="95"/>
      <c r="J7" s="95"/>
      <c r="K7" s="95"/>
      <c r="L7" s="95"/>
      <c r="M7" s="95"/>
      <c r="N7" s="95"/>
    </row>
    <row r="9" spans="1:14" x14ac:dyDescent="0.25">
      <c r="C9" s="82" t="s">
        <v>829</v>
      </c>
    </row>
    <row r="10" spans="1:14" s="293" customFormat="1" x14ac:dyDescent="0.25">
      <c r="C10" s="82" t="s">
        <v>830</v>
      </c>
    </row>
    <row r="11" spans="1:14" x14ac:dyDescent="0.25">
      <c r="D11" s="14"/>
    </row>
    <row r="12" spans="1:14" x14ac:dyDescent="0.25">
      <c r="B12" s="95" t="s">
        <v>453</v>
      </c>
      <c r="C12" s="95"/>
      <c r="D12" s="95"/>
      <c r="E12" s="95"/>
      <c r="F12" s="95"/>
      <c r="G12" s="95"/>
      <c r="H12" s="95"/>
      <c r="I12" s="95"/>
      <c r="J12" s="95"/>
      <c r="K12" s="95"/>
      <c r="L12" s="95"/>
      <c r="M12" s="95"/>
      <c r="N12" s="95"/>
    </row>
    <row r="13" spans="1:14" x14ac:dyDescent="0.25">
      <c r="D13" s="14"/>
    </row>
    <row r="14" spans="1:14" x14ac:dyDescent="0.25">
      <c r="C14" s="7" t="s">
        <v>454</v>
      </c>
      <c r="D14" s="7"/>
      <c r="E14" s="7"/>
      <c r="F14" s="7"/>
      <c r="G14" s="172"/>
      <c r="H14" s="7"/>
      <c r="I14" s="7"/>
      <c r="J14" s="7"/>
      <c r="K14" s="7"/>
      <c r="L14" s="7"/>
      <c r="M14" s="7"/>
      <c r="N14" s="7"/>
    </row>
    <row r="15" spans="1:14" x14ac:dyDescent="0.25">
      <c r="C15" s="96"/>
      <c r="E15" s="96"/>
      <c r="G15" s="108"/>
    </row>
    <row r="16" spans="1:14" x14ac:dyDescent="0.25">
      <c r="E16" s="96" t="s">
        <v>455</v>
      </c>
    </row>
    <row r="17" spans="3:14" x14ac:dyDescent="0.25">
      <c r="F17" s="91" t="s">
        <v>84</v>
      </c>
      <c r="G17" s="129" t="s">
        <v>572</v>
      </c>
      <c r="H17" s="112"/>
      <c r="I17" s="112"/>
      <c r="J17" s="320" t="s">
        <v>1260</v>
      </c>
      <c r="K17" s="320" t="s">
        <v>1261</v>
      </c>
      <c r="L17" s="320" t="s">
        <v>1261</v>
      </c>
      <c r="M17" s="320" t="s">
        <v>1261</v>
      </c>
      <c r="N17" s="320" t="s">
        <v>1261</v>
      </c>
    </row>
    <row r="18" spans="3:14" x14ac:dyDescent="0.25">
      <c r="F18" s="92" t="s">
        <v>85</v>
      </c>
      <c r="G18" s="130" t="s">
        <v>572</v>
      </c>
      <c r="H18" s="66"/>
      <c r="I18" s="66"/>
      <c r="J18" s="321" t="s">
        <v>1262</v>
      </c>
      <c r="K18" s="321" t="s">
        <v>1261</v>
      </c>
      <c r="L18" s="321" t="s">
        <v>1261</v>
      </c>
      <c r="M18" s="321" t="s">
        <v>1261</v>
      </c>
      <c r="N18" s="321" t="s">
        <v>1261</v>
      </c>
    </row>
    <row r="19" spans="3:14" x14ac:dyDescent="0.25">
      <c r="F19" s="93" t="s">
        <v>86</v>
      </c>
      <c r="G19" s="131" t="s">
        <v>572</v>
      </c>
      <c r="H19" s="145"/>
      <c r="I19" s="145"/>
      <c r="J19" s="322" t="s">
        <v>1263</v>
      </c>
      <c r="K19" s="322" t="s">
        <v>1261</v>
      </c>
      <c r="L19" s="322" t="s">
        <v>1261</v>
      </c>
      <c r="M19" s="322" t="s">
        <v>1261</v>
      </c>
      <c r="N19" s="322" t="s">
        <v>1261</v>
      </c>
    </row>
    <row r="20" spans="3:14" x14ac:dyDescent="0.25">
      <c r="F20" s="92"/>
      <c r="G20" s="130"/>
      <c r="H20" s="111"/>
      <c r="I20" s="111"/>
      <c r="J20" s="111"/>
      <c r="K20" s="111"/>
      <c r="L20" s="111"/>
      <c r="M20" s="111"/>
      <c r="N20" s="111"/>
    </row>
    <row r="21" spans="3:14" x14ac:dyDescent="0.25">
      <c r="E21" s="96" t="s">
        <v>456</v>
      </c>
      <c r="H21" s="111"/>
      <c r="I21" s="111"/>
      <c r="J21" s="111"/>
      <c r="K21" s="111"/>
      <c r="L21" s="111"/>
      <c r="M21" s="111"/>
      <c r="N21" s="111"/>
    </row>
    <row r="22" spans="3:14" x14ac:dyDescent="0.25">
      <c r="F22" s="91" t="s">
        <v>84</v>
      </c>
      <c r="G22" s="129" t="s">
        <v>572</v>
      </c>
      <c r="H22" s="112"/>
      <c r="I22" s="112"/>
      <c r="J22" s="320" t="s">
        <v>677</v>
      </c>
      <c r="K22" s="320" t="s">
        <v>1261</v>
      </c>
      <c r="L22" s="320" t="s">
        <v>1261</v>
      </c>
      <c r="M22" s="320" t="s">
        <v>1261</v>
      </c>
      <c r="N22" s="320" t="s">
        <v>1261</v>
      </c>
    </row>
    <row r="23" spans="3:14" x14ac:dyDescent="0.25">
      <c r="F23" s="92" t="s">
        <v>85</v>
      </c>
      <c r="G23" s="130" t="s">
        <v>572</v>
      </c>
      <c r="H23" s="66"/>
      <c r="I23" s="66"/>
      <c r="J23" s="321" t="s">
        <v>1264</v>
      </c>
      <c r="K23" s="321" t="s">
        <v>1261</v>
      </c>
      <c r="L23" s="321" t="s">
        <v>1261</v>
      </c>
      <c r="M23" s="321" t="s">
        <v>1261</v>
      </c>
      <c r="N23" s="321" t="s">
        <v>1261</v>
      </c>
    </row>
    <row r="24" spans="3:14" x14ac:dyDescent="0.25">
      <c r="F24" s="93" t="s">
        <v>86</v>
      </c>
      <c r="G24" s="131" t="s">
        <v>572</v>
      </c>
      <c r="H24" s="145"/>
      <c r="I24" s="145"/>
      <c r="J24" s="322" t="s">
        <v>1265</v>
      </c>
      <c r="K24" s="322" t="s">
        <v>1261</v>
      </c>
      <c r="L24" s="322" t="s">
        <v>1261</v>
      </c>
      <c r="M24" s="322" t="s">
        <v>1261</v>
      </c>
      <c r="N24" s="322" t="s">
        <v>1261</v>
      </c>
    </row>
    <row r="25" spans="3:14" x14ac:dyDescent="0.25">
      <c r="G25" s="108"/>
      <c r="H25" s="111"/>
      <c r="I25" s="111"/>
      <c r="J25" s="111"/>
      <c r="K25" s="111"/>
      <c r="L25" s="111"/>
      <c r="M25" s="111"/>
      <c r="N25" s="111"/>
    </row>
    <row r="26" spans="3:14" x14ac:dyDescent="0.25">
      <c r="C26" s="7" t="s">
        <v>457</v>
      </c>
      <c r="D26" s="7"/>
      <c r="E26" s="7"/>
      <c r="F26" s="7"/>
      <c r="G26" s="172"/>
      <c r="H26" s="171"/>
      <c r="I26" s="171"/>
      <c r="J26" s="171"/>
      <c r="K26" s="171"/>
      <c r="L26" s="171"/>
      <c r="M26" s="171"/>
      <c r="N26" s="171"/>
    </row>
    <row r="27" spans="3:14" x14ac:dyDescent="0.25">
      <c r="E27" s="96"/>
      <c r="F27" s="96"/>
      <c r="G27" s="108"/>
      <c r="H27" s="111"/>
      <c r="I27" s="111"/>
      <c r="J27" s="111"/>
      <c r="K27" s="111"/>
      <c r="L27" s="111"/>
      <c r="M27" s="111"/>
      <c r="N27" s="111"/>
    </row>
    <row r="28" spans="3:14" x14ac:dyDescent="0.25">
      <c r="E28" s="96" t="s">
        <v>458</v>
      </c>
      <c r="H28" s="111"/>
      <c r="I28" s="111"/>
      <c r="J28" s="111"/>
      <c r="K28" s="111"/>
      <c r="L28" s="111"/>
      <c r="M28" s="111"/>
      <c r="N28" s="111"/>
    </row>
    <row r="29" spans="3:14" x14ac:dyDescent="0.25">
      <c r="F29" s="91" t="s">
        <v>87</v>
      </c>
      <c r="G29" s="129" t="s">
        <v>572</v>
      </c>
      <c r="H29" s="112"/>
      <c r="I29" s="112"/>
      <c r="J29" s="320" t="s">
        <v>1260</v>
      </c>
      <c r="K29" s="320" t="s">
        <v>1261</v>
      </c>
      <c r="L29" s="320" t="s">
        <v>1261</v>
      </c>
      <c r="M29" s="320" t="s">
        <v>1261</v>
      </c>
      <c r="N29" s="320" t="s">
        <v>1261</v>
      </c>
    </row>
    <row r="30" spans="3:14" x14ac:dyDescent="0.25">
      <c r="F30" s="92" t="s">
        <v>88</v>
      </c>
      <c r="G30" s="130" t="s">
        <v>572</v>
      </c>
      <c r="H30" s="66"/>
      <c r="I30" s="66"/>
      <c r="J30" s="321" t="s">
        <v>1262</v>
      </c>
      <c r="K30" s="321" t="s">
        <v>1261</v>
      </c>
      <c r="L30" s="321" t="s">
        <v>1261</v>
      </c>
      <c r="M30" s="321" t="s">
        <v>1261</v>
      </c>
      <c r="N30" s="321" t="s">
        <v>1261</v>
      </c>
    </row>
    <row r="31" spans="3:14" x14ac:dyDescent="0.25">
      <c r="F31" s="93" t="s">
        <v>86</v>
      </c>
      <c r="G31" s="131" t="s">
        <v>572</v>
      </c>
      <c r="H31" s="145"/>
      <c r="I31" s="145"/>
      <c r="J31" s="322" t="s">
        <v>1263</v>
      </c>
      <c r="K31" s="322" t="s">
        <v>1261</v>
      </c>
      <c r="L31" s="322" t="s">
        <v>1261</v>
      </c>
      <c r="M31" s="322" t="s">
        <v>1261</v>
      </c>
      <c r="N31" s="322" t="s">
        <v>1261</v>
      </c>
    </row>
    <row r="32" spans="3:14" x14ac:dyDescent="0.25">
      <c r="F32" s="92"/>
      <c r="G32" s="130"/>
      <c r="H32" s="111"/>
      <c r="I32" s="111"/>
      <c r="J32" s="111"/>
      <c r="K32" s="111"/>
      <c r="L32" s="111"/>
      <c r="M32" s="111"/>
      <c r="N32" s="111"/>
    </row>
    <row r="33" spans="2:14" x14ac:dyDescent="0.25">
      <c r="E33" s="96" t="s">
        <v>459</v>
      </c>
      <c r="H33" s="111"/>
      <c r="I33" s="111"/>
      <c r="J33" s="111"/>
      <c r="K33" s="111"/>
      <c r="L33" s="111"/>
      <c r="M33" s="111"/>
      <c r="N33" s="111"/>
    </row>
    <row r="34" spans="2:14" x14ac:dyDescent="0.25">
      <c r="F34" s="91" t="s">
        <v>87</v>
      </c>
      <c r="G34" s="129" t="s">
        <v>572</v>
      </c>
      <c r="H34" s="112"/>
      <c r="I34" s="112"/>
      <c r="J34" s="320" t="s">
        <v>677</v>
      </c>
      <c r="K34" s="320" t="s">
        <v>1261</v>
      </c>
      <c r="L34" s="320" t="s">
        <v>1261</v>
      </c>
      <c r="M34" s="320" t="s">
        <v>1261</v>
      </c>
      <c r="N34" s="320" t="s">
        <v>1261</v>
      </c>
    </row>
    <row r="35" spans="2:14" x14ac:dyDescent="0.25">
      <c r="F35" s="92" t="s">
        <v>88</v>
      </c>
      <c r="G35" s="130" t="s">
        <v>572</v>
      </c>
      <c r="H35" s="66"/>
      <c r="I35" s="66"/>
      <c r="J35" s="321" t="s">
        <v>1266</v>
      </c>
      <c r="K35" s="321" t="s">
        <v>1261</v>
      </c>
      <c r="L35" s="321" t="s">
        <v>1261</v>
      </c>
      <c r="M35" s="321" t="s">
        <v>1261</v>
      </c>
      <c r="N35" s="321" t="s">
        <v>1261</v>
      </c>
    </row>
    <row r="36" spans="2:14" x14ac:dyDescent="0.25">
      <c r="F36" s="93" t="s">
        <v>86</v>
      </c>
      <c r="G36" s="131" t="s">
        <v>572</v>
      </c>
      <c r="H36" s="145"/>
      <c r="I36" s="145"/>
      <c r="J36" s="322" t="s">
        <v>1263</v>
      </c>
      <c r="K36" s="322" t="s">
        <v>1261</v>
      </c>
      <c r="L36" s="322" t="s">
        <v>1261</v>
      </c>
      <c r="M36" s="322" t="s">
        <v>1261</v>
      </c>
      <c r="N36" s="322" t="s">
        <v>1261</v>
      </c>
    </row>
    <row r="37" spans="2:14" x14ac:dyDescent="0.25">
      <c r="G37" s="108"/>
      <c r="H37" s="111"/>
      <c r="I37" s="111"/>
      <c r="J37" s="111"/>
      <c r="K37" s="111"/>
      <c r="L37" s="111"/>
      <c r="M37" s="111"/>
      <c r="N37" s="111"/>
    </row>
    <row r="38" spans="2:14" x14ac:dyDescent="0.25">
      <c r="E38" s="96" t="s">
        <v>456</v>
      </c>
      <c r="H38" s="111"/>
      <c r="I38" s="111"/>
      <c r="J38" s="111"/>
      <c r="K38" s="111"/>
      <c r="L38" s="111"/>
      <c r="M38" s="111"/>
      <c r="N38" s="111"/>
    </row>
    <row r="39" spans="2:14" x14ac:dyDescent="0.25">
      <c r="F39" s="91" t="s">
        <v>87</v>
      </c>
      <c r="G39" s="129" t="s">
        <v>572</v>
      </c>
      <c r="H39" s="112"/>
      <c r="I39" s="112"/>
      <c r="J39" s="320" t="s">
        <v>677</v>
      </c>
      <c r="K39" s="320" t="s">
        <v>1261</v>
      </c>
      <c r="L39" s="320" t="s">
        <v>1261</v>
      </c>
      <c r="M39" s="320" t="s">
        <v>1261</v>
      </c>
      <c r="N39" s="320" t="s">
        <v>1261</v>
      </c>
    </row>
    <row r="40" spans="2:14" x14ac:dyDescent="0.25">
      <c r="F40" s="92" t="s">
        <v>88</v>
      </c>
      <c r="G40" s="130" t="s">
        <v>572</v>
      </c>
      <c r="H40" s="66"/>
      <c r="I40" s="66"/>
      <c r="J40" s="321" t="s">
        <v>1264</v>
      </c>
      <c r="K40" s="321" t="s">
        <v>1261</v>
      </c>
      <c r="L40" s="321" t="s">
        <v>1261</v>
      </c>
      <c r="M40" s="321" t="s">
        <v>1261</v>
      </c>
      <c r="N40" s="321" t="s">
        <v>1261</v>
      </c>
    </row>
    <row r="41" spans="2:14" x14ac:dyDescent="0.25">
      <c r="F41" s="93" t="s">
        <v>86</v>
      </c>
      <c r="G41" s="131" t="s">
        <v>572</v>
      </c>
      <c r="H41" s="145"/>
      <c r="I41" s="145"/>
      <c r="J41" s="322" t="s">
        <v>1265</v>
      </c>
      <c r="K41" s="322" t="s">
        <v>1261</v>
      </c>
      <c r="L41" s="322" t="s">
        <v>1261</v>
      </c>
      <c r="M41" s="322" t="s">
        <v>1261</v>
      </c>
      <c r="N41" s="322" t="s">
        <v>1261</v>
      </c>
    </row>
    <row r="42" spans="2:14" x14ac:dyDescent="0.25">
      <c r="G42" s="108"/>
    </row>
    <row r="43" spans="2:14" x14ac:dyDescent="0.25">
      <c r="B43" s="95" t="s">
        <v>110</v>
      </c>
      <c r="C43" s="95"/>
      <c r="D43" s="95"/>
      <c r="E43" s="95"/>
      <c r="F43" s="95"/>
      <c r="G43" s="95"/>
      <c r="H43" s="95"/>
      <c r="I43" s="95"/>
      <c r="J43" s="95"/>
      <c r="K43" s="95"/>
      <c r="L43" s="95"/>
      <c r="M43" s="95"/>
      <c r="N43" s="95"/>
    </row>
  </sheetData>
  <sheetProtection sheet="1" objects="1" formatCells="0" formatColumns="0" formatRows="0" sort="0" autoFilter="0"/>
  <hyperlinks>
    <hyperlink ref="B5:F5" location="'Model map'!A1" display="Click here to return to model map" xr:uid="{00000000-0004-0000-0600-000000000000}"/>
  </hyperlinks>
  <pageMargins left="0.7" right="0.7" top="0.75" bottom="0.75" header="0.3" footer="0.3"/>
  <pageSetup paperSize="9" fitToHeight="0" orientation="portrait" r:id="rId1"/>
  <headerFooter>
    <oddHeader>&amp;L&amp;A&amp;C&amp;R&amp;P of &amp;N</oddHeader>
    <oddFooter>&amp;F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46">
    <tabColor theme="6" tint="0.39997558519241921"/>
    <pageSetUpPr fitToPage="1"/>
  </sheetPr>
  <dimension ref="A1:KP34"/>
  <sheetViews>
    <sheetView showGridLines="0" zoomScale="80" zoomScaleNormal="80" workbookViewId="0">
      <pane xSplit="9" ySplit="5" topLeftCell="J6" activePane="bottomRight" state="frozen"/>
      <selection pane="topRight"/>
      <selection pane="bottomLeft"/>
      <selection pane="bottomRight" activeCell="G1" sqref="G1"/>
    </sheetView>
  </sheetViews>
  <sheetFormatPr defaultColWidth="0" defaultRowHeight="15" x14ac:dyDescent="0.25"/>
  <cols>
    <col min="1" max="5" width="2.5703125" style="85" customWidth="1"/>
    <col min="6" max="6" width="59.5703125" style="85" customWidth="1"/>
    <col min="7" max="7" width="15.42578125" style="108" customWidth="1"/>
    <col min="8" max="8" width="19.85546875" style="85" bestFit="1" customWidth="1"/>
    <col min="9" max="9" width="2.42578125" style="85" customWidth="1"/>
    <col min="10" max="25" width="17" style="85" customWidth="1"/>
    <col min="26" max="26" width="2.42578125" style="85" customWidth="1"/>
    <col min="27" max="302" width="20.5703125" style="85" hidden="1" customWidth="1"/>
    <col min="303" max="16384" width="9.140625" style="85" hidden="1"/>
  </cols>
  <sheetData>
    <row r="1" spans="1:26" s="10" customFormat="1" x14ac:dyDescent="0.25">
      <c r="A1" s="10" t="str">
        <f ca="1">MID(CELL("filename",A1),FIND("]",CELL("filename",A1))+1,255)</f>
        <v>ARP_Load characteristics</v>
      </c>
      <c r="G1" s="188"/>
    </row>
    <row r="2" spans="1:26" s="10" customFormat="1" x14ac:dyDescent="0.25">
      <c r="A2" s="10" t="str">
        <f>Cover!D21&amp;" - "&amp;Cover!D23</f>
        <v>Southern Electric Power Distribution plc - Final</v>
      </c>
      <c r="G2" s="188"/>
    </row>
    <row r="3" spans="1:26" s="46" customFormat="1" x14ac:dyDescent="0.25">
      <c r="A3" s="46" t="str">
        <f>Cover!D2&amp;" - "&amp;Cover!D8&amp;" v"&amp;Cover!D10&amp;" - "&amp;Cover!D19</f>
        <v>ARP model - Release for charge setting v7 - 2023/24</v>
      </c>
      <c r="G3" s="296"/>
    </row>
    <row r="5" spans="1:26" ht="60" x14ac:dyDescent="0.25">
      <c r="B5" s="134" t="s">
        <v>451</v>
      </c>
      <c r="C5" s="9"/>
      <c r="D5" s="9"/>
      <c r="E5" s="9"/>
      <c r="F5" s="9"/>
      <c r="G5" s="1" t="s">
        <v>91</v>
      </c>
      <c r="H5" s="2" t="s">
        <v>92</v>
      </c>
      <c r="I5" s="111"/>
      <c r="J5" s="2" t="s">
        <v>926</v>
      </c>
      <c r="K5" s="2" t="s">
        <v>927</v>
      </c>
      <c r="L5" s="2" t="s">
        <v>928</v>
      </c>
      <c r="M5" s="2" t="s">
        <v>929</v>
      </c>
      <c r="N5" s="2" t="s">
        <v>930</v>
      </c>
      <c r="O5" s="2" t="s">
        <v>931</v>
      </c>
      <c r="P5" s="2" t="s">
        <v>932</v>
      </c>
      <c r="Q5" s="2" t="s">
        <v>933</v>
      </c>
      <c r="R5" s="2" t="s">
        <v>934</v>
      </c>
      <c r="S5" s="2" t="s">
        <v>935</v>
      </c>
      <c r="T5" s="2" t="s">
        <v>936</v>
      </c>
      <c r="U5" s="2" t="s">
        <v>937</v>
      </c>
      <c r="V5" s="2" t="s">
        <v>938</v>
      </c>
      <c r="W5" s="2" t="s">
        <v>939</v>
      </c>
      <c r="X5" s="2" t="s">
        <v>940</v>
      </c>
      <c r="Y5" s="2" t="s">
        <v>941</v>
      </c>
    </row>
    <row r="6" spans="1:26" x14ac:dyDescent="0.25">
      <c r="Z6" s="195"/>
    </row>
    <row r="7" spans="1:26" x14ac:dyDescent="0.25">
      <c r="B7" s="95" t="s">
        <v>90</v>
      </c>
      <c r="C7" s="95"/>
      <c r="D7" s="95"/>
      <c r="E7" s="95"/>
      <c r="F7" s="95"/>
      <c r="G7" s="128"/>
      <c r="H7" s="95"/>
      <c r="I7" s="95"/>
      <c r="J7" s="95"/>
      <c r="K7" s="95"/>
      <c r="L7" s="95"/>
      <c r="M7" s="95"/>
      <c r="N7" s="95"/>
      <c r="O7" s="95"/>
      <c r="P7" s="95"/>
      <c r="Q7" s="95"/>
      <c r="R7" s="95"/>
      <c r="S7" s="95"/>
      <c r="T7" s="95"/>
      <c r="U7" s="95"/>
      <c r="V7" s="95"/>
      <c r="W7" s="95"/>
      <c r="X7" s="95"/>
      <c r="Y7" s="95"/>
      <c r="Z7" s="195"/>
    </row>
    <row r="8" spans="1:26" x14ac:dyDescent="0.25">
      <c r="Z8" s="195"/>
    </row>
    <row r="9" spans="1:26" x14ac:dyDescent="0.25">
      <c r="C9" s="82" t="s">
        <v>747</v>
      </c>
      <c r="Z9" s="195"/>
    </row>
    <row r="10" spans="1:26" x14ac:dyDescent="0.25">
      <c r="C10" s="82" t="s">
        <v>460</v>
      </c>
      <c r="Z10" s="195"/>
    </row>
    <row r="11" spans="1:26" x14ac:dyDescent="0.25">
      <c r="C11" s="82" t="s">
        <v>461</v>
      </c>
      <c r="Z11" s="195"/>
    </row>
    <row r="12" spans="1:26" x14ac:dyDescent="0.25">
      <c r="D12" s="14"/>
      <c r="Z12" s="195"/>
    </row>
    <row r="13" spans="1:26" x14ac:dyDescent="0.25">
      <c r="B13" s="95" t="s">
        <v>208</v>
      </c>
      <c r="C13" s="95"/>
      <c r="D13" s="95"/>
      <c r="E13" s="95"/>
      <c r="F13" s="95"/>
      <c r="G13" s="128"/>
      <c r="H13" s="95"/>
      <c r="I13" s="95"/>
      <c r="J13" s="95"/>
      <c r="K13" s="95"/>
      <c r="L13" s="95"/>
      <c r="M13" s="95"/>
      <c r="N13" s="95"/>
      <c r="O13" s="95"/>
      <c r="P13" s="95"/>
      <c r="Q13" s="95"/>
      <c r="R13" s="95"/>
      <c r="S13" s="95"/>
      <c r="T13" s="95"/>
      <c r="U13" s="95"/>
      <c r="V13" s="95"/>
      <c r="W13" s="95"/>
      <c r="X13" s="95"/>
      <c r="Y13" s="95"/>
      <c r="Z13" s="195"/>
    </row>
    <row r="14" spans="1:26" x14ac:dyDescent="0.25">
      <c r="Z14" s="195"/>
    </row>
    <row r="15" spans="1:26" x14ac:dyDescent="0.25">
      <c r="E15" s="96" t="s">
        <v>462</v>
      </c>
      <c r="Z15" s="195"/>
    </row>
    <row r="16" spans="1:26" x14ac:dyDescent="0.25">
      <c r="F16" s="91" t="s">
        <v>494</v>
      </c>
      <c r="G16" s="129" t="s">
        <v>482</v>
      </c>
      <c r="H16" s="199" t="str">
        <f>LEFT(H17,4) - 1 &amp; "/" &amp; RIGHT(H17,2) - 1</f>
        <v>2018/19</v>
      </c>
      <c r="Z16" s="195"/>
    </row>
    <row r="17" spans="2:26" x14ac:dyDescent="0.25">
      <c r="F17" s="196" t="s">
        <v>495</v>
      </c>
      <c r="G17" s="130" t="s">
        <v>482</v>
      </c>
      <c r="H17" s="84" t="str">
        <f>LEFT(H18,4) - 1 &amp; "/" &amp; RIGHT(H18,2) - 1</f>
        <v>2019/20</v>
      </c>
      <c r="Z17" s="195"/>
    </row>
    <row r="18" spans="2:26" x14ac:dyDescent="0.25">
      <c r="F18" s="93" t="s">
        <v>496</v>
      </c>
      <c r="G18" s="131" t="s">
        <v>482</v>
      </c>
      <c r="H18" s="198" t="str">
        <f>'ARP_User control'!$G$28</f>
        <v>2020/21</v>
      </c>
      <c r="Z18" s="195"/>
    </row>
    <row r="19" spans="2:26" x14ac:dyDescent="0.25">
      <c r="Z19" s="195"/>
    </row>
    <row r="20" spans="2:26" x14ac:dyDescent="0.25">
      <c r="B20" s="95" t="s">
        <v>286</v>
      </c>
      <c r="C20" s="95"/>
      <c r="D20" s="95"/>
      <c r="E20" s="95"/>
      <c r="F20" s="95"/>
      <c r="G20" s="128"/>
      <c r="H20" s="95"/>
      <c r="I20" s="95"/>
      <c r="J20" s="95"/>
      <c r="K20" s="95"/>
      <c r="L20" s="95"/>
      <c r="M20" s="95"/>
      <c r="N20" s="95"/>
      <c r="O20" s="95"/>
      <c r="P20" s="95"/>
      <c r="Q20" s="95"/>
      <c r="R20" s="95"/>
      <c r="S20" s="95"/>
      <c r="T20" s="95"/>
      <c r="U20" s="95"/>
      <c r="V20" s="95"/>
      <c r="W20" s="95"/>
      <c r="X20" s="95"/>
      <c r="Y20" s="95"/>
      <c r="Z20" s="195"/>
    </row>
    <row r="21" spans="2:26" x14ac:dyDescent="0.25">
      <c r="Z21" s="195"/>
    </row>
    <row r="22" spans="2:26" x14ac:dyDescent="0.25">
      <c r="E22" s="96" t="s">
        <v>71</v>
      </c>
      <c r="Z22" s="195"/>
    </row>
    <row r="23" spans="2:26" x14ac:dyDescent="0.25">
      <c r="F23" s="91" t="str">
        <f>$H$16</f>
        <v>2018/19</v>
      </c>
      <c r="G23" s="129" t="s">
        <v>94</v>
      </c>
      <c r="H23" s="112"/>
      <c r="I23" s="112"/>
      <c r="J23" s="323">
        <v>0.42916247289821746</v>
      </c>
      <c r="K23" s="323">
        <v>5.3455061760793864E-2</v>
      </c>
      <c r="L23" s="323">
        <v>0.40728861918768949</v>
      </c>
      <c r="M23" s="323">
        <v>0.18938808559230558</v>
      </c>
      <c r="N23" s="323">
        <v>0.58365370301364605</v>
      </c>
      <c r="O23" s="323">
        <v>0.71724880389851986</v>
      </c>
      <c r="P23" s="323">
        <v>0.70587297025845364</v>
      </c>
      <c r="Q23" s="323">
        <v>0.49108956563502565</v>
      </c>
      <c r="R23" s="170"/>
      <c r="S23" s="170"/>
      <c r="T23" s="170"/>
      <c r="U23" s="170"/>
      <c r="V23" s="170"/>
      <c r="W23" s="170"/>
      <c r="X23" s="170"/>
      <c r="Y23" s="170"/>
      <c r="Z23" s="195"/>
    </row>
    <row r="24" spans="2:26" x14ac:dyDescent="0.25">
      <c r="F24" s="196" t="str">
        <f>$H$17</f>
        <v>2019/20</v>
      </c>
      <c r="G24" s="130" t="s">
        <v>94</v>
      </c>
      <c r="H24" s="66"/>
      <c r="I24" s="66"/>
      <c r="J24" s="324">
        <v>0.43960642483791768</v>
      </c>
      <c r="K24" s="324">
        <v>5.4512170417212007E-2</v>
      </c>
      <c r="L24" s="324">
        <v>0.46335312452789068</v>
      </c>
      <c r="M24" s="324">
        <v>0.18828552676982113</v>
      </c>
      <c r="N24" s="324">
        <v>0.5811323624662813</v>
      </c>
      <c r="O24" s="324">
        <v>0.6936532101448335</v>
      </c>
      <c r="P24" s="324">
        <v>0.67529071631894655</v>
      </c>
      <c r="Q24" s="324">
        <v>0.45223935081523825</v>
      </c>
      <c r="R24" s="159"/>
      <c r="S24" s="159"/>
      <c r="T24" s="159"/>
      <c r="U24" s="159"/>
      <c r="V24" s="159"/>
      <c r="W24" s="159"/>
      <c r="X24" s="159"/>
      <c r="Y24" s="159"/>
      <c r="Z24" s="195"/>
    </row>
    <row r="25" spans="2:26" x14ac:dyDescent="0.25">
      <c r="F25" s="93" t="str">
        <f>$H$18</f>
        <v>2020/21</v>
      </c>
      <c r="G25" s="131" t="s">
        <v>94</v>
      </c>
      <c r="H25" s="145"/>
      <c r="I25" s="145"/>
      <c r="J25" s="325">
        <v>0.41629258288853033</v>
      </c>
      <c r="K25" s="325">
        <v>9.7425560242597131E-2</v>
      </c>
      <c r="L25" s="325">
        <v>0.36868014660605702</v>
      </c>
      <c r="M25" s="325">
        <v>0.18411000012706877</v>
      </c>
      <c r="N25" s="325">
        <v>0.53240970177473468</v>
      </c>
      <c r="O25" s="325">
        <v>0.68848047276836444</v>
      </c>
      <c r="P25" s="325">
        <v>0.70062608545968941</v>
      </c>
      <c r="Q25" s="325">
        <v>0.47728316753683347</v>
      </c>
      <c r="R25" s="159"/>
      <c r="S25" s="159"/>
      <c r="T25" s="159"/>
      <c r="U25" s="159"/>
      <c r="V25" s="159"/>
      <c r="W25" s="159"/>
      <c r="X25" s="159"/>
      <c r="Y25" s="159"/>
      <c r="Z25" s="195"/>
    </row>
    <row r="26" spans="2:26" x14ac:dyDescent="0.25">
      <c r="F26" s="73" t="s">
        <v>463</v>
      </c>
      <c r="G26" s="169" t="s">
        <v>94</v>
      </c>
      <c r="H26" s="305"/>
      <c r="I26" s="305"/>
      <c r="J26" s="306">
        <f>AVERAGE(J23:J25)</f>
        <v>0.42835382687488854</v>
      </c>
      <c r="K26" s="306">
        <f t="shared" ref="K26:Q26" si="0">AVERAGE(K23:K25)</f>
        <v>6.8464264140201E-2</v>
      </c>
      <c r="L26" s="306">
        <f t="shared" si="0"/>
        <v>0.41310729677387908</v>
      </c>
      <c r="M26" s="306">
        <f t="shared" si="0"/>
        <v>0.18726120416306516</v>
      </c>
      <c r="N26" s="306">
        <f t="shared" si="0"/>
        <v>0.56573192241822068</v>
      </c>
      <c r="O26" s="306">
        <f t="shared" si="0"/>
        <v>0.69979416227057245</v>
      </c>
      <c r="P26" s="306">
        <f t="shared" si="0"/>
        <v>0.6939299240123632</v>
      </c>
      <c r="Q26" s="306">
        <f t="shared" si="0"/>
        <v>0.4735373613290324</v>
      </c>
      <c r="R26" s="307"/>
      <c r="S26" s="307"/>
      <c r="T26" s="307"/>
      <c r="U26" s="307"/>
      <c r="V26" s="307"/>
      <c r="W26" s="307"/>
      <c r="X26" s="307"/>
      <c r="Y26" s="307"/>
      <c r="Z26" s="195"/>
    </row>
    <row r="27" spans="2:26" x14ac:dyDescent="0.25">
      <c r="H27" s="111"/>
      <c r="I27" s="111"/>
      <c r="J27" s="111"/>
      <c r="K27" s="111"/>
      <c r="L27" s="111"/>
      <c r="M27" s="111"/>
      <c r="N27" s="111"/>
      <c r="O27" s="111"/>
      <c r="P27" s="111"/>
      <c r="Q27" s="111"/>
      <c r="R27" s="111"/>
      <c r="S27" s="111"/>
      <c r="T27" s="111"/>
      <c r="U27" s="111"/>
      <c r="V27" s="111"/>
      <c r="W27" s="111"/>
      <c r="X27" s="111"/>
      <c r="Y27" s="111"/>
      <c r="Z27" s="195"/>
    </row>
    <row r="28" spans="2:26" x14ac:dyDescent="0.25">
      <c r="E28" s="144" t="s">
        <v>70</v>
      </c>
      <c r="H28" s="111"/>
      <c r="I28" s="111"/>
      <c r="J28" s="111"/>
      <c r="K28" s="111"/>
      <c r="L28" s="111"/>
      <c r="M28" s="111"/>
      <c r="N28" s="111"/>
      <c r="O28" s="111"/>
      <c r="P28" s="111"/>
      <c r="Q28" s="111"/>
      <c r="R28" s="111"/>
      <c r="S28" s="111"/>
      <c r="T28" s="111"/>
      <c r="U28" s="111"/>
      <c r="V28" s="111"/>
      <c r="W28" s="111"/>
      <c r="X28" s="111"/>
      <c r="Y28" s="111"/>
      <c r="Z28" s="195"/>
    </row>
    <row r="29" spans="2:26" x14ac:dyDescent="0.25">
      <c r="F29" s="91" t="str">
        <f>$H$16</f>
        <v>2018/19</v>
      </c>
      <c r="G29" s="129" t="s">
        <v>94</v>
      </c>
      <c r="H29" s="112"/>
      <c r="I29" s="112"/>
      <c r="J29" s="323">
        <v>0.92051950854789766</v>
      </c>
      <c r="K29" s="170"/>
      <c r="L29" s="323">
        <v>0.59909913224721523</v>
      </c>
      <c r="M29" s="170"/>
      <c r="N29" s="323">
        <v>0.76354094943618511</v>
      </c>
      <c r="O29" s="323">
        <v>0.76031426692183646</v>
      </c>
      <c r="P29" s="323">
        <v>0.74594266244943497</v>
      </c>
      <c r="Q29" s="323">
        <v>0.94561534119662105</v>
      </c>
      <c r="R29" s="170"/>
      <c r="S29" s="170"/>
      <c r="T29" s="170"/>
      <c r="U29" s="170"/>
      <c r="V29" s="170"/>
      <c r="W29" s="170"/>
      <c r="X29" s="170"/>
      <c r="Y29" s="170"/>
      <c r="Z29" s="195"/>
    </row>
    <row r="30" spans="2:26" x14ac:dyDescent="0.25">
      <c r="F30" s="196" t="str">
        <f>$H$17</f>
        <v>2019/20</v>
      </c>
      <c r="G30" s="130" t="s">
        <v>94</v>
      </c>
      <c r="H30" s="66"/>
      <c r="I30" s="66"/>
      <c r="J30" s="324">
        <v>0.87842147086200839</v>
      </c>
      <c r="K30" s="159"/>
      <c r="L30" s="324">
        <v>0.65958102783616723</v>
      </c>
      <c r="M30" s="159"/>
      <c r="N30" s="324">
        <v>0.78221740524914019</v>
      </c>
      <c r="O30" s="324">
        <v>0.75952126733326619</v>
      </c>
      <c r="P30" s="324">
        <v>0.74510729695163769</v>
      </c>
      <c r="Q30" s="324">
        <v>0.89929136862363335</v>
      </c>
      <c r="R30" s="159"/>
      <c r="S30" s="159"/>
      <c r="T30" s="159"/>
      <c r="U30" s="159"/>
      <c r="V30" s="159"/>
      <c r="W30" s="159"/>
      <c r="X30" s="159"/>
      <c r="Y30" s="159"/>
      <c r="Z30" s="195"/>
    </row>
    <row r="31" spans="2:26" x14ac:dyDescent="0.25">
      <c r="F31" s="196" t="str">
        <f>$H$18</f>
        <v>2020/21</v>
      </c>
      <c r="G31" s="130" t="s">
        <v>94</v>
      </c>
      <c r="H31" s="66"/>
      <c r="I31" s="66"/>
      <c r="J31" s="324">
        <v>0.92031082624995519</v>
      </c>
      <c r="K31" s="159"/>
      <c r="L31" s="324">
        <v>0.54210895405476345</v>
      </c>
      <c r="M31" s="159"/>
      <c r="N31" s="324">
        <v>0.69659986494001747</v>
      </c>
      <c r="O31" s="324">
        <v>0.71395918621591781</v>
      </c>
      <c r="P31" s="324">
        <v>0.77065328096583308</v>
      </c>
      <c r="Q31" s="324">
        <v>0.91430269381124873</v>
      </c>
      <c r="R31" s="159"/>
      <c r="S31" s="159"/>
      <c r="T31" s="159"/>
      <c r="U31" s="159"/>
      <c r="V31" s="159"/>
      <c r="W31" s="159"/>
      <c r="X31" s="159"/>
      <c r="Y31" s="159"/>
      <c r="Z31" s="195"/>
    </row>
    <row r="32" spans="2:26" x14ac:dyDescent="0.25">
      <c r="F32" s="73" t="s">
        <v>463</v>
      </c>
      <c r="G32" s="169" t="s">
        <v>94</v>
      </c>
      <c r="H32" s="305"/>
      <c r="I32" s="305"/>
      <c r="J32" s="306">
        <f>AVERAGE(J29:J31)</f>
        <v>0.90641726855328708</v>
      </c>
      <c r="K32" s="307"/>
      <c r="L32" s="306">
        <f t="shared" ref="L32:O32" si="1">AVERAGE(L29:L31)</f>
        <v>0.60026303804604864</v>
      </c>
      <c r="M32" s="307"/>
      <c r="N32" s="306">
        <f t="shared" si="1"/>
        <v>0.74745273987511418</v>
      </c>
      <c r="O32" s="306">
        <f t="shared" si="1"/>
        <v>0.74459824015700671</v>
      </c>
      <c r="P32" s="306">
        <f t="shared" ref="P32:Q32" si="2">AVERAGE(P29:P31)</f>
        <v>0.75390108012230195</v>
      </c>
      <c r="Q32" s="306">
        <f t="shared" si="2"/>
        <v>0.91973646787716767</v>
      </c>
      <c r="R32" s="307"/>
      <c r="S32" s="307"/>
      <c r="T32" s="307"/>
      <c r="U32" s="307"/>
      <c r="V32" s="307"/>
      <c r="W32" s="307"/>
      <c r="X32" s="307"/>
      <c r="Y32" s="307"/>
      <c r="Z32" s="195"/>
    </row>
    <row r="33" spans="2:26" x14ac:dyDescent="0.25">
      <c r="H33" s="111"/>
      <c r="I33" s="111"/>
      <c r="J33" s="111"/>
      <c r="K33" s="111"/>
      <c r="L33" s="111"/>
      <c r="M33" s="111"/>
      <c r="N33" s="111"/>
      <c r="O33" s="111"/>
      <c r="P33" s="111"/>
      <c r="Q33" s="111"/>
      <c r="R33" s="111"/>
      <c r="S33" s="111"/>
      <c r="T33" s="111"/>
      <c r="U33" s="111"/>
      <c r="V33" s="111"/>
      <c r="W33" s="111"/>
      <c r="X33" s="111"/>
      <c r="Y33" s="111"/>
      <c r="Z33" s="195"/>
    </row>
    <row r="34" spans="2:26" x14ac:dyDescent="0.25">
      <c r="B34" s="95" t="s">
        <v>110</v>
      </c>
      <c r="C34" s="95"/>
      <c r="D34" s="95"/>
      <c r="E34" s="95"/>
      <c r="F34" s="95"/>
      <c r="G34" s="128"/>
      <c r="H34" s="95"/>
      <c r="I34" s="95"/>
      <c r="J34" s="95"/>
      <c r="K34" s="95"/>
      <c r="L34" s="95"/>
      <c r="M34" s="95"/>
      <c r="N34" s="95"/>
      <c r="O34" s="95"/>
      <c r="P34" s="95"/>
      <c r="Q34" s="95"/>
      <c r="R34" s="95"/>
      <c r="S34" s="95"/>
      <c r="T34" s="95"/>
      <c r="U34" s="95"/>
      <c r="V34" s="95"/>
      <c r="W34" s="95"/>
      <c r="X34" s="95"/>
      <c r="Y34" s="95"/>
      <c r="Z34" s="195"/>
    </row>
  </sheetData>
  <sheetProtection sheet="1" objects="1" formatCells="0" formatColumns="0" formatRows="0" sort="0" autoFilter="0"/>
  <dataValidations count="1">
    <dataValidation type="decimal" allowBlank="1" showInputMessage="1" showErrorMessage="1" errorTitle="Invalid load factor" error="The load factor must be between 0% and 100%." sqref="J29:Y31 J23:Y25" xr:uid="{00000000-0002-0000-0700-000000000000}">
      <formula1>0</formula1>
      <formula2>1</formula2>
    </dataValidation>
  </dataValidations>
  <hyperlinks>
    <hyperlink ref="B5:F5" location="'Model map'!A1" display="Click here to return to model map" xr:uid="{00000000-0004-0000-0700-000000000000}"/>
  </hyperlinks>
  <pageMargins left="0.7" right="0.7" top="0.75" bottom="0.75" header="0.3" footer="0.3"/>
  <pageSetup paperSize="9" fitToHeight="0" orientation="portrait" r:id="rId1"/>
  <headerFooter>
    <oddHeader>&amp;L&amp;A&amp;C&amp;R&amp;P of &amp;N</oddHeader>
    <oddFooter>&amp;F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47">
    <tabColor theme="6" tint="0.39997558519241921"/>
    <pageSetUpPr fitToPage="1"/>
  </sheetPr>
  <dimension ref="A1:KO47"/>
  <sheetViews>
    <sheetView showGridLines="0" zoomScale="80" zoomScaleNormal="80" workbookViewId="0">
      <pane xSplit="9" ySplit="5" topLeftCell="J6" activePane="bottomRight" state="frozen"/>
      <selection pane="topRight"/>
      <selection pane="bottomLeft"/>
      <selection pane="bottomRight" activeCell="G1" sqref="G1"/>
    </sheetView>
  </sheetViews>
  <sheetFormatPr defaultColWidth="0" defaultRowHeight="15" x14ac:dyDescent="0.25"/>
  <cols>
    <col min="1" max="5" width="2.5703125" style="85" customWidth="1"/>
    <col min="6" max="6" width="59.5703125" style="85" customWidth="1"/>
    <col min="7" max="7" width="15.42578125" style="108" customWidth="1"/>
    <col min="8" max="8" width="19.85546875" style="85" bestFit="1" customWidth="1"/>
    <col min="9" max="9" width="2.42578125" style="85" customWidth="1"/>
    <col min="10" max="19" width="17" style="85" customWidth="1"/>
    <col min="20" max="20" width="2.42578125" style="85" customWidth="1"/>
    <col min="21" max="301" width="20.5703125" style="85" hidden="1" customWidth="1"/>
    <col min="302" max="16384" width="9.140625" style="85" hidden="1"/>
  </cols>
  <sheetData>
    <row r="1" spans="1:19" s="10" customFormat="1" x14ac:dyDescent="0.25">
      <c r="A1" s="10" t="str">
        <f ca="1">MID(CELL("filename",A1),FIND("]",CELL("filename",A1))+1,255)</f>
        <v>ARP_Peaking probabilities</v>
      </c>
      <c r="G1" s="188"/>
    </row>
    <row r="2" spans="1:19" s="10" customFormat="1" x14ac:dyDescent="0.25">
      <c r="A2" s="10" t="str">
        <f>Cover!D21&amp;" - "&amp;Cover!D23</f>
        <v>Southern Electric Power Distribution plc - Final</v>
      </c>
      <c r="G2" s="188"/>
    </row>
    <row r="3" spans="1:19" s="46" customFormat="1" x14ac:dyDescent="0.25">
      <c r="A3" s="46" t="str">
        <f>Cover!D2&amp;" - "&amp;Cover!D8&amp;" v"&amp;Cover!D10&amp;" - "&amp;Cover!D19</f>
        <v>ARP model - Release for charge setting v7 - 2023/24</v>
      </c>
      <c r="G3" s="296"/>
    </row>
    <row r="5" spans="1:19" x14ac:dyDescent="0.25">
      <c r="B5" s="134" t="s">
        <v>451</v>
      </c>
      <c r="C5" s="9"/>
      <c r="D5" s="9"/>
      <c r="E5" s="9"/>
      <c r="F5" s="9"/>
      <c r="G5" s="1" t="s">
        <v>91</v>
      </c>
      <c r="H5" s="2" t="s">
        <v>92</v>
      </c>
      <c r="I5" s="111"/>
      <c r="J5" s="11" t="s">
        <v>267</v>
      </c>
      <c r="K5" s="11" t="s">
        <v>43</v>
      </c>
      <c r="L5" s="11" t="s">
        <v>44</v>
      </c>
      <c r="M5" s="11" t="s">
        <v>45</v>
      </c>
      <c r="N5" s="11" t="s">
        <v>46</v>
      </c>
      <c r="O5" s="11" t="s">
        <v>47</v>
      </c>
      <c r="P5" s="11" t="s">
        <v>51</v>
      </c>
      <c r="Q5" s="11" t="s">
        <v>48</v>
      </c>
      <c r="R5" s="11" t="s">
        <v>49</v>
      </c>
      <c r="S5" s="11" t="s">
        <v>50</v>
      </c>
    </row>
    <row r="7" spans="1:19" x14ac:dyDescent="0.25">
      <c r="B7" s="95" t="s">
        <v>90</v>
      </c>
      <c r="C7" s="95"/>
      <c r="D7" s="95"/>
      <c r="E7" s="95"/>
      <c r="F7" s="95"/>
      <c r="G7" s="128"/>
      <c r="H7" s="95"/>
      <c r="I7" s="95"/>
      <c r="J7" s="95"/>
      <c r="K7" s="95"/>
      <c r="L7" s="95"/>
      <c r="M7" s="95"/>
      <c r="N7" s="95"/>
      <c r="O7" s="95"/>
      <c r="P7" s="95"/>
      <c r="Q7" s="95"/>
      <c r="R7" s="95"/>
      <c r="S7" s="95"/>
    </row>
    <row r="9" spans="1:19" x14ac:dyDescent="0.25">
      <c r="C9" s="82" t="s">
        <v>831</v>
      </c>
    </row>
    <row r="10" spans="1:19" s="293" customFormat="1" x14ac:dyDescent="0.25">
      <c r="C10" s="82" t="s">
        <v>832</v>
      </c>
      <c r="G10" s="108"/>
    </row>
    <row r="11" spans="1:19" x14ac:dyDescent="0.25">
      <c r="C11" s="82" t="s">
        <v>464</v>
      </c>
    </row>
    <row r="12" spans="1:19" x14ac:dyDescent="0.25">
      <c r="C12" s="82" t="s">
        <v>461</v>
      </c>
    </row>
    <row r="13" spans="1:19" x14ac:dyDescent="0.25">
      <c r="D13" s="14"/>
    </row>
    <row r="14" spans="1:19" x14ac:dyDescent="0.25">
      <c r="B14" s="95" t="s">
        <v>208</v>
      </c>
      <c r="C14" s="95"/>
      <c r="D14" s="95"/>
      <c r="E14" s="95"/>
      <c r="F14" s="95"/>
      <c r="G14" s="128"/>
      <c r="H14" s="95"/>
      <c r="I14" s="95"/>
      <c r="J14" s="95"/>
      <c r="K14" s="95"/>
      <c r="L14" s="95"/>
      <c r="M14" s="95"/>
      <c r="N14" s="95"/>
      <c r="O14" s="95"/>
      <c r="P14" s="95"/>
      <c r="Q14" s="95"/>
      <c r="R14" s="95"/>
      <c r="S14" s="95"/>
    </row>
    <row r="16" spans="1:19" x14ac:dyDescent="0.25">
      <c r="E16" s="96" t="s">
        <v>462</v>
      </c>
    </row>
    <row r="17" spans="2:19" x14ac:dyDescent="0.25">
      <c r="F17" s="91" t="s">
        <v>494</v>
      </c>
      <c r="G17" s="129" t="s">
        <v>482</v>
      </c>
      <c r="H17" s="199" t="str">
        <f>LEFT(H18,4) - 1 &amp; "/" &amp; RIGHT(H18,2) - 1</f>
        <v>2018/19</v>
      </c>
    </row>
    <row r="18" spans="2:19" x14ac:dyDescent="0.25">
      <c r="F18" s="196" t="s">
        <v>495</v>
      </c>
      <c r="G18" s="130" t="s">
        <v>482</v>
      </c>
      <c r="H18" s="84" t="str">
        <f>LEFT(H19,4) - 1 &amp; "/" &amp; RIGHT(H19,2) - 1</f>
        <v>2019/20</v>
      </c>
    </row>
    <row r="19" spans="2:19" x14ac:dyDescent="0.25">
      <c r="F19" s="93" t="s">
        <v>496</v>
      </c>
      <c r="G19" s="131" t="s">
        <v>482</v>
      </c>
      <c r="H19" s="198" t="str">
        <f>'ARP_User control'!$G$28</f>
        <v>2020/21</v>
      </c>
    </row>
    <row r="21" spans="2:19" x14ac:dyDescent="0.25">
      <c r="B21" s="95" t="s">
        <v>497</v>
      </c>
      <c r="C21" s="95"/>
      <c r="D21" s="95"/>
      <c r="E21" s="95"/>
      <c r="F21" s="95"/>
      <c r="G21" s="128"/>
      <c r="H21" s="95"/>
      <c r="I21" s="95"/>
      <c r="J21" s="95"/>
      <c r="K21" s="95"/>
      <c r="L21" s="95"/>
      <c r="M21" s="95"/>
      <c r="N21" s="95"/>
      <c r="O21" s="95"/>
      <c r="P21" s="95"/>
      <c r="Q21" s="95"/>
      <c r="R21" s="95"/>
      <c r="S21" s="95"/>
    </row>
    <row r="23" spans="2:19" x14ac:dyDescent="0.25">
      <c r="E23" s="96" t="s">
        <v>498</v>
      </c>
    </row>
    <row r="24" spans="2:19" x14ac:dyDescent="0.25">
      <c r="E24" s="92"/>
      <c r="F24" s="91" t="str">
        <f>$H$17</f>
        <v>2018/19</v>
      </c>
      <c r="G24" s="129" t="s">
        <v>94</v>
      </c>
      <c r="H24" s="112"/>
      <c r="I24" s="112"/>
      <c r="J24" s="132"/>
      <c r="K24" s="323">
        <v>0.81494369242022935</v>
      </c>
      <c r="L24" s="323">
        <v>0.72964891034535906</v>
      </c>
      <c r="M24" s="323">
        <v>0.72964891034535906</v>
      </c>
      <c r="N24" s="323">
        <v>0.61786367812393683</v>
      </c>
      <c r="O24" s="323">
        <v>0.61786367812393683</v>
      </c>
      <c r="P24" s="323">
        <v>0</v>
      </c>
      <c r="Q24" s="323">
        <v>0.39362905950003774</v>
      </c>
      <c r="R24" s="323">
        <v>0.39362905950003774</v>
      </c>
      <c r="S24" s="323">
        <v>0.39362905950003774</v>
      </c>
    </row>
    <row r="25" spans="2:19" x14ac:dyDescent="0.25">
      <c r="E25" s="92"/>
      <c r="F25" s="196" t="str">
        <f>$H$18</f>
        <v>2019/20</v>
      </c>
      <c r="G25" s="130" t="s">
        <v>94</v>
      </c>
      <c r="H25" s="66"/>
      <c r="I25" s="66"/>
      <c r="J25" s="37"/>
      <c r="K25" s="324">
        <v>0.8881508229274927</v>
      </c>
      <c r="L25" s="324">
        <v>0.75714838040679733</v>
      </c>
      <c r="M25" s="324">
        <v>0.75714838040679733</v>
      </c>
      <c r="N25" s="324">
        <v>0.62337934514037352</v>
      </c>
      <c r="O25" s="324">
        <v>0.62337934514037352</v>
      </c>
      <c r="P25" s="324">
        <v>0</v>
      </c>
      <c r="Q25" s="324">
        <v>0.36858556249198127</v>
      </c>
      <c r="R25" s="324">
        <v>0.36858556249198127</v>
      </c>
      <c r="S25" s="324">
        <v>0.36858556249198127</v>
      </c>
    </row>
    <row r="26" spans="2:19" x14ac:dyDescent="0.25">
      <c r="E26" s="92"/>
      <c r="F26" s="93" t="str">
        <f>$H$19</f>
        <v>2020/21</v>
      </c>
      <c r="G26" s="131" t="s">
        <v>94</v>
      </c>
      <c r="H26" s="145"/>
      <c r="I26" s="145"/>
      <c r="J26" s="38"/>
      <c r="K26" s="325">
        <v>0.8542904181142954</v>
      </c>
      <c r="L26" s="325">
        <v>0.74739675091617153</v>
      </c>
      <c r="M26" s="325">
        <v>0.74739675091617153</v>
      </c>
      <c r="N26" s="325">
        <v>0.60371424798489703</v>
      </c>
      <c r="O26" s="325">
        <v>0.60371424798489703</v>
      </c>
      <c r="P26" s="325">
        <v>0</v>
      </c>
      <c r="Q26" s="325">
        <v>0.37761387682565345</v>
      </c>
      <c r="R26" s="325">
        <v>0.37761387682565345</v>
      </c>
      <c r="S26" s="325">
        <v>0.37761387682565345</v>
      </c>
    </row>
    <row r="27" spans="2:19" x14ac:dyDescent="0.25">
      <c r="E27" s="92"/>
      <c r="F27" s="93" t="s">
        <v>463</v>
      </c>
      <c r="G27" s="131" t="s">
        <v>94</v>
      </c>
      <c r="H27" s="145"/>
      <c r="I27" s="145"/>
      <c r="J27" s="38"/>
      <c r="K27" s="308">
        <f t="shared" ref="K27:S27" si="0">AVERAGE(K24:K26)</f>
        <v>0.85246164448733908</v>
      </c>
      <c r="L27" s="308">
        <f t="shared" si="0"/>
        <v>0.74473134722277601</v>
      </c>
      <c r="M27" s="308">
        <f t="shared" si="0"/>
        <v>0.74473134722277601</v>
      </c>
      <c r="N27" s="308">
        <f t="shared" si="0"/>
        <v>0.61498575708306913</v>
      </c>
      <c r="O27" s="308">
        <f t="shared" si="0"/>
        <v>0.61498575708306913</v>
      </c>
      <c r="P27" s="308">
        <f t="shared" si="0"/>
        <v>0</v>
      </c>
      <c r="Q27" s="308">
        <f t="shared" si="0"/>
        <v>0.3799428329392241</v>
      </c>
      <c r="R27" s="308">
        <f t="shared" si="0"/>
        <v>0.3799428329392241</v>
      </c>
      <c r="S27" s="308">
        <f t="shared" si="0"/>
        <v>0.3799428329392241</v>
      </c>
    </row>
    <row r="29" spans="2:19" x14ac:dyDescent="0.25">
      <c r="E29" s="96" t="s">
        <v>499</v>
      </c>
      <c r="G29" s="130"/>
      <c r="H29" s="66"/>
      <c r="I29" s="66"/>
      <c r="J29" s="66"/>
      <c r="K29" s="66"/>
      <c r="L29" s="66"/>
      <c r="M29" s="66"/>
      <c r="N29" s="66"/>
      <c r="O29" s="66"/>
      <c r="P29" s="66"/>
      <c r="Q29" s="66"/>
      <c r="R29" s="66"/>
      <c r="S29" s="66"/>
    </row>
    <row r="30" spans="2:19" x14ac:dyDescent="0.25">
      <c r="E30" s="92"/>
      <c r="F30" s="91" t="str">
        <f>$H$17</f>
        <v>2018/19</v>
      </c>
      <c r="G30" s="129" t="s">
        <v>94</v>
      </c>
      <c r="H30" s="112"/>
      <c r="I30" s="112"/>
      <c r="J30" s="132"/>
      <c r="K30" s="323">
        <v>0.18505630757977065</v>
      </c>
      <c r="L30" s="323">
        <v>0.26538536143816716</v>
      </c>
      <c r="M30" s="323">
        <v>0.26538536143816716</v>
      </c>
      <c r="N30" s="323">
        <v>0.37132434908466727</v>
      </c>
      <c r="O30" s="323">
        <v>0.37132434908466727</v>
      </c>
      <c r="P30" s="323">
        <v>0</v>
      </c>
      <c r="Q30" s="323">
        <v>0.57728825672604356</v>
      </c>
      <c r="R30" s="323">
        <v>0.57728825672604356</v>
      </c>
      <c r="S30" s="323">
        <v>0.57728825672604356</v>
      </c>
    </row>
    <row r="31" spans="2:19" x14ac:dyDescent="0.25">
      <c r="E31" s="92"/>
      <c r="F31" s="196" t="str">
        <f>$H$18</f>
        <v>2019/20</v>
      </c>
      <c r="G31" s="130" t="s">
        <v>94</v>
      </c>
      <c r="H31" s="66"/>
      <c r="I31" s="66"/>
      <c r="J31" s="37"/>
      <c r="K31" s="324">
        <v>0.11184917707250727</v>
      </c>
      <c r="L31" s="324">
        <v>0.23577403977220671</v>
      </c>
      <c r="M31" s="324">
        <v>0.23577403977220671</v>
      </c>
      <c r="N31" s="324">
        <v>0.36225763305312791</v>
      </c>
      <c r="O31" s="324">
        <v>0.36225763305312791</v>
      </c>
      <c r="P31" s="324">
        <v>0</v>
      </c>
      <c r="Q31" s="324">
        <v>0.61050215034064115</v>
      </c>
      <c r="R31" s="324">
        <v>0.61050215034064115</v>
      </c>
      <c r="S31" s="324">
        <v>0.61050215034064115</v>
      </c>
    </row>
    <row r="32" spans="2:19" x14ac:dyDescent="0.25">
      <c r="E32" s="92"/>
      <c r="F32" s="93" t="str">
        <f>$H$19</f>
        <v>2020/21</v>
      </c>
      <c r="G32" s="131" t="s">
        <v>94</v>
      </c>
      <c r="H32" s="145"/>
      <c r="I32" s="145"/>
      <c r="J32" s="38"/>
      <c r="K32" s="325">
        <v>0.14570958188570465</v>
      </c>
      <c r="L32" s="325">
        <v>0.23862019765300235</v>
      </c>
      <c r="M32" s="325">
        <v>0.23862019765300235</v>
      </c>
      <c r="N32" s="325">
        <v>0.38182376156359493</v>
      </c>
      <c r="O32" s="325">
        <v>0.38182376156359493</v>
      </c>
      <c r="P32" s="325">
        <v>0</v>
      </c>
      <c r="Q32" s="325">
        <v>0.59384740541118231</v>
      </c>
      <c r="R32" s="325">
        <v>0.59384740541118231</v>
      </c>
      <c r="S32" s="325">
        <v>0.59384740541118231</v>
      </c>
    </row>
    <row r="33" spans="2:19" x14ac:dyDescent="0.25">
      <c r="E33" s="92"/>
      <c r="F33" s="93" t="s">
        <v>463</v>
      </c>
      <c r="G33" s="131" t="s">
        <v>94</v>
      </c>
      <c r="H33" s="145"/>
      <c r="I33" s="145"/>
      <c r="J33" s="38"/>
      <c r="K33" s="308">
        <f t="shared" ref="K33:S33" si="1">AVERAGE(K30:K32)</f>
        <v>0.14753835551266087</v>
      </c>
      <c r="L33" s="308">
        <f t="shared" si="1"/>
        <v>0.24659319962112539</v>
      </c>
      <c r="M33" s="308">
        <f t="shared" si="1"/>
        <v>0.24659319962112539</v>
      </c>
      <c r="N33" s="308">
        <f t="shared" si="1"/>
        <v>0.37180191456713002</v>
      </c>
      <c r="O33" s="308">
        <f t="shared" si="1"/>
        <v>0.37180191456713002</v>
      </c>
      <c r="P33" s="308">
        <f t="shared" si="1"/>
        <v>0</v>
      </c>
      <c r="Q33" s="308">
        <f t="shared" si="1"/>
        <v>0.59387927082595571</v>
      </c>
      <c r="R33" s="308">
        <f t="shared" si="1"/>
        <v>0.59387927082595571</v>
      </c>
      <c r="S33" s="308">
        <f t="shared" si="1"/>
        <v>0.59387927082595571</v>
      </c>
    </row>
    <row r="35" spans="2:19" x14ac:dyDescent="0.25">
      <c r="E35" s="96" t="s">
        <v>500</v>
      </c>
      <c r="G35" s="130"/>
      <c r="H35" s="66"/>
      <c r="I35" s="66"/>
      <c r="J35" s="66"/>
      <c r="K35" s="66"/>
      <c r="L35" s="66"/>
      <c r="M35" s="66"/>
      <c r="N35" s="66"/>
      <c r="O35" s="66"/>
      <c r="P35" s="66"/>
      <c r="Q35" s="66"/>
      <c r="R35" s="66"/>
      <c r="S35" s="66"/>
    </row>
    <row r="36" spans="2:19" x14ac:dyDescent="0.25">
      <c r="E36" s="92"/>
      <c r="F36" s="91" t="str">
        <f>$H$17</f>
        <v>2018/19</v>
      </c>
      <c r="G36" s="129" t="s">
        <v>94</v>
      </c>
      <c r="H36" s="112"/>
      <c r="I36" s="112"/>
      <c r="J36" s="132"/>
      <c r="K36" s="323">
        <v>0</v>
      </c>
      <c r="L36" s="323">
        <v>4.9657282164738206E-3</v>
      </c>
      <c r="M36" s="323">
        <v>4.9657282164738206E-3</v>
      </c>
      <c r="N36" s="323">
        <v>1.0811972791395888E-2</v>
      </c>
      <c r="O36" s="323">
        <v>1.0811972791395888E-2</v>
      </c>
      <c r="P36" s="323">
        <v>0</v>
      </c>
      <c r="Q36" s="323">
        <v>2.9082683773918691E-2</v>
      </c>
      <c r="R36" s="323">
        <v>2.9082683773918691E-2</v>
      </c>
      <c r="S36" s="323">
        <v>2.9082683773918691E-2</v>
      </c>
    </row>
    <row r="37" spans="2:19" x14ac:dyDescent="0.25">
      <c r="E37" s="92"/>
      <c r="F37" s="196" t="str">
        <f>$H$18</f>
        <v>2019/20</v>
      </c>
      <c r="G37" s="130" t="s">
        <v>94</v>
      </c>
      <c r="H37" s="66"/>
      <c r="I37" s="66"/>
      <c r="J37" s="37"/>
      <c r="K37" s="324">
        <v>0</v>
      </c>
      <c r="L37" s="324">
        <v>7.0775798209960121E-3</v>
      </c>
      <c r="M37" s="324">
        <v>7.0775798209960121E-3</v>
      </c>
      <c r="N37" s="324">
        <v>1.4363021806498589E-2</v>
      </c>
      <c r="O37" s="324">
        <v>1.4363021806498589E-2</v>
      </c>
      <c r="P37" s="324">
        <v>0</v>
      </c>
      <c r="Q37" s="324">
        <v>2.0912287167377655E-2</v>
      </c>
      <c r="R37" s="324">
        <v>2.0912287167377655E-2</v>
      </c>
      <c r="S37" s="324">
        <v>2.0912287167377655E-2</v>
      </c>
    </row>
    <row r="38" spans="2:19" x14ac:dyDescent="0.25">
      <c r="E38" s="92"/>
      <c r="F38" s="93" t="str">
        <f>$H$19</f>
        <v>2020/21</v>
      </c>
      <c r="G38" s="131" t="s">
        <v>94</v>
      </c>
      <c r="H38" s="145"/>
      <c r="I38" s="145"/>
      <c r="J38" s="38"/>
      <c r="K38" s="325">
        <v>0</v>
      </c>
      <c r="L38" s="325">
        <v>1.3983051430826142E-2</v>
      </c>
      <c r="M38" s="325">
        <v>1.3983051430826142E-2</v>
      </c>
      <c r="N38" s="325">
        <v>1.446199045150807E-2</v>
      </c>
      <c r="O38" s="325">
        <v>1.446199045150807E-2</v>
      </c>
      <c r="P38" s="325">
        <v>0</v>
      </c>
      <c r="Q38" s="325">
        <v>2.8538717763164318E-2</v>
      </c>
      <c r="R38" s="325">
        <v>2.8538717763164318E-2</v>
      </c>
      <c r="S38" s="325">
        <v>2.8538717763164318E-2</v>
      </c>
    </row>
    <row r="39" spans="2:19" x14ac:dyDescent="0.25">
      <c r="F39" s="93" t="s">
        <v>463</v>
      </c>
      <c r="G39" s="131" t="s">
        <v>94</v>
      </c>
      <c r="H39" s="145"/>
      <c r="I39" s="145"/>
      <c r="J39" s="38"/>
      <c r="K39" s="308">
        <f t="shared" ref="K39:S39" si="2">AVERAGE(K36:K38)</f>
        <v>0</v>
      </c>
      <c r="L39" s="308">
        <f t="shared" si="2"/>
        <v>8.6754531560986579E-3</v>
      </c>
      <c r="M39" s="308">
        <f t="shared" si="2"/>
        <v>8.6754531560986579E-3</v>
      </c>
      <c r="N39" s="308">
        <f t="shared" si="2"/>
        <v>1.3212328349800849E-2</v>
      </c>
      <c r="O39" s="308">
        <f t="shared" si="2"/>
        <v>1.3212328349800849E-2</v>
      </c>
      <c r="P39" s="308">
        <f t="shared" si="2"/>
        <v>0</v>
      </c>
      <c r="Q39" s="308">
        <f t="shared" si="2"/>
        <v>2.6177896234820221E-2</v>
      </c>
      <c r="R39" s="308">
        <f t="shared" si="2"/>
        <v>2.6177896234820221E-2</v>
      </c>
      <c r="S39" s="308">
        <f t="shared" si="2"/>
        <v>2.6177896234820221E-2</v>
      </c>
    </row>
    <row r="41" spans="2:19" x14ac:dyDescent="0.25">
      <c r="E41" s="96" t="s">
        <v>501</v>
      </c>
      <c r="G41" s="130"/>
      <c r="H41" s="66"/>
      <c r="I41" s="66"/>
      <c r="J41" s="66"/>
      <c r="K41" s="66"/>
      <c r="L41" s="66"/>
      <c r="M41" s="66"/>
      <c r="N41" s="66"/>
      <c r="O41" s="66"/>
      <c r="P41" s="66"/>
      <c r="Q41" s="66"/>
      <c r="R41" s="66"/>
      <c r="S41" s="66"/>
    </row>
    <row r="42" spans="2:19" x14ac:dyDescent="0.25">
      <c r="E42" s="92"/>
      <c r="F42" s="91" t="str">
        <f>$H$17</f>
        <v>2018/19</v>
      </c>
      <c r="G42" s="129" t="s">
        <v>94</v>
      </c>
      <c r="H42" s="112"/>
      <c r="I42" s="112"/>
      <c r="J42" s="132"/>
      <c r="K42" s="323">
        <v>0.49780458132890065</v>
      </c>
      <c r="L42" s="323">
        <v>0.67633026475249991</v>
      </c>
      <c r="M42" s="323">
        <v>0.67633026475249991</v>
      </c>
      <c r="N42" s="323">
        <v>0.58401082072206212</v>
      </c>
      <c r="O42" s="323">
        <v>0.58401082072206212</v>
      </c>
      <c r="P42" s="323">
        <v>0</v>
      </c>
      <c r="Q42" s="323">
        <v>0.35039733193544409</v>
      </c>
      <c r="R42" s="323">
        <v>0.35039733193544409</v>
      </c>
      <c r="S42" s="323">
        <v>0.35039733193544409</v>
      </c>
    </row>
    <row r="43" spans="2:19" x14ac:dyDescent="0.25">
      <c r="E43" s="92"/>
      <c r="F43" s="196" t="str">
        <f>$H$18</f>
        <v>2019/20</v>
      </c>
      <c r="G43" s="130" t="s">
        <v>94</v>
      </c>
      <c r="H43" s="66"/>
      <c r="I43" s="66"/>
      <c r="J43" s="37"/>
      <c r="K43" s="324">
        <v>0.6922761661734339</v>
      </c>
      <c r="L43" s="324">
        <v>0.68282855452669999</v>
      </c>
      <c r="M43" s="324">
        <v>0.68282855452669999</v>
      </c>
      <c r="N43" s="324">
        <v>0.55270015732209576</v>
      </c>
      <c r="O43" s="324">
        <v>0.55270015732209576</v>
      </c>
      <c r="P43" s="324">
        <v>0</v>
      </c>
      <c r="Q43" s="324">
        <v>0.31335034474646578</v>
      </c>
      <c r="R43" s="324">
        <v>0.31335034474646578</v>
      </c>
      <c r="S43" s="324">
        <v>0.31335034474646578</v>
      </c>
    </row>
    <row r="44" spans="2:19" x14ac:dyDescent="0.25">
      <c r="E44" s="92"/>
      <c r="F44" s="93" t="str">
        <f>$H$19</f>
        <v>2020/21</v>
      </c>
      <c r="G44" s="131" t="s">
        <v>94</v>
      </c>
      <c r="H44" s="145"/>
      <c r="I44" s="145"/>
      <c r="J44" s="38"/>
      <c r="K44" s="325">
        <v>0.82876851808050678</v>
      </c>
      <c r="L44" s="325">
        <v>0.71646483057411725</v>
      </c>
      <c r="M44" s="325">
        <v>0.71646483057411725</v>
      </c>
      <c r="N44" s="325">
        <v>0.58272164275178562</v>
      </c>
      <c r="O44" s="325">
        <v>0.58272164275178562</v>
      </c>
      <c r="P44" s="325">
        <v>0</v>
      </c>
      <c r="Q44" s="325">
        <v>0.34870318386892385</v>
      </c>
      <c r="R44" s="325">
        <v>0.34870318386892385</v>
      </c>
      <c r="S44" s="325">
        <v>0.34870318386892385</v>
      </c>
    </row>
    <row r="45" spans="2:19" x14ac:dyDescent="0.25">
      <c r="F45" s="93" t="s">
        <v>463</v>
      </c>
      <c r="G45" s="131" t="s">
        <v>94</v>
      </c>
      <c r="H45" s="145"/>
      <c r="I45" s="145"/>
      <c r="J45" s="38"/>
      <c r="K45" s="308">
        <f t="shared" ref="K45:S45" si="3">AVERAGE(K42:K44)</f>
        <v>0.67294975519428046</v>
      </c>
      <c r="L45" s="308">
        <f t="shared" si="3"/>
        <v>0.69187454995110576</v>
      </c>
      <c r="M45" s="308">
        <f t="shared" si="3"/>
        <v>0.69187454995110576</v>
      </c>
      <c r="N45" s="308">
        <f t="shared" si="3"/>
        <v>0.5731442069319812</v>
      </c>
      <c r="O45" s="308">
        <f t="shared" si="3"/>
        <v>0.5731442069319812</v>
      </c>
      <c r="P45" s="308">
        <f t="shared" si="3"/>
        <v>0</v>
      </c>
      <c r="Q45" s="308">
        <f t="shared" si="3"/>
        <v>0.33748362018361128</v>
      </c>
      <c r="R45" s="308">
        <f t="shared" si="3"/>
        <v>0.33748362018361128</v>
      </c>
      <c r="S45" s="308">
        <f t="shared" si="3"/>
        <v>0.33748362018361128</v>
      </c>
    </row>
    <row r="47" spans="2:19" x14ac:dyDescent="0.25">
      <c r="B47" s="95" t="s">
        <v>110</v>
      </c>
      <c r="C47" s="95"/>
      <c r="D47" s="95"/>
      <c r="E47" s="95"/>
      <c r="F47" s="95"/>
      <c r="G47" s="128"/>
      <c r="H47" s="95"/>
      <c r="I47" s="95"/>
      <c r="J47" s="95"/>
      <c r="K47" s="95"/>
      <c r="L47" s="95"/>
      <c r="M47" s="95"/>
      <c r="N47" s="95"/>
      <c r="O47" s="95"/>
      <c r="P47" s="95"/>
      <c r="Q47" s="95"/>
      <c r="R47" s="95"/>
      <c r="S47" s="95"/>
    </row>
  </sheetData>
  <sheetProtection sheet="1" objects="1" formatCells="0" formatColumns="0" formatRows="0" sort="0" autoFilter="0"/>
  <hyperlinks>
    <hyperlink ref="B5:F5" location="'Model map'!A1" display="Click here to return to model map" xr:uid="{00000000-0004-0000-0800-000000000000}"/>
  </hyperlinks>
  <pageMargins left="0.7" right="0.7" top="0.75" bottom="0.75" header="0.3" footer="0.3"/>
  <pageSetup paperSize="9" fitToHeight="0" orientation="portrait" r:id="rId1"/>
  <headerFooter>
    <oddHeader>&amp;L&amp;A&amp;C&amp;R&amp;P of &amp;N</oddHeader>
    <oddFooter>&amp;F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0890CFB661AC84D96B569471696442A" ma:contentTypeVersion="11" ma:contentTypeDescription="Create a new document." ma:contentTypeScope="" ma:versionID="815b1f0063b9eec52ce5c926dd3976d1">
  <xsd:schema xmlns:xsd="http://www.w3.org/2001/XMLSchema" xmlns:xs="http://www.w3.org/2001/XMLSchema" xmlns:p="http://schemas.microsoft.com/office/2006/metadata/properties" xmlns:ns2="375f405a-1d4b-4796-a028-0e90b458cbcf" xmlns:ns3="4fb325ff-59f4-4202-984d-cc4ef0b29ee2" targetNamespace="http://schemas.microsoft.com/office/2006/metadata/properties" ma:root="true" ma:fieldsID="36b723a32132d788b7361964f967f773" ns2:_="" ns3:_="">
    <xsd:import namespace="375f405a-1d4b-4796-a028-0e90b458cbcf"/>
    <xsd:import namespace="4fb325ff-59f4-4202-984d-cc4ef0b29ee2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75f405a-1d4b-4796-a028-0e90b458cbc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fb325ff-59f4-4202-984d-cc4ef0b29ee2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838C9A7F-985D-45BC-8ECB-065524FE5D5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375f405a-1d4b-4796-a028-0e90b458cbcf"/>
    <ds:schemaRef ds:uri="4fb325ff-59f4-4202-984d-cc4ef0b29ee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40433340-7BEC-4F3D-99D4-81DABA0ADC90}">
  <ds:schemaRefs>
    <ds:schemaRef ds:uri="http://purl.org/dc/terms/"/>
    <ds:schemaRef ds:uri="http://schemas.openxmlformats.org/package/2006/metadata/core-properties"/>
    <ds:schemaRef ds:uri="http://purl.org/dc/dcmitype/"/>
    <ds:schemaRef ds:uri="http://schemas.microsoft.com/office/infopath/2007/PartnerControls"/>
    <ds:schemaRef ds:uri="http://purl.org/dc/elements/1.1/"/>
    <ds:schemaRef ds:uri="http://schemas.microsoft.com/office/2006/documentManagement/types"/>
    <ds:schemaRef ds:uri="4fb325ff-59f4-4202-984d-cc4ef0b29ee2"/>
    <ds:schemaRef ds:uri="375f405a-1d4b-4796-a028-0e90b458cbcf"/>
    <ds:schemaRef ds:uri="http://schemas.microsoft.com/office/2006/metadata/properties"/>
    <ds:schemaRef ds:uri="http://www.w3.org/XML/1998/namespace"/>
  </ds:schemaRefs>
</ds:datastoreItem>
</file>

<file path=customXml/itemProps3.xml><?xml version="1.0" encoding="utf-8"?>
<ds:datastoreItem xmlns:ds="http://schemas.openxmlformats.org/officeDocument/2006/customXml" ds:itemID="{AD672EFB-D87C-4F0C-B881-1D86437C27CF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37</vt:i4>
      </vt:variant>
      <vt:variant>
        <vt:lpstr>Named Ranges</vt:lpstr>
      </vt:variant>
      <vt:variant>
        <vt:i4>24</vt:i4>
      </vt:variant>
    </vt:vector>
  </HeadingPairs>
  <TitlesOfParts>
    <vt:vector size="61" baseType="lpstr">
      <vt:lpstr>Cover</vt:lpstr>
      <vt:lpstr>Version control</vt:lpstr>
      <vt:lpstr>Model map</vt:lpstr>
      <vt:lpstr>Index</vt:lpstr>
      <vt:lpstr>Named ranges</vt:lpstr>
      <vt:lpstr>ARP_DNO commentary</vt:lpstr>
      <vt:lpstr>ARP_CDCM timebands</vt:lpstr>
      <vt:lpstr>ARP_Load characteristics</vt:lpstr>
      <vt:lpstr>ARP_Peaking probabilities</vt:lpstr>
      <vt:lpstr>ARP_User control</vt:lpstr>
      <vt:lpstr>ARP_Inputs by customer type</vt:lpstr>
      <vt:lpstr>ARP_Inputs by network level</vt:lpstr>
      <vt:lpstr>ARP_General inputs</vt:lpstr>
      <vt:lpstr>Fixed inputs</vt:lpstr>
      <vt:lpstr>Inputs by customer type</vt:lpstr>
      <vt:lpstr>Inputs by network level</vt:lpstr>
      <vt:lpstr>General inputs</vt:lpstr>
      <vt:lpstr>Standing charge factors</vt:lpstr>
      <vt:lpstr>Load &amp; loss characteristics</vt:lpstr>
      <vt:lpstr>Customer contributions</vt:lpstr>
      <vt:lpstr>Volume adjustments</vt:lpstr>
      <vt:lpstr>Pseudo-load coefficients</vt:lpstr>
      <vt:lpstr>System peak demand</vt:lpstr>
      <vt:lpstr>Service model assets</vt:lpstr>
      <vt:lpstr>Unit costs</vt:lpstr>
      <vt:lpstr>Initial unit rates</vt:lpstr>
      <vt:lpstr>Service model charges</vt:lpstr>
      <vt:lpstr>Unit rate charges</vt:lpstr>
      <vt:lpstr>Capacity charges</vt:lpstr>
      <vt:lpstr>Reactive power charges</vt:lpstr>
      <vt:lpstr>Fixed charges</vt:lpstr>
      <vt:lpstr>SoLR &amp; bad debt adders</vt:lpstr>
      <vt:lpstr>Revenue matching</vt:lpstr>
      <vt:lpstr>Rounding</vt:lpstr>
      <vt:lpstr>Net revenue summary</vt:lpstr>
      <vt:lpstr>Tariff summary</vt:lpstr>
      <vt:lpstr>Typical bills</vt:lpstr>
      <vt:lpstr>charging_year</vt:lpstr>
      <vt:lpstr>charging_year_selected</vt:lpstr>
      <vt:lpstr>check_decimals</vt:lpstr>
      <vt:lpstr>days_in_year</vt:lpstr>
      <vt:lpstr>DNO_name</vt:lpstr>
      <vt:lpstr>hours_in_day</vt:lpstr>
      <vt:lpstr>hours_in_year</vt:lpstr>
      <vt:lpstr>hundred</vt:lpstr>
      <vt:lpstr>live_results_bills</vt:lpstr>
      <vt:lpstr>live_results_tariffs</vt:lpstr>
      <vt:lpstr>PowerFactor</vt:lpstr>
      <vt:lpstr>results_4_bills</vt:lpstr>
      <vt:lpstr>results_4_tariffs</vt:lpstr>
      <vt:lpstr>results_5_bills</vt:lpstr>
      <vt:lpstr>results_5_tariffs</vt:lpstr>
      <vt:lpstr>results_6_bills</vt:lpstr>
      <vt:lpstr>results_6_tariffs</vt:lpstr>
      <vt:lpstr>results_7_bills</vt:lpstr>
      <vt:lpstr>results_7_tariffs</vt:lpstr>
      <vt:lpstr>results_8_bills</vt:lpstr>
      <vt:lpstr>results_8_tariffs</vt:lpstr>
      <vt:lpstr>ten</vt:lpstr>
      <vt:lpstr>thousand</vt:lpstr>
      <vt:lpstr>year_selection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Gordon McFadzean</dc:creator>
  <cp:keywords/>
  <dc:description/>
  <cp:lastModifiedBy>Preston, Donald</cp:lastModifiedBy>
  <cp:revision/>
  <cp:lastPrinted>2018-05-04T14:21:24Z</cp:lastPrinted>
  <dcterms:created xsi:type="dcterms:W3CDTF">2017-07-12T09:37:31Z</dcterms:created>
  <dcterms:modified xsi:type="dcterms:W3CDTF">2022-01-07T15:08:19Z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0x010100B0890CFB661AC84D96B569471696442A</vt:lpwstr>
  </property>
</Properties>
</file>